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codeName="{37A63EE7-654F-3FA9-A528-636911D70600}"/>
  <workbookPr codeName="EstaPasta_de_trabalho"/>
  <mc:AlternateContent xmlns:mc="http://schemas.openxmlformats.org/markup-compatibility/2006">
    <mc:Choice Requires="x15">
      <x15ac:absPath xmlns:x15ac="http://schemas.microsoft.com/office/spreadsheetml/2010/11/ac" url="\\192.168.0.200\Licitacao\LICITAÇÃO GERAL\PROCESSOS ANO 2026\PC 035-CONCORRÊNCIA 002-2026 - UTM BURITIZEIRO\DOCUMENTOS PARA COLOCAR NO PORTAL\PLANILHAS, MEMO. CALC, CRONOG, BDI, QCI\"/>
    </mc:Choice>
  </mc:AlternateContent>
  <xr:revisionPtr revIDLastSave="0" documentId="8_{8A81ED09-ECFB-455A-AB83-DAFA5B376E2C}" xr6:coauthVersionLast="47" xr6:coauthVersionMax="47" xr10:uidLastSave="{00000000-0000-0000-0000-000000000000}"/>
  <workbookProtection workbookAlgorithmName="SHA-512" workbookHashValue="DCgnkHm55ZnoBftyzdRxd1uD1dh3ihZIs/JP3+0dDvcwJylANPX4tcrWJuzhC02Pb3TGSfpEpjZDGrndXKlyiw==" workbookSaltValue="tnjc4kH3lM8efrxFGvJ1QQ==" workbookSpinCount="100000" lockStructure="1"/>
  <bookViews>
    <workbookView xWindow="-120" yWindow="-120" windowWidth="20730" windowHeight="11160" tabRatio="801" activeTab="4"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BM!$C$15:$C$93</definedName>
    <definedName name="_xlnm._FilterDatabase" localSheetId="6" hidden="1">CÁLCULO!$C$15:$C$93</definedName>
    <definedName name="_xlnm._FilterDatabase" localSheetId="8" hidden="1">CRONO!$G$13:$G$64</definedName>
    <definedName name="_xlnm._FilterDatabase" localSheetId="7" hidden="1">CRONOPLE!$A$13:$A$40</definedName>
    <definedName name="_xlnm._FilterDatabase" localSheetId="5" hidden="1">EVENTOS!$A$13:$A$33</definedName>
    <definedName name="_xlnm._FilterDatabase" localSheetId="4" hidden="1">ORÇAMENTO!$L$15:$L$93</definedName>
    <definedName name="_xlnm._FilterDatabase" localSheetId="10" hidden="1">PLE!$A$13:$A$42</definedName>
    <definedName name="_xlnm._FilterDatabase" localSheetId="9" hidden="1">QCI!$C$13:$C$16</definedName>
    <definedName name="_xlnm._FilterDatabase" localSheetId="12" hidden="1">RRE!$D$13:$D$21</definedName>
    <definedName name="ACOMPANHAMENTO" hidden="1">MENU!$J$4</definedName>
    <definedName name="AdmLocal" hidden="1">CÁLCULO!$A$11</definedName>
    <definedName name="_xlnm.Print_Area" localSheetId="3">BDI!$J$1:$S$132</definedName>
    <definedName name="_xlnm.Print_Area" localSheetId="11">BM!$D$1:$O$108</definedName>
    <definedName name="_xlnm.Print_Area" localSheetId="6">CÁLCULO!$E$6:$AA$101</definedName>
    <definedName name="_xlnm.Print_Area" localSheetId="8">CRONO!$I$1:$AG$64</definedName>
    <definedName name="_xlnm.Print_Area" localSheetId="5">EVENTOS!$C$2:$Z$33</definedName>
    <definedName name="_xlnm.Print_Area" localSheetId="1">MENU!$A$1:$I$25</definedName>
    <definedName name="_xlnm.Print_Area" localSheetId="13">OFÍCIO!$A$1:$G$56</definedName>
    <definedName name="_xlnm.Print_Area" localSheetId="4">ORÇAMENTO!$O$1:$Y$110</definedName>
    <definedName name="_xlnm.Print_Area" localSheetId="10">PLE!$B$3:$AG$43</definedName>
    <definedName name="_xlnm.Print_Area" localSheetId="9">QCI!$D$1:$O$28</definedName>
    <definedName name="_xlnm.Print_Area" localSheetId="12">RRE!$E$1:$P$40</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BM!$C$15:$C$93</definedName>
    <definedName name="BM.firstrow" hidden="1">BM!$15:$15</definedName>
    <definedName name="BM.FormulaMed" hidden="1">BM!$AO$7</definedName>
    <definedName name="BM.lastrow" hidden="1">BM!$93:$93</definedName>
    <definedName name="BM.LinhaPadrão" hidden="1">BM!$14:$14</definedName>
    <definedName name="BM.MaxMed" hidden="1">IF(RegimeExecucao="Global",1,BM!$G1)</definedName>
    <definedName name="BM.MCAIXA.Filter" hidden="1">BM!$C$15:$Z$93</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CÁLCULO!$C$15:$C$93</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CÁLCULO!$93:$93</definedName>
    <definedName name="CÁLCULO.LinhaPadrão" hidden="1">CÁLCULO!$14:$14</definedName>
    <definedName name="CÁLCULO.margemrow" hidden="1">CÁLCULO!$101:$101</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CÁLCULO!$93:$93</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CÁLCULO!$93:$93</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CÁLCULO!$93:$93</definedName>
    <definedName name="CÁLCULO.nEvento" hidden="1">CÁLCULO!$M$12</definedName>
    <definedName name="CÁLCULO.NúmeroDeEventos" hidden="1">IF(AUTOEVENTO&lt;&gt;"manual",MAX(CÁLCULO!$M$15:$M$93),MAX(OFFSET(EVENTOS!$C$1:$C$26,1,0)))</definedName>
    <definedName name="CÁLCULO.NúmeroDeFrentes" hidden="1">COLUMN(CÁLCULO!$AA$15)-COLUMN(CÁLCULO!$Q$15)</definedName>
    <definedName name="CÁLCULO.Título" hidden="1">CÁLCULO!$F$6</definedName>
    <definedName name="CÁLCULO.TotalAdmLocal" hidden="1">IF(AUTOEVENTO="manual",SUMIF(CÁLCULO!$M$15:$M$93,1,ORÇAMENTO!$X$15:$X$93),0)</definedName>
    <definedName name="CRONO.ColAux" hidden="1">CRONO!$M:$R</definedName>
    <definedName name="CRONO.ColunaPadrão" hidden="1">CRONO!$E:$E</definedName>
    <definedName name="CRONO.Erro" hidden="1">CRONO!$K$10</definedName>
    <definedName name="CRONO.Filtro" hidden="1">CRONO!$G$13:$G$64</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CRONO!$47:$47</definedName>
    <definedName name="CRONO.lastrow2" hidden="1">CRONO!$59:$59</definedName>
    <definedName name="CRONO.LinhaPadrão" hidden="1">CRONO!$1:$3</definedName>
    <definedName name="CRONO.LinhasNecessarias" hidden="1">COUNTIF(QCI!$B$13:$B$15,"Manual")+COUNTIF(QCI!$B$13:$B$15,"SemiAuto")+COUNT(ORÇAMENTO.ListaCrono)</definedName>
    <definedName name="CRONO.Lista.AdmLocal" hidden="1">CRONO!$A$13:$A$47</definedName>
    <definedName name="CRONO.Lista.Níveis" hidden="1">CRONO!$A$9:$A$11</definedName>
    <definedName name="CRONO.margemrow" hidden="1">CRONO!$64:$64</definedName>
    <definedName name="CRONO.MaxParc" hidden="1">CRONO!$H1048576+CRONO!A1</definedName>
    <definedName name="CRONO.NivelExibicao" hidden="1">CRONO!$H$10</definedName>
    <definedName name="CRONO.Parcela1" hidden="1">CRONO!$U$12:$U$13</definedName>
    <definedName name="CRONO.ParcelaFinal" hidden="1">MATCH(100%,CRONO!$U$53:$AG$53,0)</definedName>
    <definedName name="CRONO.Título" hidden="1">CRONO!$S$4</definedName>
    <definedName name="CRONOPLE.ColunaPadrão" hidden="1">CRONOPLE!$E:$E</definedName>
    <definedName name="CRONOPLE.Erro" hidden="1">CRONOPLE!$B$6</definedName>
    <definedName name="CRONOPLE.Filtro" hidden="1">CRONOPLE!$A$13:$A$40</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CRONOPLE!$26:$26</definedName>
    <definedName name="CRONOPLE.lastrow2" hidden="1">CRONOPLE!$35:$35</definedName>
    <definedName name="CRONOPLE.LinhaPadrão" hidden="1">CRONOPLE!$1:$1</definedName>
    <definedName name="CRONOPLE.Lista.AdmLocal" hidden="1">CRONOPLE!$F$15:$F$26</definedName>
    <definedName name="CRONOPLE.margemrow" hidden="1">CRONOPLE!$42:$42</definedName>
    <definedName name="CRONOPLE.Título" hidden="1">CRONOPLE!$G$2</definedName>
    <definedName name="CRONOPLE.ValorDoEvento" hidden="1">SUMIF(CÁLCULO!$M$15:$M$93,CRONOPLE!$B1,OFFSET(CÁLCULO!$AA$15:$AA$93,0,CRONOPLE!A$12))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EVENTOS!$A$13:$A$33</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EVENTOS!$26:$26</definedName>
    <definedName name="EVENTOS.LinhaPadrão" hidden="1">EVENTOS!$1:$1</definedName>
    <definedName name="EVENTOS.Lista" hidden="1">EVENTOS!$C$15:OFFSET(EVENTOS!$C$26,-1,0)</definedName>
    <definedName name="EVENTOS.Lista.Agrupar" hidden="1">EVENTOS!$B$6:$B$9</definedName>
    <definedName name="EVENTOS.ListaValidacao" hidden="1">EVENTOS!$B$15:OFFSET(EVENTOS!$B$26,-1,0)</definedName>
    <definedName name="EVENTOS.Manual.Preenchidos" hidden="1">EVENTOS!$C$10</definedName>
    <definedName name="EVENTOS.MargemRow" hidden="1">EVENTOS!$33:$33</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BM!$D$96</definedName>
    <definedName name="Import.BMAFAcumulado" hidden="1">OFFSET(BM!$R$15,1,0):OFFSET(BM!$R$93,-1,0)</definedName>
    <definedName name="Import.BMArred" hidden="1">BM!$A$9</definedName>
    <definedName name="Import.CNPJ" hidden="1">DADOS!$C$39</definedName>
    <definedName name="Import.Código" hidden="1">OFFSET(ORÇAMENTO!$Q$15,1,0):OFFSET(ORÇAMENTO!$Q$93,-1,0)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OFFSET(CRONOPLE!$F$15,1,1):OFFSET(CRONOPLE!$AF$26,-1,-1)</definedName>
    <definedName name="Import.CTEF" hidden="1">DADOS!$C$37</definedName>
    <definedName name="Import.CustoUnitário" hidden="1">OFFSET(ORÇAMENTO!$U$15,1,0):OFFSET(ORÇAMENTO!$U$93,-1,0)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OFFSET(ORÇAMENTO!$R$15,1,0):OFFSET(ORÇAMENTO!$R$93,-1,0)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OFFSET(EVENTOS!$D$15,1,0):OFFSET(EVENTOS!$D$26,-1,0)</definedName>
    <definedName name="Import.Fonte" hidden="1">OFFSET(ORÇAMENTO!$P$15,1,0):OFFSET(ORÇAMENTO!$P$93,-1,0)</definedName>
    <definedName name="Import.FrenteDeObra" hidden="1">CÁLCULO!$Q$12:OFFSET(CÁLCULO!$AA$12,0,-1)</definedName>
    <definedName name="Import.MacrosserviçoAdmLocal" hidden="1">CRONO!$H$58</definedName>
    <definedName name="Import.Município" hidden="1">DADOS!$C$6</definedName>
    <definedName name="Import.Nível" hidden="1">OFFSET(ORÇAMENTO!$M$15,1,0):OFFSET(ORÇAMENTO!$M$93,-1,0)</definedName>
    <definedName name="Import.Ofício.Dest" hidden="1">OFÍCIO!$B$11</definedName>
    <definedName name="Import.Ofício.GIGOV" hidden="1">OFÍCIO!$C$11</definedName>
    <definedName name="Import.Ofício.Num" hidden="1">OFÍCIO!$C$6</definedName>
    <definedName name="Import.OpcaoBDI" hidden="1">OFFSET(ORÇAMENTO!$V$15,1,0):OFFSET(ORÇAMENTO!$V$93,-1,0)</definedName>
    <definedName name="Import.ORÇAMENTO.DivRecurso" hidden="1">OFFSET(ORÇAMENTO!$Y$15,1,0):OFFSET(ORÇAMENTO!$Y$93,-1,0)</definedName>
    <definedName name="Import.ORÇAMENTO.Obs" hidden="1">ORÇAMENTO!$O$99</definedName>
    <definedName name="Import.PLE" hidden="1">OFFSET(PLE!$G$15,1,1):OFFSET(PLE!$AG$26,-1,-1)</definedName>
    <definedName name="Import.PLE.Datas" hidden="1">PLE!$I$29:$AF$29</definedName>
    <definedName name="Import.PLQ" hidden="1">OFFSET(CÁLCULO!$P$15,1,1):OFFSET(CÁLCULO!$AA$93,-1,-1)</definedName>
    <definedName name="Import.PLQ.MemCalc" hidden="1">OFFSET(CÁLCULO!$I$15,1,0):OFFSET(CÁLCULO!$I$93,-1,0)</definedName>
    <definedName name="Import.PLQ.nAgrupEvent" hidden="1">OFFSET(CÁLCULO!$K$15,1,0):OFFSET(CÁLCULO!$K$93,-1,0)</definedName>
    <definedName name="Import.POArred" hidden="1">ORÇAMENTO!$AF$7:$AF$11</definedName>
    <definedName name="IMport.Prefeito" hidden="1">DADOS!$C$28:$C$29</definedName>
    <definedName name="Import.Proponente" hidden="1">DADOS!$C$5</definedName>
    <definedName name="Import.QCI.Divisao" hidden="1">OFFSET(QCI!$V$13,1,0):OFFSET(QCI!$V$15,-1,0)</definedName>
    <definedName name="Import.QCI.ItemInv" hidden="1">OFFSET(QCI!$E$13,1,0):OFFSET(QCI!$E$15,-1,0)</definedName>
    <definedName name="Import.QCI.Obs" hidden="1">QCI!$D$19</definedName>
    <definedName name="Import.QCI.Qtde" hidden="1">OFFSET(QCI!$I$13,1,0):OFFSET(QCI!$I$15,-1,0)</definedName>
    <definedName name="Import.QCI.Situacao" hidden="1">OFFSET(QCI!$H$13,1,0):OFFSET(QCI!$H$15,-1,0)</definedName>
    <definedName name="Import.QCI.SubItemInv" hidden="1">OFFSET(QCI!$F$13,1,0):OFFSET(QCI!$F$15,-1,0)</definedName>
    <definedName name="Import.QCICP" hidden="1">OFFSET(QCI!$W$13,1,0):OFFSET(QCI!$W$15,-1,0)</definedName>
    <definedName name="Import.QCIDesc" hidden="1">OFFSET(QCI!$R$13,1,0):OFFSET(QCI!$R$15,-1,0)</definedName>
    <definedName name="Import.QCIInv" hidden="1">OFFSET(QCI!$U$13,1,0):OFFSET(QCI!$U$15,-1,0)</definedName>
    <definedName name="Import.QCILote" hidden="1">OFFSET(QCI!$T$13,1,0):OFFSET(QCI!$T$15,-1,0)</definedName>
    <definedName name="Import.QCIOutros" hidden="1">OFFSET(QCI!$X$13,1,0):OFFSET(QCI!$X$15,-1,0)</definedName>
    <definedName name="Import.Quantidade" hidden="1">OFFSET(ORÇAMENTO!$AJ$15,1,0):OFFSET(ORÇAMENTO!$AJ$93,-1,0)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RRE!$M$38:$O$40</definedName>
    <definedName name="Import.RRE.Obs" hidden="1">RRE!$E$22</definedName>
    <definedName name="Import.RRE.Social" hidden="1">RRE!$F$38:$G$40</definedName>
    <definedName name="Import.SICONV" hidden="1">DADOS!$C$8</definedName>
    <definedName name="Import.TipoArredondamento" hidden="1">DADOS!$C$31</definedName>
    <definedName name="Import.TransfereGOV" hidden="1">DADOS!$C$8</definedName>
    <definedName name="Import.Unidade" hidden="1">OFFSET(ORÇAMENTO!$S$15,1,0):OFFSET(ORÇAMENTO!$S$93,-1,0)</definedName>
    <definedName name="Import.UnitarioLicitado" hidden="1">OFFSET(ORÇAMENTO!$AL$15,1,0):OFFSET(ORÇAMENTO!$AL$93,-1,0)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ORÇAMENTO!$L$15:$L$93</definedName>
    <definedName name="ORÇAMENTO.firstrow" hidden="1">ORÇAMENTO!$15:$15</definedName>
    <definedName name="ORÇAMENTO.Fonte" hidden="1">ORÇAMENTO!$P1</definedName>
    <definedName name="ORÇAMENTO.lastrow" hidden="1">ORÇAMENTO!$93:$93</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OFFSET(ORÇAMENTO!$AD$15,1,0):OFFSET(ORÇAMENTO!$AD$93,-1,0)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OFFSET(ORÇAMENTO!$P$15,1,0):OFFSET(ORÇAMENTO!$S$93,-1,0)</definedName>
    <definedName name="ORÇAMENTO.PasteFormat2" hidden="1">OFFSET(ORÇAMENTO!$U$15,1,0):OFFSET(ORÇAMENTO!$V$93,-1,0)</definedName>
    <definedName name="ORÇAMENTO.PrecoUnitarioLicitado" hidden="1">ORÇAMENTO!$AL1</definedName>
    <definedName name="ORÇAMENTO.QuantBM" hidden="1">ORÇAMENTO!$AJ1</definedName>
    <definedName name="ORÇAMENTO.RangeQuant" hidden="1">OFFSET(ORÇAMENTO!$T$15,1,0):OFFSET(ORÇAMENTO!$T$93,-1,0)</definedName>
    <definedName name="ORÇAMENTO.SumCPMANUAL" hidden="1">SUMIF(ORÇAMENTO!$Z$15:$Z$93,"CP",ORÇAMENTO!$AA$15:$AA$93)</definedName>
    <definedName name="ORÇAMENTO.SumINVMANUAL" hidden="1">SUMIF(ORÇAMENTO!$Z$15:$Z$93,"RP",ORÇAMENTO!$X$15:$X$93)+SUMIF(ORÇAMENTO!$Z$15:$Z$93,"CP",ORÇAMENTO!$X$15:$X$93)+SUMIF(ORÇAMENTO!$Z$15:$Z$93,"OU",ORÇAMENTO!$X$15:$X$93)</definedName>
    <definedName name="ORÇAMENTO.SumOUTROSMANUAL" hidden="1">SUMIF(ORÇAMENTO!$Z$15:$Z$93,"OU",ORÇAMENTO!$AB$15:$AB$93)</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PLE!$A$13:$A$42</definedName>
    <definedName name="PLE.FirstCol" hidden="1">PLE!$G:$G</definedName>
    <definedName name="PLE.firstrow" hidden="1">PLE!$15:$15</definedName>
    <definedName name="PLE.FrenteRow" hidden="1">PLE!$11:$11</definedName>
    <definedName name="PLE.LastCol" hidden="1">PLE!$AG:$AG</definedName>
    <definedName name="PLE.lastrow" hidden="1">PLE!$26:$26</definedName>
    <definedName name="PLE.LinhaPadrão" hidden="1">PLE!$1:$1</definedName>
    <definedName name="PLE.margemrow" hidden="1">PLE!$43:$43</definedName>
    <definedName name="PLE.Medicao" hidden="1">PLE!$J$9</definedName>
    <definedName name="PLE.MEDIÇÕES.firstrow" hidden="1">PLE!$27:$27</definedName>
    <definedName name="PLE.MEDIÇÕES.lastrow" hidden="1">PLE!$37:$37</definedName>
    <definedName name="PLE.MEDIÇÕES.LinhaPadrão" hidden="1">PLE!$27:$34</definedName>
    <definedName name="PLE.Título" hidden="1">PLE!$H$3</definedName>
    <definedName name="PLE.ValorDoEvento" hidden="1">SUMIF(CÁLCULO!$M$15:$M$93,PLE!$B1,OFFSET(CÁLCULO!$AA$15:$AA$93,0,PLE!A$12))</definedName>
    <definedName name="PO.ValoresBDI" hidden="1">OFFSET(ORÇAMENTO!$AH$15,1,0):OFFSET(ORÇAMENTO!$AH$93,-1,0)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(COUNTIF(QCI!$B$13:$B$15,"Manual")+COUNTIF(QCI!$B$13:$B$15,"SemiAuto"))&gt;0</definedName>
    <definedName name="QCI.Filtro" hidden="1">QCI!$C$13:$C$16</definedName>
    <definedName name="QCI.firstrow" hidden="1">QCI!$13:$13</definedName>
    <definedName name="QCI.InvManual" hidden="1">ROUND(QCI!$U1,2)</definedName>
    <definedName name="QCI.ItemInvestimento" hidden="1">OFFSET(DADOS!$L$2,1,0,COUNTA(DADOS!$L:$L)-1,1)</definedName>
    <definedName name="QCI.lastrow" hidden="1">QCI!$15:$15</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SUMIF(QCI!$B$13:$B$15,"Manual",QCI!$AA$13:$AA$15)</definedName>
    <definedName name="QCI.SumINVMANUAL" hidden="1">SUMIF(QCI!$B$13:$B$15,"Manual",QCI!$O$13:$O$15)</definedName>
    <definedName name="QCI.SumOUTROSMANUAL" hidden="1">SUMIF(QCI!$B$13:$B$15,"Manual",QCI!$AB$13:$AB$15)</definedName>
    <definedName name="QCI.SumREPASSEMANUAL" hidden="1">QCI.SumINVMANUAL-QCI.CPManual-QCI.OutrosManual</definedName>
    <definedName name="QCI.Título" hidden="1">QCI!$F$1</definedName>
    <definedName name="QCI.TotalCP" hidden="1">QCI!$M$15</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RRE!$Y$17:$Z$18</definedName>
    <definedName name="RRE.Filtro" hidden="1">RRE!$D$13:$D$19</definedName>
    <definedName name="RRE.firstrow" hidden="1">RRE!$13:$13</definedName>
    <definedName name="RRE.lastrow" hidden="1">RRE!$15:$15</definedName>
    <definedName name="RRE.LinhaPadrão" hidden="1">RRE!$12:$12</definedName>
    <definedName name="RRE.MaxCPAcum" hidden="1">RRE!$AD$17</definedName>
    <definedName name="RRE.MaxCPAnt" hidden="1">RRE!$AC$17</definedName>
    <definedName name="RRE.MaxOUAcum" hidden="1">RRE!$AD$18</definedName>
    <definedName name="RRE.MaxOUAnt" hidden="1">RRE!$AC$18</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8" i="5" l="1" a="1"/>
  <c r="F8" i="5"/>
  <c r="C16" i="5"/>
  <c r="C17" i="5"/>
  <c r="B17" i="5"/>
  <c r="A18" i="5"/>
  <c r="C18" i="5"/>
  <c r="A19" i="5"/>
  <c r="C19" i="5"/>
  <c r="A20" i="5"/>
  <c r="C20" i="5"/>
  <c r="A21" i="5"/>
  <c r="C21" i="5"/>
  <c r="A22" i="5"/>
  <c r="C22" i="5"/>
  <c r="A23" i="5"/>
  <c r="C23" i="5"/>
  <c r="A24" i="5"/>
  <c r="C24" i="5"/>
  <c r="A25" i="5"/>
  <c r="C25" i="5"/>
  <c r="A26" i="5"/>
  <c r="C26" i="5"/>
  <c r="A27" i="5"/>
  <c r="C27" i="5"/>
  <c r="A28" i="5"/>
  <c r="C28" i="5"/>
  <c r="A29" i="5"/>
  <c r="C29" i="5"/>
  <c r="A30" i="5"/>
  <c r="C30" i="5"/>
  <c r="A31" i="5"/>
  <c r="C31" i="5"/>
  <c r="A32" i="5"/>
  <c r="C32" i="5"/>
  <c r="A33" i="5"/>
  <c r="C33" i="5"/>
  <c r="A34" i="5"/>
  <c r="C34" i="5"/>
  <c r="A35" i="5"/>
  <c r="C35" i="5"/>
  <c r="A36" i="5"/>
  <c r="C36" i="5"/>
  <c r="A37" i="5"/>
  <c r="C37" i="5"/>
  <c r="A38" i="5"/>
  <c r="C38" i="5"/>
  <c r="B18" i="5"/>
  <c r="B19" i="5"/>
  <c r="B20" i="5"/>
  <c r="B21" i="5"/>
  <c r="B22" i="5"/>
  <c r="B23" i="5"/>
  <c r="B24" i="5"/>
  <c r="B25" i="5"/>
  <c r="B26" i="5"/>
  <c r="B27" i="5"/>
  <c r="B28" i="5"/>
  <c r="B29" i="5"/>
  <c r="B30" i="5"/>
  <c r="B31" i="5"/>
  <c r="B32" i="5"/>
  <c r="B33" i="5"/>
  <c r="B34" i="5"/>
  <c r="B35" i="5"/>
  <c r="B36" i="5"/>
  <c r="B37" i="5"/>
  <c r="B38" i="5"/>
  <c r="A39" i="5"/>
  <c r="C39" i="5"/>
  <c r="B39" i="5"/>
  <c r="A40" i="5"/>
  <c r="C40" i="5"/>
  <c r="A41" i="5"/>
  <c r="C41" i="5"/>
  <c r="A42" i="5"/>
  <c r="C42" i="5"/>
  <c r="A43" i="5"/>
  <c r="C43" i="5"/>
  <c r="AE43" i="5" a="1"/>
  <c r="AE43" i="5"/>
  <c r="AF43" i="5" a="1"/>
  <c r="AF43" i="5"/>
  <c r="AG43" i="5" a="1"/>
  <c r="AG43" i="5"/>
  <c r="D14" i="11"/>
  <c r="A14" i="11"/>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B40" i="5"/>
  <c r="B41" i="5"/>
  <c r="B42" i="5"/>
  <c r="B43" i="5"/>
  <c r="A44" i="5"/>
  <c r="C44" i="5"/>
  <c r="E44" i="5"/>
  <c r="A45" i="5"/>
  <c r="C45" i="5"/>
  <c r="E45" i="5"/>
  <c r="A46" i="5"/>
  <c r="C46" i="5"/>
  <c r="E46" i="5"/>
  <c r="A47" i="5"/>
  <c r="C47" i="5"/>
  <c r="E47" i="5"/>
  <c r="A48" i="5"/>
  <c r="C48" i="5"/>
  <c r="E48" i="5"/>
  <c r="A49" i="5"/>
  <c r="C49" i="5"/>
  <c r="E49" i="5"/>
  <c r="B44" i="5"/>
  <c r="B45" i="5"/>
  <c r="B46" i="5"/>
  <c r="B47" i="5"/>
  <c r="B48" i="5"/>
  <c r="B49" i="5"/>
  <c r="A50" i="5"/>
  <c r="C50" i="5"/>
  <c r="E50" i="5"/>
  <c r="A51" i="5"/>
  <c r="C51" i="5"/>
  <c r="E51" i="5"/>
  <c r="A52" i="5"/>
  <c r="C52" i="5"/>
  <c r="E52" i="5"/>
  <c r="A53" i="5"/>
  <c r="C53" i="5"/>
  <c r="E53" i="5"/>
  <c r="A54" i="5"/>
  <c r="C54" i="5"/>
  <c r="E54" i="5"/>
  <c r="B50" i="5"/>
  <c r="B51" i="5"/>
  <c r="B52" i="5"/>
  <c r="B53" i="5"/>
  <c r="B54" i="5"/>
  <c r="A55" i="5"/>
  <c r="C55" i="5"/>
  <c r="E55" i="5"/>
  <c r="A56" i="5"/>
  <c r="C56" i="5"/>
  <c r="E56" i="5"/>
  <c r="A57" i="5"/>
  <c r="C57" i="5"/>
  <c r="E57" i="5"/>
  <c r="A58" i="5"/>
  <c r="C58" i="5"/>
  <c r="E58" i="5"/>
  <c r="A59" i="5"/>
  <c r="C59" i="5"/>
  <c r="E59" i="5"/>
  <c r="A60" i="5"/>
  <c r="C60" i="5"/>
  <c r="E60" i="5"/>
  <c r="B55" i="5"/>
  <c r="B56" i="5"/>
  <c r="B57" i="5"/>
  <c r="B58" i="5"/>
  <c r="B59" i="5"/>
  <c r="B60" i="5"/>
  <c r="A61" i="5"/>
  <c r="C61" i="5"/>
  <c r="E61" i="5"/>
  <c r="B61" i="5"/>
  <c r="A62" i="5"/>
  <c r="C62" i="5"/>
  <c r="E62" i="5"/>
  <c r="A63" i="5"/>
  <c r="C63" i="5"/>
  <c r="E63" i="5"/>
  <c r="A64" i="5"/>
  <c r="C64" i="5"/>
  <c r="E64" i="5"/>
  <c r="A65" i="5"/>
  <c r="C65" i="5"/>
  <c r="E65" i="5"/>
  <c r="B62" i="5"/>
  <c r="B63" i="5"/>
  <c r="B64" i="5"/>
  <c r="B65" i="5"/>
  <c r="A66" i="5"/>
  <c r="C66" i="5"/>
  <c r="E66" i="5"/>
  <c r="A67" i="5"/>
  <c r="C67" i="5"/>
  <c r="E67" i="5"/>
  <c r="A68" i="5"/>
  <c r="C68" i="5"/>
  <c r="E68" i="5"/>
  <c r="A69" i="5"/>
  <c r="C69" i="5"/>
  <c r="E69" i="5"/>
  <c r="B66" i="5"/>
  <c r="B67" i="5"/>
  <c r="B68" i="5"/>
  <c r="B69" i="5"/>
  <c r="A70" i="5"/>
  <c r="C70" i="5"/>
  <c r="E70" i="5"/>
  <c r="B70" i="5"/>
  <c r="A71" i="5"/>
  <c r="C71" i="5"/>
  <c r="E71" i="5"/>
  <c r="A72" i="5"/>
  <c r="C72" i="5"/>
  <c r="E72" i="5"/>
  <c r="A73" i="5"/>
  <c r="C73" i="5"/>
  <c r="E73" i="5"/>
  <c r="A74" i="5"/>
  <c r="C74" i="5"/>
  <c r="E74" i="5"/>
  <c r="B71" i="5"/>
  <c r="B72" i="5"/>
  <c r="B73" i="5"/>
  <c r="B74" i="5"/>
  <c r="A75" i="5"/>
  <c r="C75" i="5"/>
  <c r="E75" i="5"/>
  <c r="B75" i="5"/>
  <c r="A76" i="5"/>
  <c r="C76" i="5"/>
  <c r="E76" i="5"/>
  <c r="A77" i="5"/>
  <c r="C77" i="5"/>
  <c r="E77" i="5"/>
  <c r="A78" i="5"/>
  <c r="C78" i="5"/>
  <c r="E78" i="5"/>
  <c r="A79" i="5"/>
  <c r="C79" i="5"/>
  <c r="E79" i="5"/>
  <c r="B76" i="5"/>
  <c r="B77" i="5"/>
  <c r="B78" i="5"/>
  <c r="B79" i="5"/>
  <c r="A80" i="5"/>
  <c r="C80" i="5"/>
  <c r="E80" i="5"/>
  <c r="B80" i="5"/>
  <c r="A81" i="5"/>
  <c r="C81" i="5"/>
  <c r="E81" i="5"/>
  <c r="A82" i="5"/>
  <c r="C82" i="5"/>
  <c r="E82" i="5"/>
  <c r="B81" i="5"/>
  <c r="B82" i="5"/>
  <c r="A83" i="5"/>
  <c r="C83" i="5"/>
  <c r="E83" i="5"/>
  <c r="A84" i="5"/>
  <c r="C84" i="5"/>
  <c r="E84" i="5"/>
  <c r="B83" i="5"/>
  <c r="B84" i="5"/>
  <c r="A85" i="5"/>
  <c r="C85" i="5"/>
  <c r="E85" i="5"/>
  <c r="A86" i="5"/>
  <c r="C86" i="5"/>
  <c r="E86" i="5"/>
  <c r="B85" i="5"/>
  <c r="B86" i="5"/>
  <c r="A87" i="5"/>
  <c r="C87" i="5"/>
  <c r="E87" i="5"/>
  <c r="A88" i="5"/>
  <c r="C88" i="5"/>
  <c r="E88" i="5"/>
  <c r="B87" i="5"/>
  <c r="B88" i="5"/>
  <c r="A89" i="5"/>
  <c r="C89" i="5"/>
  <c r="E89" i="5"/>
  <c r="A90" i="5"/>
  <c r="C90" i="5"/>
  <c r="E90" i="5"/>
  <c r="A91" i="5"/>
  <c r="C91" i="5"/>
  <c r="E91" i="5"/>
  <c r="A92" i="5"/>
  <c r="C92" i="5"/>
  <c r="E92" i="5"/>
  <c r="L16" i="6"/>
  <c r="N16" i="5"/>
  <c r="D16" i="6"/>
  <c r="M16" i="6"/>
  <c r="A12" i="6"/>
  <c r="A11" i="6"/>
  <c r="A15" i="6" a="1"/>
  <c r="A15" i="6"/>
  <c r="AX16" i="6" a="1"/>
  <c r="AX16" i="6"/>
  <c r="AB13" i="6"/>
  <c r="Q1" i="6" a="1"/>
  <c r="Q1" i="6"/>
  <c r="AB12" i="6"/>
  <c r="H16" i="6" a="1"/>
  <c r="H16" i="6"/>
  <c r="AB16" i="6"/>
  <c r="AY16" i="6" a="1"/>
  <c r="AY16" i="6"/>
  <c r="AZ16" i="6" a="1"/>
  <c r="BA16" i="6" a="1"/>
  <c r="BB16" i="6" a="1"/>
  <c r="BC16" i="6" a="1"/>
  <c r="BD16" i="6" a="1"/>
  <c r="BE16" i="6" a="1"/>
  <c r="BF16" i="6" a="1"/>
  <c r="BG16" i="6" a="1"/>
  <c r="L17" i="6"/>
  <c r="N17" i="5"/>
  <c r="D17" i="6"/>
  <c r="M17" i="6"/>
  <c r="AX17" i="6" a="1"/>
  <c r="AY17" i="6" a="1"/>
  <c r="AZ17" i="6" a="1"/>
  <c r="BA17" i="6" a="1"/>
  <c r="BB17" i="6" a="1"/>
  <c r="BC17" i="6" a="1"/>
  <c r="BD17" i="6" a="1"/>
  <c r="BE17" i="6" a="1"/>
  <c r="BF17" i="6" a="1"/>
  <c r="BG17" i="6" a="1"/>
  <c r="L18" i="6"/>
  <c r="N18" i="5"/>
  <c r="D18" i="6"/>
  <c r="M18" i="6"/>
  <c r="AX18" i="6" a="1"/>
  <c r="AY18" i="6" a="1"/>
  <c r="AZ18" i="6" a="1"/>
  <c r="BA18" i="6" a="1"/>
  <c r="BB18" i="6" a="1"/>
  <c r="BC18" i="6" a="1"/>
  <c r="BD18" i="6" a="1"/>
  <c r="BE18" i="6" a="1"/>
  <c r="BF18" i="6" a="1"/>
  <c r="BG18" i="6" a="1"/>
  <c r="L19" i="6"/>
  <c r="N19" i="5"/>
  <c r="D19" i="6"/>
  <c r="C15" i="7" a="1"/>
  <c r="C15" i="7"/>
  <c r="D15" i="7"/>
  <c r="C16" i="7" a="1"/>
  <c r="C16" i="7"/>
  <c r="D16" i="7"/>
  <c r="C17" i="7" a="1"/>
  <c r="C17" i="7"/>
  <c r="D17" i="7"/>
  <c r="C18" i="7" a="1"/>
  <c r="C18" i="7"/>
  <c r="D18" i="7"/>
  <c r="C19" i="7" a="1"/>
  <c r="C19" i="7"/>
  <c r="R66" i="5"/>
  <c r="D19" i="7"/>
  <c r="C20" i="7" a="1"/>
  <c r="C20" i="7"/>
  <c r="R70" i="5"/>
  <c r="D20" i="7"/>
  <c r="C21" i="7" a="1"/>
  <c r="C21" i="7"/>
  <c r="R75" i="5"/>
  <c r="D21" i="7"/>
  <c r="C22" i="7" a="1"/>
  <c r="C22" i="7"/>
  <c r="R80" i="5"/>
  <c r="D22" i="7"/>
  <c r="C23" i="7" a="1"/>
  <c r="C23" i="7"/>
  <c r="R85" i="5"/>
  <c r="D23" i="7"/>
  <c r="C24" i="7" a="1"/>
  <c r="C24" i="7"/>
  <c r="R87" i="5"/>
  <c r="D24" i="7"/>
  <c r="C25" i="7" a="1"/>
  <c r="C25" i="7"/>
  <c r="A19" i="6"/>
  <c r="M19" i="6"/>
  <c r="AX13" i="6"/>
  <c r="AX19" i="6" a="1"/>
  <c r="AY13" i="6"/>
  <c r="AY19" i="6" a="1"/>
  <c r="AZ13" i="6"/>
  <c r="AZ19" i="6" a="1"/>
  <c r="BA13" i="6"/>
  <c r="BA19" i="6" a="1"/>
  <c r="BB13" i="6"/>
  <c r="BB19" i="6" a="1"/>
  <c r="BC13" i="6"/>
  <c r="BC19" i="6" a="1"/>
  <c r="BD13" i="6"/>
  <c r="BD19" i="6" a="1"/>
  <c r="BE13" i="6"/>
  <c r="BE19" i="6" a="1"/>
  <c r="BF13" i="6"/>
  <c r="BF19" i="6" a="1"/>
  <c r="BG13" i="6"/>
  <c r="BG19" i="6" a="1"/>
  <c r="L20" i="6"/>
  <c r="N20" i="5"/>
  <c r="D20" i="6"/>
  <c r="A20" i="6"/>
  <c r="M20" i="6"/>
  <c r="AX20" i="6" a="1"/>
  <c r="AY20" i="6" a="1"/>
  <c r="AZ20" i="6" a="1"/>
  <c r="BA20" i="6" a="1"/>
  <c r="BB20" i="6" a="1"/>
  <c r="BC20" i="6" a="1"/>
  <c r="BD20" i="6" a="1"/>
  <c r="BE20" i="6" a="1"/>
  <c r="BF20" i="6" a="1"/>
  <c r="BG20" i="6" a="1"/>
  <c r="L21" i="6"/>
  <c r="N21" i="5"/>
  <c r="D21" i="6"/>
  <c r="A21" i="6"/>
  <c r="M21" i="6"/>
  <c r="AX21" i="6" a="1"/>
  <c r="AY21" i="6" a="1"/>
  <c r="AZ21" i="6" a="1"/>
  <c r="BA21" i="6" a="1"/>
  <c r="BB21" i="6" a="1"/>
  <c r="BC21" i="6" a="1"/>
  <c r="BD21" i="6" a="1"/>
  <c r="BE21" i="6" a="1"/>
  <c r="BF21" i="6" a="1"/>
  <c r="BG21" i="6" a="1"/>
  <c r="L22" i="6"/>
  <c r="N22" i="5"/>
  <c r="D22" i="6"/>
  <c r="A22" i="6"/>
  <c r="M22" i="6"/>
  <c r="AX22" i="6" a="1"/>
  <c r="AY22" i="6" a="1"/>
  <c r="AZ22" i="6" a="1"/>
  <c r="BA22" i="6" a="1"/>
  <c r="BB22" i="6" a="1"/>
  <c r="BC22" i="6" a="1"/>
  <c r="BD22" i="6" a="1"/>
  <c r="BE22" i="6" a="1"/>
  <c r="BF22" i="6" a="1"/>
  <c r="BG22" i="6" a="1"/>
  <c r="L23" i="6"/>
  <c r="N23" i="5"/>
  <c r="D23" i="6"/>
  <c r="A23" i="6"/>
  <c r="M23" i="6"/>
  <c r="AX23" i="6" a="1"/>
  <c r="AY23" i="6" a="1"/>
  <c r="AZ23" i="6" a="1"/>
  <c r="BA23" i="6" a="1"/>
  <c r="BB23" i="6" a="1"/>
  <c r="BC23" i="6" a="1"/>
  <c r="BD23" i="6" a="1"/>
  <c r="BE23" i="6" a="1"/>
  <c r="BF23" i="6" a="1"/>
  <c r="BG23" i="6" a="1"/>
  <c r="L24" i="6"/>
  <c r="N24" i="5"/>
  <c r="D24" i="6"/>
  <c r="A24" i="6"/>
  <c r="M24" i="6"/>
  <c r="AX24" i="6" a="1"/>
  <c r="AY24" i="6" a="1"/>
  <c r="AZ24" i="6" a="1"/>
  <c r="BA24" i="6" a="1"/>
  <c r="BB24" i="6" a="1"/>
  <c r="BC24" i="6" a="1"/>
  <c r="BD24" i="6" a="1"/>
  <c r="BE24" i="6" a="1"/>
  <c r="BF24" i="6" a="1"/>
  <c r="BG24" i="6" a="1"/>
  <c r="L25" i="6"/>
  <c r="N25" i="5"/>
  <c r="D25" i="6"/>
  <c r="A25" i="6"/>
  <c r="M25" i="6"/>
  <c r="AX25" i="6" a="1"/>
  <c r="AY25" i="6" a="1"/>
  <c r="AZ25" i="6" a="1"/>
  <c r="BA25" i="6" a="1"/>
  <c r="BB25" i="6" a="1"/>
  <c r="BC25" i="6" a="1"/>
  <c r="BD25" i="6" a="1"/>
  <c r="BE25" i="6" a="1"/>
  <c r="BF25" i="6" a="1"/>
  <c r="BG25" i="6" a="1"/>
  <c r="L26" i="6"/>
  <c r="N26" i="5"/>
  <c r="D26" i="6"/>
  <c r="A26" i="6"/>
  <c r="M26" i="6"/>
  <c r="AX26" i="6" a="1"/>
  <c r="AY26" i="6" a="1"/>
  <c r="AZ26" i="6" a="1"/>
  <c r="BA26" i="6" a="1"/>
  <c r="BB26" i="6" a="1"/>
  <c r="BC26" i="6" a="1"/>
  <c r="BD26" i="6" a="1"/>
  <c r="BE26" i="6" a="1"/>
  <c r="BF26" i="6" a="1"/>
  <c r="BG26" i="6" a="1"/>
  <c r="L27" i="6"/>
  <c r="N27" i="5"/>
  <c r="D27" i="6"/>
  <c r="A27" i="6"/>
  <c r="M27" i="6"/>
  <c r="AX27" i="6" a="1"/>
  <c r="AY27" i="6" a="1"/>
  <c r="AZ27" i="6" a="1"/>
  <c r="BA27" i="6" a="1"/>
  <c r="BB27" i="6" a="1"/>
  <c r="BC27" i="6" a="1"/>
  <c r="BD27" i="6" a="1"/>
  <c r="BE27" i="6" a="1"/>
  <c r="BF27" i="6" a="1"/>
  <c r="BG27" i="6" a="1"/>
  <c r="L28" i="6"/>
  <c r="N28" i="5"/>
  <c r="D28" i="6"/>
  <c r="A28" i="6"/>
  <c r="M28" i="6"/>
  <c r="AX28" i="6" a="1"/>
  <c r="AY28" i="6" a="1"/>
  <c r="AZ28" i="6" a="1"/>
  <c r="BA28" i="6" a="1"/>
  <c r="BB28" i="6" a="1"/>
  <c r="BC28" i="6" a="1"/>
  <c r="BD28" i="6" a="1"/>
  <c r="BE28" i="6" a="1"/>
  <c r="BF28" i="6" a="1"/>
  <c r="BG28" i="6" a="1"/>
  <c r="L29" i="6"/>
  <c r="N29" i="5"/>
  <c r="D29" i="6"/>
  <c r="A29" i="6"/>
  <c r="M29" i="6"/>
  <c r="AX29" i="6" a="1"/>
  <c r="AY29" i="6" a="1"/>
  <c r="AZ29" i="6" a="1"/>
  <c r="BA29" i="6" a="1"/>
  <c r="BB29" i="6" a="1"/>
  <c r="BC29" i="6" a="1"/>
  <c r="BD29" i="6" a="1"/>
  <c r="BE29" i="6" a="1"/>
  <c r="BF29" i="6" a="1"/>
  <c r="BG29" i="6" a="1"/>
  <c r="L30" i="6"/>
  <c r="N30" i="5"/>
  <c r="D30" i="6"/>
  <c r="A30" i="6"/>
  <c r="M30" i="6"/>
  <c r="AX30" i="6" a="1"/>
  <c r="AY30" i="6" a="1"/>
  <c r="AZ30" i="6" a="1"/>
  <c r="BA30" i="6" a="1"/>
  <c r="BB30" i="6" a="1"/>
  <c r="BC30" i="6" a="1"/>
  <c r="BD30" i="6" a="1"/>
  <c r="BE30" i="6" a="1"/>
  <c r="BF30" i="6" a="1"/>
  <c r="BG30" i="6" a="1"/>
  <c r="L31" i="6"/>
  <c r="N31" i="5"/>
  <c r="D31" i="6"/>
  <c r="A31" i="6"/>
  <c r="M31" i="6"/>
  <c r="AX31" i="6" a="1"/>
  <c r="AY31" i="6" a="1"/>
  <c r="AZ31" i="6" a="1"/>
  <c r="BA31" i="6" a="1"/>
  <c r="BB31" i="6" a="1"/>
  <c r="BC31" i="6" a="1"/>
  <c r="BD31" i="6" a="1"/>
  <c r="BE31" i="6" a="1"/>
  <c r="BF31" i="6" a="1"/>
  <c r="BG31" i="6" a="1"/>
  <c r="L32" i="6"/>
  <c r="N32" i="5"/>
  <c r="D32" i="6"/>
  <c r="A32" i="6"/>
  <c r="M32" i="6"/>
  <c r="AX32" i="6" a="1"/>
  <c r="AY32" i="6" a="1"/>
  <c r="AZ32" i="6" a="1"/>
  <c r="BA32" i="6" a="1"/>
  <c r="BB32" i="6" a="1"/>
  <c r="BC32" i="6" a="1"/>
  <c r="BD32" i="6" a="1"/>
  <c r="BE32" i="6" a="1"/>
  <c r="BF32" i="6" a="1"/>
  <c r="BG32" i="6" a="1"/>
  <c r="L33" i="6"/>
  <c r="N33" i="5"/>
  <c r="D33" i="6"/>
  <c r="A33" i="6"/>
  <c r="M33" i="6"/>
  <c r="AX33" i="6" a="1"/>
  <c r="AY33" i="6" a="1"/>
  <c r="AZ33" i="6" a="1"/>
  <c r="BA33" i="6" a="1"/>
  <c r="BB33" i="6" a="1"/>
  <c r="BC33" i="6" a="1"/>
  <c r="BD33" i="6" a="1"/>
  <c r="BE33" i="6" a="1"/>
  <c r="BF33" i="6" a="1"/>
  <c r="BG33" i="6" a="1"/>
  <c r="L34" i="6"/>
  <c r="N34" i="5"/>
  <c r="D34" i="6"/>
  <c r="A34" i="6"/>
  <c r="M34" i="6"/>
  <c r="AX34" i="6" a="1"/>
  <c r="AY34" i="6" a="1"/>
  <c r="AZ34" i="6" a="1"/>
  <c r="BA34" i="6" a="1"/>
  <c r="BB34" i="6" a="1"/>
  <c r="BC34" i="6" a="1"/>
  <c r="BD34" i="6" a="1"/>
  <c r="BE34" i="6" a="1"/>
  <c r="BF34" i="6" a="1"/>
  <c r="BG34" i="6" a="1"/>
  <c r="L35" i="6"/>
  <c r="N35" i="5"/>
  <c r="D35" i="6"/>
  <c r="A35" i="6"/>
  <c r="M35" i="6"/>
  <c r="AX35" i="6" a="1"/>
  <c r="AY35" i="6" a="1"/>
  <c r="AZ35" i="6" a="1"/>
  <c r="BA35" i="6" a="1"/>
  <c r="BB35" i="6" a="1"/>
  <c r="BC35" i="6" a="1"/>
  <c r="BD35" i="6" a="1"/>
  <c r="BE35" i="6" a="1"/>
  <c r="BF35" i="6" a="1"/>
  <c r="BG35" i="6" a="1"/>
  <c r="L36" i="6"/>
  <c r="N36" i="5"/>
  <c r="D36" i="6"/>
  <c r="A36" i="6"/>
  <c r="M36" i="6"/>
  <c r="AX36" i="6" a="1"/>
  <c r="AY36" i="6" a="1"/>
  <c r="AZ36" i="6" a="1"/>
  <c r="BA36" i="6" a="1"/>
  <c r="BB36" i="6" a="1"/>
  <c r="BC36" i="6" a="1"/>
  <c r="BD36" i="6" a="1"/>
  <c r="BE36" i="6" a="1"/>
  <c r="BF36" i="6" a="1"/>
  <c r="BG36" i="6" a="1"/>
  <c r="L37" i="6"/>
  <c r="N37" i="5"/>
  <c r="D37" i="6"/>
  <c r="A37" i="6"/>
  <c r="M37" i="6"/>
  <c r="AX37" i="6" a="1"/>
  <c r="AY37" i="6" a="1"/>
  <c r="AZ37" i="6" a="1"/>
  <c r="BA37" i="6" a="1"/>
  <c r="BB37" i="6" a="1"/>
  <c r="BC37" i="6" a="1"/>
  <c r="BD37" i="6" a="1"/>
  <c r="BE37" i="6" a="1"/>
  <c r="BF37" i="6" a="1"/>
  <c r="BG37" i="6" a="1"/>
  <c r="L38" i="6"/>
  <c r="N38" i="5"/>
  <c r="D38" i="6"/>
  <c r="A38" i="6"/>
  <c r="M38" i="6"/>
  <c r="AX38" i="6" a="1"/>
  <c r="AY38" i="6" a="1"/>
  <c r="AZ38" i="6" a="1"/>
  <c r="BA38" i="6" a="1"/>
  <c r="BB38" i="6" a="1"/>
  <c r="BC38" i="6" a="1"/>
  <c r="BD38" i="6" a="1"/>
  <c r="BE38" i="6" a="1"/>
  <c r="BF38" i="6" a="1"/>
  <c r="BG38" i="6" a="1"/>
  <c r="L39" i="6"/>
  <c r="N39" i="5"/>
  <c r="D39" i="6"/>
  <c r="M39" i="6"/>
  <c r="AX39" i="6" a="1"/>
  <c r="AY39" i="6" a="1"/>
  <c r="AZ39" i="6" a="1"/>
  <c r="BA39" i="6" a="1"/>
  <c r="BB39" i="6" a="1"/>
  <c r="BC39" i="6" a="1"/>
  <c r="BD39" i="6" a="1"/>
  <c r="BE39" i="6" a="1"/>
  <c r="BF39" i="6" a="1"/>
  <c r="BG39" i="6" a="1"/>
  <c r="L40" i="6"/>
  <c r="N40" i="5"/>
  <c r="D40" i="6"/>
  <c r="M40" i="6"/>
  <c r="AX40" i="6" a="1"/>
  <c r="AY40" i="6" a="1"/>
  <c r="AZ40" i="6" a="1"/>
  <c r="BA40" i="6" a="1"/>
  <c r="BB40" i="6" a="1"/>
  <c r="BC40" i="6" a="1"/>
  <c r="BD40" i="6" a="1"/>
  <c r="BE40" i="6" a="1"/>
  <c r="BF40" i="6" a="1"/>
  <c r="BG40" i="6" a="1"/>
  <c r="L41" i="6"/>
  <c r="N41" i="5"/>
  <c r="D41" i="6"/>
  <c r="A41" i="6"/>
  <c r="M41" i="6"/>
  <c r="AX41" i="6" a="1"/>
  <c r="AY41" i="6" a="1"/>
  <c r="AZ41" i="6" a="1"/>
  <c r="BA41" i="6" a="1"/>
  <c r="BB41" i="6" a="1"/>
  <c r="BC41" i="6" a="1"/>
  <c r="BD41" i="6" a="1"/>
  <c r="BE41" i="6" a="1"/>
  <c r="BF41" i="6" a="1"/>
  <c r="BG41" i="6" a="1"/>
  <c r="L42" i="6"/>
  <c r="N42" i="5"/>
  <c r="D42" i="6"/>
  <c r="A42" i="6"/>
  <c r="M42" i="6"/>
  <c r="AX42" i="6" a="1"/>
  <c r="AY42" i="6" a="1"/>
  <c r="AZ42" i="6" a="1"/>
  <c r="BA42" i="6" a="1"/>
  <c r="BB42" i="6" a="1"/>
  <c r="BC42" i="6" a="1"/>
  <c r="BD42" i="6" a="1"/>
  <c r="BE42" i="6" a="1"/>
  <c r="BF42" i="6" a="1"/>
  <c r="BG42" i="6" a="1"/>
  <c r="L43" i="6"/>
  <c r="N43" i="5"/>
  <c r="D43" i="6"/>
  <c r="A43" i="6"/>
  <c r="M43" i="6"/>
  <c r="AX43" i="6" a="1"/>
  <c r="AY43" i="6" a="1"/>
  <c r="AZ43" i="6" a="1"/>
  <c r="BA43" i="6" a="1"/>
  <c r="BB43" i="6" a="1"/>
  <c r="BC43" i="6" a="1"/>
  <c r="BD43" i="6" a="1"/>
  <c r="BE43" i="6" a="1"/>
  <c r="BF43" i="6" a="1"/>
  <c r="BG43" i="6" a="1"/>
  <c r="L44" i="6"/>
  <c r="N44" i="5"/>
  <c r="D44" i="6"/>
  <c r="M44" i="6"/>
  <c r="AX44" i="6" a="1"/>
  <c r="AY44" i="6" a="1"/>
  <c r="AZ44" i="6" a="1"/>
  <c r="BA44" i="6" a="1"/>
  <c r="BB44" i="6" a="1"/>
  <c r="BC44" i="6" a="1"/>
  <c r="BD44" i="6" a="1"/>
  <c r="BE44" i="6" a="1"/>
  <c r="BF44" i="6" a="1"/>
  <c r="BG44" i="6" a="1"/>
  <c r="L45" i="6"/>
  <c r="N45" i="5"/>
  <c r="D45" i="6"/>
  <c r="A45" i="6"/>
  <c r="M45" i="6"/>
  <c r="AX45" i="6" a="1"/>
  <c r="AY45" i="6" a="1"/>
  <c r="AZ45" i="6" a="1"/>
  <c r="BA45" i="6" a="1"/>
  <c r="BB45" i="6" a="1"/>
  <c r="BC45" i="6" a="1"/>
  <c r="BD45" i="6" a="1"/>
  <c r="BE45" i="6" a="1"/>
  <c r="BF45" i="6" a="1"/>
  <c r="BG45" i="6" a="1"/>
  <c r="L46" i="6"/>
  <c r="N46" i="5"/>
  <c r="D46" i="6"/>
  <c r="A46" i="6"/>
  <c r="M46" i="6"/>
  <c r="AX46" i="6" a="1"/>
  <c r="AY46" i="6" a="1"/>
  <c r="AZ46" i="6" a="1"/>
  <c r="BA46" i="6" a="1"/>
  <c r="BB46" i="6" a="1"/>
  <c r="BC46" i="6" a="1"/>
  <c r="BD46" i="6" a="1"/>
  <c r="BE46" i="6" a="1"/>
  <c r="BF46" i="6" a="1"/>
  <c r="BG46" i="6" a="1"/>
  <c r="L47" i="6"/>
  <c r="N47" i="5"/>
  <c r="D47" i="6"/>
  <c r="A47" i="6"/>
  <c r="M47" i="6"/>
  <c r="AX47" i="6" a="1"/>
  <c r="AY47" i="6" a="1"/>
  <c r="AZ47" i="6" a="1"/>
  <c r="BA47" i="6" a="1"/>
  <c r="BB47" i="6" a="1"/>
  <c r="BC47" i="6" a="1"/>
  <c r="BD47" i="6" a="1"/>
  <c r="BE47" i="6" a="1"/>
  <c r="BF47" i="6" a="1"/>
  <c r="BG47" i="6" a="1"/>
  <c r="L48" i="6"/>
  <c r="N48" i="5"/>
  <c r="D48" i="6"/>
  <c r="A48" i="6"/>
  <c r="M48" i="6"/>
  <c r="AX48" i="6" a="1"/>
  <c r="AY48" i="6" a="1"/>
  <c r="AZ48" i="6" a="1"/>
  <c r="BA48" i="6" a="1"/>
  <c r="BB48" i="6" a="1"/>
  <c r="BC48" i="6" a="1"/>
  <c r="BD48" i="6" a="1"/>
  <c r="BE48" i="6" a="1"/>
  <c r="BF48" i="6" a="1"/>
  <c r="BG48" i="6" a="1"/>
  <c r="L49" i="6"/>
  <c r="N49" i="5"/>
  <c r="D49" i="6"/>
  <c r="A49" i="6"/>
  <c r="M49" i="6"/>
  <c r="AX49" i="6" a="1"/>
  <c r="AY49" i="6" a="1"/>
  <c r="AZ49" i="6" a="1"/>
  <c r="BA49" i="6" a="1"/>
  <c r="BB49" i="6" a="1"/>
  <c r="BC49" i="6" a="1"/>
  <c r="BD49" i="6" a="1"/>
  <c r="BE49" i="6" a="1"/>
  <c r="BF49" i="6" a="1"/>
  <c r="BG49" i="6" a="1"/>
  <c r="L50" i="6"/>
  <c r="N50" i="5"/>
  <c r="D50" i="6"/>
  <c r="M50" i="6"/>
  <c r="AX50" i="6" a="1"/>
  <c r="AY50" i="6" a="1"/>
  <c r="AZ50" i="6" a="1"/>
  <c r="BA50" i="6" a="1"/>
  <c r="BB50" i="6" a="1"/>
  <c r="BC50" i="6" a="1"/>
  <c r="BD50" i="6" a="1"/>
  <c r="BE50" i="6" a="1"/>
  <c r="BF50" i="6" a="1"/>
  <c r="BG50" i="6" a="1"/>
  <c r="L51" i="6"/>
  <c r="N51" i="5"/>
  <c r="D51" i="6"/>
  <c r="A51" i="6"/>
  <c r="M51" i="6"/>
  <c r="AX51" i="6" a="1"/>
  <c r="AY51" i="6" a="1"/>
  <c r="AZ51" i="6" a="1"/>
  <c r="BA51" i="6" a="1"/>
  <c r="BB51" i="6" a="1"/>
  <c r="BC51" i="6" a="1"/>
  <c r="BD51" i="6" a="1"/>
  <c r="BE51" i="6" a="1"/>
  <c r="BF51" i="6" a="1"/>
  <c r="BG51" i="6" a="1"/>
  <c r="L52" i="6"/>
  <c r="N52" i="5"/>
  <c r="D52" i="6"/>
  <c r="A52" i="6"/>
  <c r="M52" i="6"/>
  <c r="AX52" i="6" a="1"/>
  <c r="AY52" i="6" a="1"/>
  <c r="AZ52" i="6" a="1"/>
  <c r="BA52" i="6" a="1"/>
  <c r="BB52" i="6" a="1"/>
  <c r="BC52" i="6" a="1"/>
  <c r="BD52" i="6" a="1"/>
  <c r="BE52" i="6" a="1"/>
  <c r="BF52" i="6" a="1"/>
  <c r="BG52" i="6" a="1"/>
  <c r="L53" i="6"/>
  <c r="N53" i="5"/>
  <c r="D53" i="6"/>
  <c r="A53" i="6"/>
  <c r="M53" i="6"/>
  <c r="AX53" i="6" a="1"/>
  <c r="AY53" i="6" a="1"/>
  <c r="AZ53" i="6" a="1"/>
  <c r="BA53" i="6" a="1"/>
  <c r="BB53" i="6" a="1"/>
  <c r="BC53" i="6" a="1"/>
  <c r="BD53" i="6" a="1"/>
  <c r="BE53" i="6" a="1"/>
  <c r="BF53" i="6" a="1"/>
  <c r="BG53" i="6" a="1"/>
  <c r="L54" i="6"/>
  <c r="N54" i="5"/>
  <c r="D54" i="6"/>
  <c r="A54" i="6"/>
  <c r="M54" i="6"/>
  <c r="AX54" i="6" a="1"/>
  <c r="AY54" i="6" a="1"/>
  <c r="AZ54" i="6" a="1"/>
  <c r="BA54" i="6" a="1"/>
  <c r="BB54" i="6" a="1"/>
  <c r="BC54" i="6" a="1"/>
  <c r="BD54" i="6" a="1"/>
  <c r="BE54" i="6" a="1"/>
  <c r="BF54" i="6" a="1"/>
  <c r="BG54" i="6" a="1"/>
  <c r="L55" i="6"/>
  <c r="N55" i="5"/>
  <c r="D55" i="6"/>
  <c r="M55" i="6"/>
  <c r="AX55" i="6" a="1"/>
  <c r="AY55" i="6" a="1"/>
  <c r="AZ55" i="6" a="1"/>
  <c r="BA55" i="6" a="1"/>
  <c r="BB55" i="6" a="1"/>
  <c r="BC55" i="6" a="1"/>
  <c r="BD55" i="6" a="1"/>
  <c r="BE55" i="6" a="1"/>
  <c r="BF55" i="6" a="1"/>
  <c r="BG55" i="6" a="1"/>
  <c r="L56" i="6"/>
  <c r="N56" i="5"/>
  <c r="D56" i="6"/>
  <c r="A56" i="6"/>
  <c r="M56" i="6"/>
  <c r="AX56" i="6" a="1"/>
  <c r="AY56" i="6" a="1"/>
  <c r="AZ56" i="6" a="1"/>
  <c r="BA56" i="6" a="1"/>
  <c r="BB56" i="6" a="1"/>
  <c r="BC56" i="6" a="1"/>
  <c r="BD56" i="6" a="1"/>
  <c r="BE56" i="6" a="1"/>
  <c r="BF56" i="6" a="1"/>
  <c r="BG56" i="6" a="1"/>
  <c r="L57" i="6"/>
  <c r="N57" i="5"/>
  <c r="D57" i="6"/>
  <c r="A57" i="6"/>
  <c r="M57" i="6"/>
  <c r="AX57" i="6" a="1"/>
  <c r="AY57" i="6" a="1"/>
  <c r="AZ57" i="6" a="1"/>
  <c r="BA57" i="6" a="1"/>
  <c r="BB57" i="6" a="1"/>
  <c r="BC57" i="6" a="1"/>
  <c r="BD57" i="6" a="1"/>
  <c r="BE57" i="6" a="1"/>
  <c r="BF57" i="6" a="1"/>
  <c r="BG57" i="6" a="1"/>
  <c r="L58" i="6"/>
  <c r="N58" i="5"/>
  <c r="D58" i="6"/>
  <c r="A58" i="6"/>
  <c r="M58" i="6"/>
  <c r="AX58" i="6" a="1"/>
  <c r="AY58" i="6" a="1"/>
  <c r="AZ58" i="6" a="1"/>
  <c r="BA58" i="6" a="1"/>
  <c r="BB58" i="6" a="1"/>
  <c r="BC58" i="6" a="1"/>
  <c r="BD58" i="6" a="1"/>
  <c r="BE58" i="6" a="1"/>
  <c r="BF58" i="6" a="1"/>
  <c r="BG58" i="6" a="1"/>
  <c r="L59" i="6"/>
  <c r="N59" i="5"/>
  <c r="D59" i="6"/>
  <c r="A59" i="6"/>
  <c r="M59" i="6"/>
  <c r="AX59" i="6" a="1"/>
  <c r="AY59" i="6" a="1"/>
  <c r="AZ59" i="6" a="1"/>
  <c r="BA59" i="6" a="1"/>
  <c r="BB59" i="6" a="1"/>
  <c r="BC59" i="6" a="1"/>
  <c r="BD59" i="6" a="1"/>
  <c r="BE59" i="6" a="1"/>
  <c r="BF59" i="6" a="1"/>
  <c r="BG59" i="6" a="1"/>
  <c r="L60" i="6"/>
  <c r="N60" i="5"/>
  <c r="D60" i="6"/>
  <c r="A60" i="6"/>
  <c r="M60" i="6"/>
  <c r="AX60" i="6" a="1"/>
  <c r="AY60" i="6" a="1"/>
  <c r="AZ60" i="6" a="1"/>
  <c r="BA60" i="6" a="1"/>
  <c r="BB60" i="6" a="1"/>
  <c r="BC60" i="6" a="1"/>
  <c r="BD60" i="6" a="1"/>
  <c r="BE60" i="6" a="1"/>
  <c r="BF60" i="6" a="1"/>
  <c r="BG60" i="6" a="1"/>
  <c r="L61" i="6"/>
  <c r="N61" i="5"/>
  <c r="D61" i="6"/>
  <c r="M61" i="6"/>
  <c r="AX61" i="6" a="1"/>
  <c r="AY61" i="6" a="1"/>
  <c r="AZ61" i="6" a="1"/>
  <c r="BA61" i="6" a="1"/>
  <c r="BB61" i="6" a="1"/>
  <c r="BC61" i="6" a="1"/>
  <c r="BD61" i="6" a="1"/>
  <c r="BE61" i="6" a="1"/>
  <c r="BF61" i="6" a="1"/>
  <c r="BG61" i="6" a="1"/>
  <c r="L62" i="6"/>
  <c r="N62" i="5"/>
  <c r="D62" i="6"/>
  <c r="M62" i="6"/>
  <c r="AX62" i="6" a="1"/>
  <c r="AY62" i="6" a="1"/>
  <c r="AZ62" i="6" a="1"/>
  <c r="BA62" i="6" a="1"/>
  <c r="BB62" i="6" a="1"/>
  <c r="BC62" i="6" a="1"/>
  <c r="BD62" i="6" a="1"/>
  <c r="BE62" i="6" a="1"/>
  <c r="BF62" i="6" a="1"/>
  <c r="BG62" i="6" a="1"/>
  <c r="L63" i="6"/>
  <c r="N63" i="5"/>
  <c r="D63" i="6"/>
  <c r="A63" i="6"/>
  <c r="M63" i="6"/>
  <c r="AX63" i="6" a="1"/>
  <c r="AY63" i="6" a="1"/>
  <c r="AZ63" i="6" a="1"/>
  <c r="BA63" i="6" a="1"/>
  <c r="BB63" i="6" a="1"/>
  <c r="BC63" i="6" a="1"/>
  <c r="BD63" i="6" a="1"/>
  <c r="BE63" i="6" a="1"/>
  <c r="BF63" i="6" a="1"/>
  <c r="BG63" i="6" a="1"/>
  <c r="L64" i="6"/>
  <c r="N64" i="5"/>
  <c r="D64" i="6"/>
  <c r="A64" i="6"/>
  <c r="M64" i="6"/>
  <c r="AX64" i="6" a="1"/>
  <c r="AY64" i="6" a="1"/>
  <c r="AZ64" i="6" a="1"/>
  <c r="BA64" i="6" a="1"/>
  <c r="BB64" i="6" a="1"/>
  <c r="BC64" i="6" a="1"/>
  <c r="BD64" i="6" a="1"/>
  <c r="BE64" i="6" a="1"/>
  <c r="BF64" i="6" a="1"/>
  <c r="BG64" i="6" a="1"/>
  <c r="L65" i="6"/>
  <c r="N65" i="5"/>
  <c r="D65" i="6"/>
  <c r="A65" i="6"/>
  <c r="M65" i="6"/>
  <c r="AX65" i="6" a="1"/>
  <c r="AY65" i="6" a="1"/>
  <c r="AZ65" i="6" a="1"/>
  <c r="BA65" i="6" a="1"/>
  <c r="BB65" i="6" a="1"/>
  <c r="BC65" i="6" a="1"/>
  <c r="BD65" i="6" a="1"/>
  <c r="BE65" i="6" a="1"/>
  <c r="BF65" i="6" a="1"/>
  <c r="BG65" i="6" a="1"/>
  <c r="L66" i="6"/>
  <c r="N66" i="5"/>
  <c r="D66" i="6"/>
  <c r="M66" i="6"/>
  <c r="AX66" i="6" a="1"/>
  <c r="AY66" i="6" a="1"/>
  <c r="AZ66" i="6" a="1"/>
  <c r="BA66" i="6" a="1"/>
  <c r="BB66" i="6" a="1"/>
  <c r="BC66" i="6" a="1"/>
  <c r="BD66" i="6" a="1"/>
  <c r="BE66" i="6" a="1"/>
  <c r="BF66" i="6" a="1"/>
  <c r="BG66" i="6" a="1"/>
  <c r="L67" i="6"/>
  <c r="N67" i="5"/>
  <c r="D67" i="6"/>
  <c r="A67" i="6"/>
  <c r="M67" i="6"/>
  <c r="AX67" i="6" a="1"/>
  <c r="AY67" i="6" a="1"/>
  <c r="AZ67" i="6" a="1"/>
  <c r="BA67" i="6" a="1"/>
  <c r="BB67" i="6" a="1"/>
  <c r="BC67" i="6" a="1"/>
  <c r="BD67" i="6" a="1"/>
  <c r="BE67" i="6" a="1"/>
  <c r="BF67" i="6" a="1"/>
  <c r="BG67" i="6" a="1"/>
  <c r="L68" i="6"/>
  <c r="N68" i="5"/>
  <c r="D68" i="6"/>
  <c r="A68" i="6"/>
  <c r="M68" i="6"/>
  <c r="AX68" i="6" a="1"/>
  <c r="AY68" i="6" a="1"/>
  <c r="AZ68" i="6" a="1"/>
  <c r="BA68" i="6" a="1"/>
  <c r="BB68" i="6" a="1"/>
  <c r="BC68" i="6" a="1"/>
  <c r="BD68" i="6" a="1"/>
  <c r="BE68" i="6" a="1"/>
  <c r="BF68" i="6" a="1"/>
  <c r="BG68" i="6" a="1"/>
  <c r="L69" i="6"/>
  <c r="N69" i="5"/>
  <c r="D69" i="6"/>
  <c r="A69" i="6"/>
  <c r="M69" i="6"/>
  <c r="AX69" i="6" a="1"/>
  <c r="AY69" i="6" a="1"/>
  <c r="AZ69" i="6" a="1"/>
  <c r="BA69" i="6" a="1"/>
  <c r="BB69" i="6" a="1"/>
  <c r="BC69" i="6" a="1"/>
  <c r="BD69" i="6" a="1"/>
  <c r="BE69" i="6" a="1"/>
  <c r="BF69" i="6" a="1"/>
  <c r="BG69" i="6" a="1"/>
  <c r="L70" i="6"/>
  <c r="N70" i="5"/>
  <c r="D70" i="6"/>
  <c r="M70" i="6"/>
  <c r="AX70" i="6" a="1"/>
  <c r="AY70" i="6" a="1"/>
  <c r="AZ70" i="6" a="1"/>
  <c r="BA70" i="6" a="1"/>
  <c r="BB70" i="6" a="1"/>
  <c r="BC70" i="6" a="1"/>
  <c r="BD70" i="6" a="1"/>
  <c r="BE70" i="6" a="1"/>
  <c r="BF70" i="6" a="1"/>
  <c r="BG70" i="6" a="1"/>
  <c r="L71" i="6"/>
  <c r="N71" i="5"/>
  <c r="D71" i="6"/>
  <c r="M71" i="6"/>
  <c r="AX71" i="6" a="1"/>
  <c r="AY71" i="6" a="1"/>
  <c r="AZ71" i="6" a="1"/>
  <c r="BA71" i="6" a="1"/>
  <c r="BB71" i="6" a="1"/>
  <c r="BC71" i="6" a="1"/>
  <c r="BD71" i="6" a="1"/>
  <c r="BE71" i="6" a="1"/>
  <c r="BF71" i="6" a="1"/>
  <c r="BG71" i="6" a="1"/>
  <c r="L72" i="6"/>
  <c r="N72" i="5"/>
  <c r="D72" i="6"/>
  <c r="A72" i="6"/>
  <c r="M72" i="6"/>
  <c r="AX72" i="6" a="1"/>
  <c r="AY72" i="6" a="1"/>
  <c r="AZ72" i="6" a="1"/>
  <c r="BA72" i="6" a="1"/>
  <c r="BB72" i="6" a="1"/>
  <c r="BC72" i="6" a="1"/>
  <c r="BD72" i="6" a="1"/>
  <c r="BE72" i="6" a="1"/>
  <c r="BF72" i="6" a="1"/>
  <c r="BG72" i="6" a="1"/>
  <c r="L73" i="6"/>
  <c r="N73" i="5"/>
  <c r="D73" i="6"/>
  <c r="A73" i="6"/>
  <c r="M73" i="6"/>
  <c r="AX73" i="6" a="1"/>
  <c r="AY73" i="6" a="1"/>
  <c r="AZ73" i="6" a="1"/>
  <c r="BA73" i="6" a="1"/>
  <c r="BB73" i="6" a="1"/>
  <c r="BC73" i="6" a="1"/>
  <c r="BD73" i="6" a="1"/>
  <c r="BE73" i="6" a="1"/>
  <c r="BF73" i="6" a="1"/>
  <c r="BG73" i="6" a="1"/>
  <c r="L74" i="6"/>
  <c r="N74" i="5"/>
  <c r="D74" i="6"/>
  <c r="A74" i="6"/>
  <c r="M74" i="6"/>
  <c r="AX74" i="6" a="1"/>
  <c r="AY74" i="6" a="1"/>
  <c r="AZ74" i="6" a="1"/>
  <c r="BA74" i="6" a="1"/>
  <c r="BB74" i="6" a="1"/>
  <c r="BC74" i="6" a="1"/>
  <c r="BD74" i="6" a="1"/>
  <c r="BE74" i="6" a="1"/>
  <c r="BF74" i="6" a="1"/>
  <c r="BG74" i="6" a="1"/>
  <c r="L75" i="6"/>
  <c r="N75" i="5"/>
  <c r="D75" i="6"/>
  <c r="M75" i="6"/>
  <c r="AX75" i="6" a="1"/>
  <c r="AY75" i="6" a="1"/>
  <c r="AZ75" i="6" a="1"/>
  <c r="BA75" i="6" a="1"/>
  <c r="BB75" i="6" a="1"/>
  <c r="BC75" i="6" a="1"/>
  <c r="BD75" i="6" a="1"/>
  <c r="BE75" i="6" a="1"/>
  <c r="BF75" i="6" a="1"/>
  <c r="BG75" i="6" a="1"/>
  <c r="L76" i="6"/>
  <c r="N76" i="5"/>
  <c r="D76" i="6"/>
  <c r="M76" i="6"/>
  <c r="AX76" i="6" a="1"/>
  <c r="AY76" i="6" a="1"/>
  <c r="AZ76" i="6" a="1"/>
  <c r="BA76" i="6" a="1"/>
  <c r="BB76" i="6" a="1"/>
  <c r="BC76" i="6" a="1"/>
  <c r="BD76" i="6" a="1"/>
  <c r="BE76" i="6" a="1"/>
  <c r="BF76" i="6" a="1"/>
  <c r="BG76" i="6" a="1"/>
  <c r="L77" i="6"/>
  <c r="N77" i="5"/>
  <c r="D77" i="6"/>
  <c r="A77" i="6"/>
  <c r="M77" i="6"/>
  <c r="AX77" i="6" a="1"/>
  <c r="AY77" i="6" a="1"/>
  <c r="AZ77" i="6" a="1"/>
  <c r="BA77" i="6" a="1"/>
  <c r="BB77" i="6" a="1"/>
  <c r="BC77" i="6" a="1"/>
  <c r="BD77" i="6" a="1"/>
  <c r="BE77" i="6" a="1"/>
  <c r="BF77" i="6" a="1"/>
  <c r="BG77" i="6" a="1"/>
  <c r="L78" i="6"/>
  <c r="N78" i="5"/>
  <c r="D78" i="6"/>
  <c r="A78" i="6"/>
  <c r="M78" i="6"/>
  <c r="AX78" i="6" a="1"/>
  <c r="AY78" i="6" a="1"/>
  <c r="AZ78" i="6" a="1"/>
  <c r="BA78" i="6" a="1"/>
  <c r="BB78" i="6" a="1"/>
  <c r="BC78" i="6" a="1"/>
  <c r="BD78" i="6" a="1"/>
  <c r="BE78" i="6" a="1"/>
  <c r="BF78" i="6" a="1"/>
  <c r="BG78" i="6" a="1"/>
  <c r="L79" i="6"/>
  <c r="N79" i="5"/>
  <c r="D79" i="6"/>
  <c r="A79" i="6"/>
  <c r="M79" i="6"/>
  <c r="AX79" i="6" a="1"/>
  <c r="AY79" i="6" a="1"/>
  <c r="AZ79" i="6" a="1"/>
  <c r="BA79" i="6" a="1"/>
  <c r="BB79" i="6" a="1"/>
  <c r="BC79" i="6" a="1"/>
  <c r="BD79" i="6" a="1"/>
  <c r="BE79" i="6" a="1"/>
  <c r="BF79" i="6" a="1"/>
  <c r="BG79" i="6" a="1"/>
  <c r="L80" i="6"/>
  <c r="N80" i="5"/>
  <c r="D80" i="6"/>
  <c r="M80" i="6"/>
  <c r="AX80" i="6" a="1"/>
  <c r="AY80" i="6" a="1"/>
  <c r="AZ80" i="6" a="1"/>
  <c r="BA80" i="6" a="1"/>
  <c r="BB80" i="6" a="1"/>
  <c r="BC80" i="6" a="1"/>
  <c r="BD80" i="6" a="1"/>
  <c r="BE80" i="6" a="1"/>
  <c r="BF80" i="6" a="1"/>
  <c r="BG80" i="6" a="1"/>
  <c r="L81" i="6"/>
  <c r="N81" i="5"/>
  <c r="D81" i="6"/>
  <c r="M81" i="6"/>
  <c r="AX81" i="6" a="1"/>
  <c r="AY81" i="6" a="1"/>
  <c r="AZ81" i="6" a="1"/>
  <c r="BA81" i="6" a="1"/>
  <c r="BB81" i="6" a="1"/>
  <c r="BC81" i="6" a="1"/>
  <c r="BD81" i="6" a="1"/>
  <c r="BE81" i="6" a="1"/>
  <c r="BF81" i="6" a="1"/>
  <c r="BG81" i="6" a="1"/>
  <c r="L82" i="6"/>
  <c r="N82" i="5"/>
  <c r="D82" i="6"/>
  <c r="A82" i="6"/>
  <c r="M82" i="6"/>
  <c r="AX82" i="6" a="1"/>
  <c r="AY82" i="6" a="1"/>
  <c r="AZ82" i="6" a="1"/>
  <c r="BA82" i="6" a="1"/>
  <c r="BB82" i="6" a="1"/>
  <c r="BC82" i="6" a="1"/>
  <c r="BD82" i="6" a="1"/>
  <c r="BE82" i="6" a="1"/>
  <c r="BF82" i="6" a="1"/>
  <c r="BG82" i="6" a="1"/>
  <c r="L83" i="6"/>
  <c r="N83" i="5"/>
  <c r="D83" i="6"/>
  <c r="M83" i="6"/>
  <c r="AX83" i="6" a="1"/>
  <c r="AY83" i="6" a="1"/>
  <c r="AZ83" i="6" a="1"/>
  <c r="BA83" i="6" a="1"/>
  <c r="BB83" i="6" a="1"/>
  <c r="BC83" i="6" a="1"/>
  <c r="BD83" i="6" a="1"/>
  <c r="BE83" i="6" a="1"/>
  <c r="BF83" i="6" a="1"/>
  <c r="BG83" i="6" a="1"/>
  <c r="L84" i="6"/>
  <c r="N84" i="5"/>
  <c r="D84" i="6"/>
  <c r="A84" i="6"/>
  <c r="M84" i="6"/>
  <c r="AX84" i="6" a="1"/>
  <c r="AY84" i="6" a="1"/>
  <c r="AZ84" i="6" a="1"/>
  <c r="BA84" i="6" a="1"/>
  <c r="BB84" i="6" a="1"/>
  <c r="BC84" i="6" a="1"/>
  <c r="BD84" i="6" a="1"/>
  <c r="BE84" i="6" a="1"/>
  <c r="BF84" i="6" a="1"/>
  <c r="BG84" i="6" a="1"/>
  <c r="L85" i="6"/>
  <c r="N85" i="5"/>
  <c r="D85" i="6"/>
  <c r="M85" i="6"/>
  <c r="AX85" i="6" a="1"/>
  <c r="AY85" i="6" a="1"/>
  <c r="AZ85" i="6" a="1"/>
  <c r="BA85" i="6" a="1"/>
  <c r="BB85" i="6" a="1"/>
  <c r="BC85" i="6" a="1"/>
  <c r="BD85" i="6" a="1"/>
  <c r="BE85" i="6" a="1"/>
  <c r="BF85" i="6" a="1"/>
  <c r="BG85" i="6" a="1"/>
  <c r="L86" i="6"/>
  <c r="N86" i="5"/>
  <c r="D86" i="6"/>
  <c r="A86" i="6"/>
  <c r="M86" i="6"/>
  <c r="AX86" i="6" a="1"/>
  <c r="AY86" i="6" a="1"/>
  <c r="AZ86" i="6" a="1"/>
  <c r="BA86" i="6" a="1"/>
  <c r="BB86" i="6" a="1"/>
  <c r="BC86" i="6" a="1"/>
  <c r="BD86" i="6" a="1"/>
  <c r="BE86" i="6" a="1"/>
  <c r="BF86" i="6" a="1"/>
  <c r="BG86" i="6" a="1"/>
  <c r="L87" i="6"/>
  <c r="N87" i="5"/>
  <c r="D87" i="6"/>
  <c r="M87" i="6"/>
  <c r="AX87" i="6" a="1"/>
  <c r="AY87" i="6" a="1"/>
  <c r="AZ87" i="6" a="1"/>
  <c r="BA87" i="6" a="1"/>
  <c r="BB87" i="6" a="1"/>
  <c r="BC87" i="6" a="1"/>
  <c r="BD87" i="6" a="1"/>
  <c r="BE87" i="6" a="1"/>
  <c r="BF87" i="6" a="1"/>
  <c r="BG87" i="6" a="1"/>
  <c r="L88" i="6"/>
  <c r="N88" i="5"/>
  <c r="D88" i="6"/>
  <c r="A88" i="6"/>
  <c r="M88" i="6"/>
  <c r="AX88" i="6" a="1"/>
  <c r="AY88" i="6" a="1"/>
  <c r="AZ88" i="6" a="1"/>
  <c r="BA88" i="6" a="1"/>
  <c r="BB88" i="6" a="1"/>
  <c r="BC88" i="6" a="1"/>
  <c r="BD88" i="6" a="1"/>
  <c r="BE88" i="6" a="1"/>
  <c r="BF88" i="6" a="1"/>
  <c r="BG88" i="6" a="1"/>
  <c r="L89" i="6"/>
  <c r="N89" i="5"/>
  <c r="D89" i="6"/>
  <c r="M89" i="6"/>
  <c r="AX89" i="6" a="1"/>
  <c r="AY89" i="6" a="1"/>
  <c r="AZ89" i="6" a="1"/>
  <c r="BA89" i="6" a="1"/>
  <c r="BB89" i="6" a="1"/>
  <c r="BC89" i="6" a="1"/>
  <c r="BD89" i="6" a="1"/>
  <c r="BE89" i="6" a="1"/>
  <c r="BF89" i="6" a="1"/>
  <c r="BG89" i="6" a="1"/>
  <c r="L90" i="6"/>
  <c r="N90" i="5"/>
  <c r="D90" i="6"/>
  <c r="A90" i="6"/>
  <c r="M90" i="6"/>
  <c r="AX90" i="6" a="1"/>
  <c r="AY90" i="6" a="1"/>
  <c r="AZ90" i="6" a="1"/>
  <c r="BA90" i="6" a="1"/>
  <c r="BB90" i="6" a="1"/>
  <c r="BC90" i="6" a="1"/>
  <c r="BD90" i="6" a="1"/>
  <c r="BE90" i="6" a="1"/>
  <c r="BF90" i="6" a="1"/>
  <c r="BG90" i="6" a="1"/>
  <c r="L91" i="6"/>
  <c r="N91" i="5"/>
  <c r="D91" i="6"/>
  <c r="A91" i="6"/>
  <c r="M91" i="6"/>
  <c r="AX91" i="6" a="1"/>
  <c r="AY91" i="6" a="1"/>
  <c r="AZ91" i="6" a="1"/>
  <c r="BA91" i="6" a="1"/>
  <c r="BB91" i="6" a="1"/>
  <c r="BC91" i="6" a="1"/>
  <c r="BD91" i="6" a="1"/>
  <c r="BE91" i="6" a="1"/>
  <c r="BF91" i="6" a="1"/>
  <c r="BG91" i="6" a="1"/>
  <c r="L92" i="6"/>
  <c r="N92" i="5"/>
  <c r="D92" i="6"/>
  <c r="A92" i="6"/>
  <c r="M92" i="6"/>
  <c r="AX92" i="6" a="1"/>
  <c r="AY92" i="6" a="1"/>
  <c r="AZ92" i="6" a="1"/>
  <c r="BA92" i="6" a="1"/>
  <c r="BB92" i="6" a="1"/>
  <c r="BC92" i="6" a="1"/>
  <c r="BD92" i="6" a="1"/>
  <c r="BE92" i="6" a="1"/>
  <c r="BF92" i="6" a="1"/>
  <c r="BG92" i="6" a="1"/>
  <c r="H17" i="6" a="1"/>
  <c r="H17" i="6"/>
  <c r="AB17" i="6"/>
  <c r="H18" i="6" a="1"/>
  <c r="H18" i="6"/>
  <c r="AB18" i="6"/>
  <c r="R1" i="6" a="1"/>
  <c r="R1" i="6"/>
  <c r="S1" i="6" a="1"/>
  <c r="S1" i="6"/>
  <c r="T1" i="6" a="1"/>
  <c r="T1" i="6"/>
  <c r="U1" i="6" a="1"/>
  <c r="U1" i="6"/>
  <c r="V1" i="6" a="1"/>
  <c r="V1" i="6"/>
  <c r="W1" i="6" a="1"/>
  <c r="W1" i="6"/>
  <c r="X1" i="6" a="1"/>
  <c r="X1" i="6"/>
  <c r="Y1" i="6" a="1"/>
  <c r="Y1" i="6"/>
  <c r="Z1" i="6" a="1"/>
  <c r="Z1" i="6"/>
  <c r="M1" i="6"/>
  <c r="H19" i="6" a="1"/>
  <c r="H19" i="6"/>
  <c r="AE19" i="5" a="1"/>
  <c r="AE19" i="5"/>
  <c r="AF19" i="5" a="1"/>
  <c r="AF19" i="5"/>
  <c r="AG19" i="5" a="1"/>
  <c r="AG19" i="5"/>
  <c r="S27" i="4"/>
  <c r="S29" i="4"/>
  <c r="F5" i="5"/>
  <c r="AH19" i="5"/>
  <c r="W19" i="5" a="1"/>
  <c r="W19" i="5"/>
  <c r="AB19" i="6"/>
  <c r="H20" i="6" a="1"/>
  <c r="H20" i="6"/>
  <c r="AE20" i="5" a="1"/>
  <c r="AE20" i="5"/>
  <c r="AF20" i="5" a="1"/>
  <c r="AF20" i="5"/>
  <c r="AG20" i="5" a="1"/>
  <c r="AG20" i="5"/>
  <c r="AH20" i="5"/>
  <c r="W20" i="5" a="1"/>
  <c r="W20" i="5"/>
  <c r="AB20" i="6"/>
  <c r="H21" i="6" a="1"/>
  <c r="H21" i="6"/>
  <c r="AE21" i="5" a="1"/>
  <c r="AE21" i="5"/>
  <c r="AF21" i="5" a="1"/>
  <c r="AF21" i="5"/>
  <c r="AG21" i="5" a="1"/>
  <c r="AG21" i="5"/>
  <c r="AH21" i="5"/>
  <c r="W21" i="5" a="1"/>
  <c r="W21" i="5"/>
  <c r="AB21" i="6"/>
  <c r="H22" i="6" a="1"/>
  <c r="H22" i="6"/>
  <c r="AE22" i="5" a="1"/>
  <c r="AE22" i="5"/>
  <c r="AF22" i="5" a="1"/>
  <c r="AF22" i="5"/>
  <c r="AG22" i="5" a="1"/>
  <c r="AG22" i="5"/>
  <c r="AH22" i="5"/>
  <c r="W22" i="5" a="1"/>
  <c r="W22" i="5"/>
  <c r="AB22" i="6"/>
  <c r="H23" i="6" a="1"/>
  <c r="H23" i="6"/>
  <c r="AE23" i="5" a="1"/>
  <c r="AE23" i="5"/>
  <c r="AF23" i="5" a="1"/>
  <c r="AF23" i="5"/>
  <c r="AG23" i="5" a="1"/>
  <c r="AG23" i="5"/>
  <c r="AH23" i="5"/>
  <c r="W23" i="5" a="1"/>
  <c r="W23" i="5"/>
  <c r="AB23" i="6"/>
  <c r="H24" i="6" a="1"/>
  <c r="H24" i="6"/>
  <c r="AE24" i="5" a="1"/>
  <c r="AE24" i="5"/>
  <c r="AF24" i="5" a="1"/>
  <c r="AF24" i="5"/>
  <c r="AG24" i="5" a="1"/>
  <c r="AG24" i="5"/>
  <c r="AH24" i="5"/>
  <c r="W24" i="5" a="1"/>
  <c r="W24" i="5"/>
  <c r="AB24" i="6"/>
  <c r="H25" i="6" a="1"/>
  <c r="H25" i="6"/>
  <c r="AE25" i="5" a="1"/>
  <c r="AE25" i="5"/>
  <c r="AF25" i="5" a="1"/>
  <c r="AF25" i="5"/>
  <c r="AG25" i="5" a="1"/>
  <c r="AG25" i="5"/>
  <c r="AH25" i="5"/>
  <c r="W25" i="5" a="1"/>
  <c r="W25" i="5"/>
  <c r="AB25" i="6"/>
  <c r="H26" i="6" a="1"/>
  <c r="H26" i="6"/>
  <c r="AE26" i="5" a="1"/>
  <c r="AE26" i="5"/>
  <c r="AF26" i="5" a="1"/>
  <c r="AF26" i="5"/>
  <c r="AG26" i="5" a="1"/>
  <c r="AG26" i="5"/>
  <c r="AH26" i="5"/>
  <c r="W26" i="5" a="1"/>
  <c r="W26" i="5"/>
  <c r="AB26" i="6"/>
  <c r="H27" i="6" a="1"/>
  <c r="H27" i="6"/>
  <c r="AE27" i="5" a="1"/>
  <c r="AE27" i="5"/>
  <c r="AF27" i="5" a="1"/>
  <c r="AF27" i="5"/>
  <c r="AG27" i="5" a="1"/>
  <c r="AG27" i="5"/>
  <c r="AH27" i="5"/>
  <c r="W27" i="5" a="1"/>
  <c r="W27" i="5"/>
  <c r="AB27" i="6"/>
  <c r="H28" i="6" a="1"/>
  <c r="H28" i="6"/>
  <c r="AE28" i="5" a="1"/>
  <c r="AE28" i="5"/>
  <c r="AF28" i="5" a="1"/>
  <c r="AF28" i="5"/>
  <c r="AG28" i="5" a="1"/>
  <c r="AG28" i="5"/>
  <c r="AH28" i="5"/>
  <c r="W28" i="5" a="1"/>
  <c r="W28" i="5"/>
  <c r="AB28" i="6"/>
  <c r="H29" i="6" a="1"/>
  <c r="H29" i="6"/>
  <c r="AE29" i="5" a="1"/>
  <c r="AE29" i="5"/>
  <c r="AF29" i="5" a="1"/>
  <c r="AF29" i="5"/>
  <c r="AG29" i="5" a="1"/>
  <c r="AG29" i="5"/>
  <c r="AH29" i="5"/>
  <c r="W29" i="5" a="1"/>
  <c r="W29" i="5"/>
  <c r="AB29" i="6"/>
  <c r="H30" i="6" a="1"/>
  <c r="H30" i="6"/>
  <c r="AE30" i="5" a="1"/>
  <c r="AE30" i="5"/>
  <c r="AF30" i="5" a="1"/>
  <c r="AF30" i="5"/>
  <c r="AG30" i="5" a="1"/>
  <c r="AG30" i="5"/>
  <c r="AH30" i="5"/>
  <c r="W30" i="5" a="1"/>
  <c r="W30" i="5"/>
  <c r="AB30" i="6"/>
  <c r="H31" i="6" a="1"/>
  <c r="H31" i="6"/>
  <c r="AE31" i="5" a="1"/>
  <c r="AE31" i="5"/>
  <c r="AF31" i="5" a="1"/>
  <c r="AF31" i="5"/>
  <c r="AG31" i="5" a="1"/>
  <c r="AG31" i="5"/>
  <c r="AH31" i="5"/>
  <c r="W31" i="5" a="1"/>
  <c r="W31" i="5"/>
  <c r="AB31" i="6"/>
  <c r="H32" i="6" a="1"/>
  <c r="H32" i="6"/>
  <c r="AE32" i="5" a="1"/>
  <c r="AE32" i="5"/>
  <c r="AF32" i="5" a="1"/>
  <c r="AF32" i="5"/>
  <c r="AG32" i="5" a="1"/>
  <c r="AG32" i="5"/>
  <c r="AH32" i="5"/>
  <c r="W32" i="5" a="1"/>
  <c r="W32" i="5"/>
  <c r="AB32" i="6"/>
  <c r="H33" i="6" a="1"/>
  <c r="H33" i="6"/>
  <c r="AE33" i="5" a="1"/>
  <c r="AE33" i="5"/>
  <c r="AF33" i="5" a="1"/>
  <c r="AF33" i="5"/>
  <c r="AG33" i="5" a="1"/>
  <c r="AG33" i="5"/>
  <c r="AH33" i="5"/>
  <c r="W33" i="5" a="1"/>
  <c r="W33" i="5"/>
  <c r="AB33" i="6"/>
  <c r="H34" i="6" a="1"/>
  <c r="H34" i="6"/>
  <c r="AE34" i="5" a="1"/>
  <c r="AE34" i="5"/>
  <c r="AF34" i="5" a="1"/>
  <c r="AF34" i="5"/>
  <c r="AG34" i="5" a="1"/>
  <c r="AG34" i="5"/>
  <c r="AH34" i="5"/>
  <c r="W34" i="5" a="1"/>
  <c r="W34" i="5"/>
  <c r="AB34" i="6"/>
  <c r="H35" i="6" a="1"/>
  <c r="H35" i="6"/>
  <c r="AE35" i="5" a="1"/>
  <c r="AE35" i="5"/>
  <c r="AF35" i="5" a="1"/>
  <c r="AF35" i="5"/>
  <c r="AG35" i="5" a="1"/>
  <c r="AG35" i="5"/>
  <c r="AH35" i="5"/>
  <c r="W35" i="5" a="1"/>
  <c r="W35" i="5"/>
  <c r="AB35" i="6"/>
  <c r="H36" i="6" a="1"/>
  <c r="H36" i="6"/>
  <c r="AE36" i="5" a="1"/>
  <c r="AE36" i="5"/>
  <c r="AF36" i="5" a="1"/>
  <c r="AF36" i="5"/>
  <c r="AG36" i="5" a="1"/>
  <c r="AG36" i="5"/>
  <c r="AH36" i="5"/>
  <c r="W36" i="5" a="1"/>
  <c r="W36" i="5"/>
  <c r="AB36" i="6"/>
  <c r="H37" i="6" a="1"/>
  <c r="H37" i="6"/>
  <c r="AE37" i="5" a="1"/>
  <c r="AE37" i="5"/>
  <c r="AF37" i="5" a="1"/>
  <c r="AF37" i="5"/>
  <c r="AG37" i="5" a="1"/>
  <c r="AG37" i="5"/>
  <c r="AH37" i="5"/>
  <c r="W37" i="5" a="1"/>
  <c r="W37" i="5"/>
  <c r="AB37" i="6"/>
  <c r="H38" i="6" a="1"/>
  <c r="H38" i="6"/>
  <c r="AE38" i="5" a="1"/>
  <c r="AE38" i="5"/>
  <c r="AF38" i="5" a="1"/>
  <c r="AF38" i="5"/>
  <c r="AG38" i="5" a="1"/>
  <c r="AG38" i="5"/>
  <c r="AH38" i="5"/>
  <c r="W38" i="5" a="1"/>
  <c r="W38" i="5"/>
  <c r="AB38" i="6"/>
  <c r="H39" i="6" a="1"/>
  <c r="H39" i="6"/>
  <c r="AB39" i="6"/>
  <c r="H40" i="6" a="1"/>
  <c r="H40" i="6"/>
  <c r="AB40" i="6"/>
  <c r="H41" i="6" a="1"/>
  <c r="H41" i="6"/>
  <c r="AE41" i="5" a="1"/>
  <c r="AE41" i="5"/>
  <c r="AF41" i="5" a="1"/>
  <c r="AF41" i="5"/>
  <c r="AG41" i="5" a="1"/>
  <c r="AG41" i="5"/>
  <c r="AH41" i="5"/>
  <c r="W41" i="5" a="1"/>
  <c r="W41" i="5"/>
  <c r="AB41" i="6"/>
  <c r="H42" i="6" a="1"/>
  <c r="H42" i="6"/>
  <c r="AE42" i="5" a="1"/>
  <c r="AE42" i="5"/>
  <c r="AF42" i="5" a="1"/>
  <c r="AF42" i="5"/>
  <c r="AG42" i="5" a="1"/>
  <c r="AG42" i="5"/>
  <c r="AH42" i="5"/>
  <c r="W42" i="5" a="1"/>
  <c r="W42" i="5"/>
  <c r="AB42" i="6"/>
  <c r="H43" i="6" a="1"/>
  <c r="H43" i="6"/>
  <c r="AH43" i="5"/>
  <c r="W43" i="5" a="1"/>
  <c r="W43" i="5"/>
  <c r="AB43" i="6"/>
  <c r="H44" i="6" a="1"/>
  <c r="H44" i="6"/>
  <c r="AB44" i="6"/>
  <c r="H45" i="6" a="1"/>
  <c r="H45" i="6"/>
  <c r="AE45" i="5" a="1"/>
  <c r="AE45" i="5"/>
  <c r="AF45" i="5" a="1"/>
  <c r="AF45" i="5"/>
  <c r="AG45" i="5" a="1"/>
  <c r="AG45" i="5"/>
  <c r="AH45" i="5"/>
  <c r="W45" i="5" a="1"/>
  <c r="W45" i="5"/>
  <c r="AB45" i="6"/>
  <c r="H46" i="6" a="1"/>
  <c r="H46" i="6"/>
  <c r="AE46" i="5" a="1"/>
  <c r="AE46" i="5"/>
  <c r="AF46" i="5" a="1"/>
  <c r="AF46" i="5"/>
  <c r="AG46" i="5" a="1"/>
  <c r="AG46" i="5"/>
  <c r="AH46" i="5"/>
  <c r="W46" i="5" a="1"/>
  <c r="W46" i="5"/>
  <c r="AB46" i="6"/>
  <c r="H47" i="6" a="1"/>
  <c r="H47" i="6"/>
  <c r="AE47" i="5" a="1"/>
  <c r="AE47" i="5"/>
  <c r="AF47" i="5" a="1"/>
  <c r="AF47" i="5"/>
  <c r="AG47" i="5" a="1"/>
  <c r="AG47" i="5"/>
  <c r="AH47" i="5"/>
  <c r="W47" i="5" a="1"/>
  <c r="W47" i="5"/>
  <c r="AB47" i="6"/>
  <c r="H48" i="6" a="1"/>
  <c r="H48" i="6"/>
  <c r="AE48" i="5" a="1"/>
  <c r="AE48" i="5"/>
  <c r="AF48" i="5" a="1"/>
  <c r="AF48" i="5"/>
  <c r="AG48" i="5" a="1"/>
  <c r="AG48" i="5"/>
  <c r="AH48" i="5"/>
  <c r="W48" i="5" a="1"/>
  <c r="W48" i="5"/>
  <c r="AB48" i="6"/>
  <c r="H49" i="6" a="1"/>
  <c r="H49" i="6"/>
  <c r="AE49" i="5" a="1"/>
  <c r="AE49" i="5"/>
  <c r="AF49" i="5" a="1"/>
  <c r="AF49" i="5"/>
  <c r="AG49" i="5" a="1"/>
  <c r="AG49" i="5"/>
  <c r="AH49" i="5"/>
  <c r="W49" i="5" a="1"/>
  <c r="W49" i="5"/>
  <c r="AB49" i="6"/>
  <c r="H50" i="6" a="1"/>
  <c r="H50" i="6"/>
  <c r="AB50" i="6"/>
  <c r="H51" i="6" a="1"/>
  <c r="H51" i="6"/>
  <c r="AE51" i="5" a="1"/>
  <c r="AE51" i="5"/>
  <c r="AF51" i="5" a="1"/>
  <c r="AF51" i="5"/>
  <c r="AG51" i="5" a="1"/>
  <c r="AG51" i="5"/>
  <c r="AH51" i="5"/>
  <c r="W51" i="5" a="1"/>
  <c r="W51" i="5"/>
  <c r="AB51" i="6"/>
  <c r="H52" i="6" a="1"/>
  <c r="H52" i="6"/>
  <c r="AE52" i="5" a="1"/>
  <c r="AE52" i="5"/>
  <c r="AF52" i="5" a="1"/>
  <c r="AF52" i="5"/>
  <c r="AG52" i="5" a="1"/>
  <c r="AG52" i="5"/>
  <c r="AH52" i="5"/>
  <c r="W52" i="5" a="1"/>
  <c r="W52" i="5"/>
  <c r="AB52" i="6"/>
  <c r="H53" i="6" a="1"/>
  <c r="H53" i="6"/>
  <c r="AE53" i="5" a="1"/>
  <c r="AE53" i="5"/>
  <c r="AF53" i="5" a="1"/>
  <c r="AF53" i="5"/>
  <c r="AG53" i="5" a="1"/>
  <c r="AG53" i="5"/>
  <c r="AH53" i="5"/>
  <c r="W53" i="5" a="1"/>
  <c r="W53" i="5"/>
  <c r="AB53" i="6"/>
  <c r="H54" i="6" a="1"/>
  <c r="H54" i="6"/>
  <c r="AE54" i="5" a="1"/>
  <c r="AE54" i="5"/>
  <c r="AF54" i="5" a="1"/>
  <c r="AF54" i="5"/>
  <c r="AG54" i="5" a="1"/>
  <c r="AG54" i="5"/>
  <c r="AH54" i="5"/>
  <c r="W54" i="5" a="1"/>
  <c r="W54" i="5"/>
  <c r="AB54" i="6"/>
  <c r="H55" i="6" a="1"/>
  <c r="H55" i="6"/>
  <c r="AB55" i="6"/>
  <c r="H56" i="6" a="1"/>
  <c r="H56" i="6"/>
  <c r="AE56" i="5" a="1"/>
  <c r="AE56" i="5"/>
  <c r="AF56" i="5" a="1"/>
  <c r="AF56" i="5"/>
  <c r="AG56" i="5" a="1"/>
  <c r="AG56" i="5"/>
  <c r="AH56" i="5"/>
  <c r="W56" i="5" a="1"/>
  <c r="W56" i="5"/>
  <c r="AB56" i="6"/>
  <c r="H57" i="6" a="1"/>
  <c r="H57" i="6"/>
  <c r="AE57" i="5" a="1"/>
  <c r="AE57" i="5"/>
  <c r="AF57" i="5" a="1"/>
  <c r="AF57" i="5"/>
  <c r="AG57" i="5" a="1"/>
  <c r="AG57" i="5"/>
  <c r="AH57" i="5"/>
  <c r="W57" i="5" a="1"/>
  <c r="W57" i="5"/>
  <c r="AB57" i="6"/>
  <c r="H58" i="6" a="1"/>
  <c r="H58" i="6"/>
  <c r="AE58" i="5" a="1"/>
  <c r="AE58" i="5"/>
  <c r="AF58" i="5" a="1"/>
  <c r="AF58" i="5"/>
  <c r="AG58" i="5" a="1"/>
  <c r="AG58" i="5"/>
  <c r="AH58" i="5"/>
  <c r="W58" i="5" a="1"/>
  <c r="W58" i="5"/>
  <c r="AB58" i="6"/>
  <c r="H59" i="6" a="1"/>
  <c r="H59" i="6"/>
  <c r="AE59" i="5" a="1"/>
  <c r="AE59" i="5"/>
  <c r="AF59" i="5" a="1"/>
  <c r="AF59" i="5"/>
  <c r="AG59" i="5" a="1"/>
  <c r="AG59" i="5"/>
  <c r="AH59" i="5"/>
  <c r="W59" i="5" a="1"/>
  <c r="W59" i="5"/>
  <c r="AB59" i="6"/>
  <c r="H60" i="6" a="1"/>
  <c r="H60" i="6"/>
  <c r="AE60" i="5" a="1"/>
  <c r="AE60" i="5"/>
  <c r="AF60" i="5" a="1"/>
  <c r="AF60" i="5"/>
  <c r="AG60" i="5" a="1"/>
  <c r="AG60" i="5"/>
  <c r="AH60" i="5"/>
  <c r="W60" i="5" a="1"/>
  <c r="W60" i="5"/>
  <c r="AB60" i="6"/>
  <c r="H61" i="6" a="1"/>
  <c r="H61" i="6"/>
  <c r="AB61" i="6"/>
  <c r="H62" i="6" a="1"/>
  <c r="H62" i="6"/>
  <c r="AB62" i="6"/>
  <c r="H63" i="6" a="1"/>
  <c r="H63" i="6"/>
  <c r="AE63" i="5" a="1"/>
  <c r="AE63" i="5"/>
  <c r="AF63" i="5" a="1"/>
  <c r="AF63" i="5"/>
  <c r="AG63" i="5" a="1"/>
  <c r="AG63" i="5"/>
  <c r="AH63" i="5"/>
  <c r="W63" i="5" a="1"/>
  <c r="W63" i="5"/>
  <c r="AB63" i="6"/>
  <c r="H64" i="6" a="1"/>
  <c r="H64" i="6"/>
  <c r="AE64" i="5" a="1"/>
  <c r="AE64" i="5"/>
  <c r="AF64" i="5" a="1"/>
  <c r="AF64" i="5"/>
  <c r="AG64" i="5" a="1"/>
  <c r="AG64" i="5"/>
  <c r="AH64" i="5"/>
  <c r="W64" i="5" a="1"/>
  <c r="W64" i="5"/>
  <c r="AB64" i="6"/>
  <c r="H65" i="6" a="1"/>
  <c r="H65" i="6"/>
  <c r="AE65" i="5" a="1"/>
  <c r="AE65" i="5"/>
  <c r="AF65" i="5" a="1"/>
  <c r="AF65" i="5"/>
  <c r="AG65" i="5" a="1"/>
  <c r="AG65" i="5"/>
  <c r="AH65" i="5"/>
  <c r="W65" i="5" a="1"/>
  <c r="W65" i="5"/>
  <c r="AB65" i="6"/>
  <c r="H66" i="6" a="1"/>
  <c r="H66" i="6"/>
  <c r="AB66" i="6"/>
  <c r="H67" i="6" a="1"/>
  <c r="H67" i="6"/>
  <c r="AE67" i="5" a="1"/>
  <c r="AE67" i="5"/>
  <c r="AF67" i="5" a="1"/>
  <c r="AF67" i="5"/>
  <c r="AG67" i="5" a="1"/>
  <c r="AG67" i="5"/>
  <c r="AH67" i="5"/>
  <c r="W67" i="5" a="1"/>
  <c r="W67" i="5"/>
  <c r="AB67" i="6"/>
  <c r="H68" i="6" a="1"/>
  <c r="H68" i="6"/>
  <c r="AE68" i="5" a="1"/>
  <c r="AE68" i="5"/>
  <c r="AF68" i="5" a="1"/>
  <c r="AF68" i="5"/>
  <c r="AG68" i="5" a="1"/>
  <c r="AG68" i="5"/>
  <c r="AH68" i="5"/>
  <c r="W68" i="5" a="1"/>
  <c r="W68" i="5"/>
  <c r="AB68" i="6"/>
  <c r="H69" i="6" a="1"/>
  <c r="H69" i="6"/>
  <c r="AE69" i="5" a="1"/>
  <c r="AE69" i="5"/>
  <c r="AF69" i="5" a="1"/>
  <c r="AF69" i="5"/>
  <c r="AG69" i="5" a="1"/>
  <c r="AG69" i="5"/>
  <c r="AH69" i="5"/>
  <c r="W69" i="5" a="1"/>
  <c r="W69" i="5"/>
  <c r="AB69" i="6"/>
  <c r="H70" i="6" a="1"/>
  <c r="H70" i="6"/>
  <c r="AB70" i="6"/>
  <c r="H71" i="6" a="1"/>
  <c r="H71" i="6"/>
  <c r="AB71" i="6"/>
  <c r="H72" i="6" a="1"/>
  <c r="H72" i="6"/>
  <c r="AE72" i="5" a="1"/>
  <c r="AE72" i="5"/>
  <c r="AF72" i="5" a="1"/>
  <c r="AF72" i="5"/>
  <c r="AG72" i="5" a="1"/>
  <c r="AG72" i="5"/>
  <c r="AH72" i="5"/>
  <c r="W72" i="5" a="1"/>
  <c r="W72" i="5"/>
  <c r="AB72" i="6"/>
  <c r="H73" i="6" a="1"/>
  <c r="H73" i="6"/>
  <c r="AE73" i="5" a="1"/>
  <c r="AE73" i="5"/>
  <c r="AF73" i="5" a="1"/>
  <c r="AF73" i="5"/>
  <c r="AG73" i="5" a="1"/>
  <c r="AG73" i="5"/>
  <c r="AH73" i="5"/>
  <c r="W73" i="5" a="1"/>
  <c r="W73" i="5"/>
  <c r="AB73" i="6"/>
  <c r="H74" i="6" a="1"/>
  <c r="H74" i="6"/>
  <c r="AE74" i="5" a="1"/>
  <c r="AE74" i="5"/>
  <c r="AF74" i="5" a="1"/>
  <c r="AF74" i="5"/>
  <c r="AG74" i="5" a="1"/>
  <c r="AG74" i="5"/>
  <c r="AH74" i="5"/>
  <c r="W74" i="5" a="1"/>
  <c r="W74" i="5"/>
  <c r="AB74" i="6"/>
  <c r="H75" i="6" a="1"/>
  <c r="H75" i="6"/>
  <c r="AB75" i="6"/>
  <c r="H76" i="6" a="1"/>
  <c r="H76" i="6"/>
  <c r="AB76" i="6"/>
  <c r="H77" i="6" a="1"/>
  <c r="H77" i="6"/>
  <c r="AE77" i="5" a="1"/>
  <c r="AE77" i="5"/>
  <c r="AF77" i="5" a="1"/>
  <c r="AF77" i="5"/>
  <c r="AG77" i="5" a="1"/>
  <c r="AG77" i="5"/>
  <c r="AH77" i="5"/>
  <c r="W77" i="5" a="1"/>
  <c r="W77" i="5"/>
  <c r="AB77" i="6"/>
  <c r="H78" i="6" a="1"/>
  <c r="H78" i="6"/>
  <c r="AE78" i="5" a="1"/>
  <c r="AE78" i="5"/>
  <c r="AF78" i="5" a="1"/>
  <c r="AF78" i="5"/>
  <c r="AG78" i="5" a="1"/>
  <c r="AG78" i="5"/>
  <c r="AH78" i="5"/>
  <c r="W78" i="5" a="1"/>
  <c r="W78" i="5"/>
  <c r="AB78" i="6"/>
  <c r="H79" i="6" a="1"/>
  <c r="H79" i="6"/>
  <c r="AE79" i="5" a="1"/>
  <c r="AE79" i="5"/>
  <c r="AF79" i="5" a="1"/>
  <c r="AF79" i="5"/>
  <c r="AG79" i="5" a="1"/>
  <c r="AG79" i="5"/>
  <c r="AH79" i="5"/>
  <c r="W79" i="5" a="1"/>
  <c r="W79" i="5"/>
  <c r="AB79" i="6"/>
  <c r="H80" i="6" a="1"/>
  <c r="H80" i="6"/>
  <c r="AB80" i="6"/>
  <c r="H81" i="6" a="1"/>
  <c r="H81" i="6"/>
  <c r="AB81" i="6"/>
  <c r="H82" i="6" a="1"/>
  <c r="H82" i="6"/>
  <c r="AE82" i="5" a="1"/>
  <c r="AE82" i="5"/>
  <c r="AF82" i="5" a="1"/>
  <c r="AF82" i="5"/>
  <c r="AG82" i="5" a="1"/>
  <c r="AG82" i="5"/>
  <c r="R61" i="4"/>
  <c r="C2" i="4"/>
  <c r="C3" i="4"/>
  <c r="C4" i="4"/>
  <c r="C5" i="4"/>
  <c r="C6" i="4"/>
  <c r="C7" i="4"/>
  <c r="C8" i="4"/>
  <c r="C9" i="4"/>
  <c r="C10" i="4"/>
  <c r="C11" i="4"/>
  <c r="C12" i="4"/>
  <c r="C13" i="4"/>
  <c r="C14" i="4"/>
  <c r="A15" i="4"/>
  <c r="C15" i="4"/>
  <c r="A16" i="4"/>
  <c r="C16" i="4"/>
  <c r="A17" i="4"/>
  <c r="C17" i="4"/>
  <c r="A18" i="4"/>
  <c r="C18" i="4"/>
  <c r="A19" i="4"/>
  <c r="C19" i="4"/>
  <c r="C20" i="4"/>
  <c r="A21" i="4"/>
  <c r="C21" i="4"/>
  <c r="A22" i="4"/>
  <c r="C22" i="4"/>
  <c r="A23" i="4"/>
  <c r="C23" i="4"/>
  <c r="A24" i="4"/>
  <c r="C24" i="4"/>
  <c r="A25" i="4"/>
  <c r="C25" i="4"/>
  <c r="C26" i="4"/>
  <c r="A27" i="4"/>
  <c r="C27" i="4"/>
  <c r="A28" i="4"/>
  <c r="C28" i="4"/>
  <c r="A29" i="4"/>
  <c r="C29" i="4"/>
  <c r="A30" i="4"/>
  <c r="C30" i="4"/>
  <c r="A31" i="4"/>
  <c r="C31" i="4"/>
  <c r="C32" i="4"/>
  <c r="A33" i="4"/>
  <c r="C33" i="4"/>
  <c r="A34" i="4"/>
  <c r="C34" i="4"/>
  <c r="A35" i="4"/>
  <c r="C35" i="4"/>
  <c r="A36" i="4"/>
  <c r="C36" i="4"/>
  <c r="A37" i="4"/>
  <c r="C37" i="4"/>
  <c r="C38" i="4"/>
  <c r="C39" i="4"/>
  <c r="C40" i="4"/>
  <c r="C41" i="4"/>
  <c r="C42" i="4"/>
  <c r="C43" i="4"/>
  <c r="C44" i="4"/>
  <c r="A45" i="4"/>
  <c r="C45" i="4"/>
  <c r="A46" i="4"/>
  <c r="C46" i="4"/>
  <c r="A47" i="4"/>
  <c r="C47" i="4"/>
  <c r="A48" i="4"/>
  <c r="C48" i="4"/>
  <c r="A49" i="4"/>
  <c r="C49" i="4"/>
  <c r="X61" i="4"/>
  <c r="S61" i="4"/>
  <c r="R62" i="4"/>
  <c r="X62" i="4"/>
  <c r="S62" i="4"/>
  <c r="Y66" i="4"/>
  <c r="X66" i="4"/>
  <c r="S66" i="4"/>
  <c r="S67" i="4"/>
  <c r="S69" i="4"/>
  <c r="G5" i="5"/>
  <c r="AH82" i="5"/>
  <c r="W82" i="5" a="1"/>
  <c r="W82" i="5"/>
  <c r="AB82" i="6"/>
  <c r="H83" i="6" a="1"/>
  <c r="H83" i="6"/>
  <c r="AB83" i="6"/>
  <c r="H84" i="6" a="1"/>
  <c r="H84" i="6"/>
  <c r="AE84" i="5" a="1"/>
  <c r="AE84" i="5"/>
  <c r="AF84" i="5" a="1"/>
  <c r="AF84" i="5"/>
  <c r="AG84" i="5" a="1"/>
  <c r="AG84" i="5"/>
  <c r="AH84" i="5"/>
  <c r="W84" i="5" a="1"/>
  <c r="W84" i="5"/>
  <c r="AB84" i="6"/>
  <c r="H85" i="6" a="1"/>
  <c r="H85" i="6"/>
  <c r="AB85" i="6"/>
  <c r="H86" i="6" a="1"/>
  <c r="H86" i="6"/>
  <c r="AE86" i="5" a="1"/>
  <c r="AE86" i="5"/>
  <c r="AF86" i="5" a="1"/>
  <c r="AF86" i="5"/>
  <c r="AG86" i="5" a="1"/>
  <c r="AG86" i="5"/>
  <c r="AH86" i="5"/>
  <c r="W86" i="5" a="1"/>
  <c r="W86" i="5"/>
  <c r="AB86" i="6"/>
  <c r="H87" i="6" a="1"/>
  <c r="H87" i="6"/>
  <c r="AB87" i="6"/>
  <c r="H88" i="6" a="1"/>
  <c r="H88" i="6"/>
  <c r="AE88" i="5" a="1"/>
  <c r="AE88" i="5"/>
  <c r="AF88" i="5" a="1"/>
  <c r="AF88" i="5"/>
  <c r="AG88" i="5" a="1"/>
  <c r="AG88" i="5"/>
  <c r="AH88" i="5"/>
  <c r="W88" i="5" a="1"/>
  <c r="W88" i="5"/>
  <c r="AB88" i="6"/>
  <c r="H89" i="6" a="1"/>
  <c r="H89" i="6"/>
  <c r="AB89" i="6"/>
  <c r="H90" i="6" a="1"/>
  <c r="H90" i="6"/>
  <c r="AE90" i="5" a="1"/>
  <c r="AE90" i="5"/>
  <c r="AF90" i="5" a="1"/>
  <c r="AF90" i="5"/>
  <c r="AG90" i="5" a="1"/>
  <c r="AG90" i="5"/>
  <c r="AH90" i="5"/>
  <c r="W90" i="5" a="1"/>
  <c r="W90" i="5"/>
  <c r="AB90" i="6"/>
  <c r="H91" i="6" a="1"/>
  <c r="H91" i="6"/>
  <c r="AE91" i="5" a="1"/>
  <c r="AE91" i="5"/>
  <c r="AF91" i="5" a="1"/>
  <c r="AF91" i="5"/>
  <c r="AG91" i="5" a="1"/>
  <c r="AG91" i="5"/>
  <c r="AH91" i="5"/>
  <c r="W91" i="5" a="1"/>
  <c r="W91" i="5"/>
  <c r="AB91" i="6"/>
  <c r="H92" i="6" a="1"/>
  <c r="H92" i="6"/>
  <c r="AE92" i="5" a="1"/>
  <c r="AE92" i="5"/>
  <c r="AF92" i="5" a="1"/>
  <c r="AF92" i="5"/>
  <c r="AG92" i="5" a="1"/>
  <c r="AG92" i="5"/>
  <c r="AH92" i="5"/>
  <c r="W92" i="5" a="1"/>
  <c r="W92" i="5"/>
  <c r="AB92" i="6"/>
  <c r="AB15" i="6"/>
  <c r="AC13" i="6"/>
  <c r="AC12" i="6"/>
  <c r="AC16" i="6"/>
  <c r="AC17" i="6"/>
  <c r="AC18" i="6"/>
  <c r="AC19" i="6"/>
  <c r="AC20" i="6"/>
  <c r="AC21" i="6"/>
  <c r="AC22" i="6"/>
  <c r="AC23" i="6"/>
  <c r="AC24" i="6"/>
  <c r="AC25" i="6"/>
  <c r="AC26" i="6"/>
  <c r="AC27" i="6"/>
  <c r="AC28" i="6"/>
  <c r="AC29" i="6"/>
  <c r="AC30" i="6"/>
  <c r="AC31" i="6"/>
  <c r="AC32" i="6"/>
  <c r="AC33" i="6"/>
  <c r="AC34" i="6"/>
  <c r="AC35" i="6"/>
  <c r="AC36" i="6"/>
  <c r="AC37" i="6"/>
  <c r="AC38" i="6"/>
  <c r="AC39" i="6"/>
  <c r="AC40" i="6"/>
  <c r="AC41" i="6"/>
  <c r="AC42" i="6"/>
  <c r="AC43" i="6"/>
  <c r="AC44" i="6"/>
  <c r="AC45" i="6"/>
  <c r="AC46" i="6"/>
  <c r="AC47" i="6"/>
  <c r="AC48" i="6"/>
  <c r="AC49" i="6"/>
  <c r="AC50" i="6"/>
  <c r="AC51" i="6"/>
  <c r="AC52" i="6"/>
  <c r="AC53" i="6"/>
  <c r="AC54" i="6"/>
  <c r="AC55" i="6"/>
  <c r="AC56" i="6"/>
  <c r="AC57" i="6"/>
  <c r="AC58" i="6"/>
  <c r="AC59" i="6"/>
  <c r="AC60" i="6"/>
  <c r="AC61" i="6"/>
  <c r="AC62" i="6"/>
  <c r="AC63" i="6"/>
  <c r="AC64" i="6"/>
  <c r="AC65" i="6"/>
  <c r="AC66" i="6"/>
  <c r="AC67" i="6"/>
  <c r="AC68" i="6"/>
  <c r="AC69" i="6"/>
  <c r="AC70" i="6"/>
  <c r="AC71" i="6"/>
  <c r="AC72" i="6"/>
  <c r="AC73" i="6"/>
  <c r="AC74" i="6"/>
  <c r="AC75" i="6"/>
  <c r="AC76" i="6"/>
  <c r="AC77" i="6"/>
  <c r="AC78" i="6"/>
  <c r="AC79" i="6"/>
  <c r="AC80" i="6"/>
  <c r="AC81" i="6"/>
  <c r="AC82" i="6"/>
  <c r="AC83" i="6"/>
  <c r="AC84" i="6"/>
  <c r="AC85" i="6"/>
  <c r="AC86" i="6"/>
  <c r="AC87" i="6"/>
  <c r="AC88" i="6"/>
  <c r="AC89" i="6"/>
  <c r="AC90" i="6"/>
  <c r="AC91" i="6"/>
  <c r="AC92" i="6"/>
  <c r="AC15" i="6"/>
  <c r="AD13" i="6"/>
  <c r="AD12" i="6"/>
  <c r="AD16" i="6"/>
  <c r="AD17" i="6"/>
  <c r="AD18" i="6"/>
  <c r="AD19" i="6"/>
  <c r="AD20" i="6"/>
  <c r="AD21" i="6"/>
  <c r="AD22" i="6"/>
  <c r="AD23" i="6"/>
  <c r="AD24" i="6"/>
  <c r="AD25" i="6"/>
  <c r="AD26" i="6"/>
  <c r="AD27" i="6"/>
  <c r="AD28" i="6"/>
  <c r="AD29" i="6"/>
  <c r="AD30" i="6"/>
  <c r="AD31" i="6"/>
  <c r="AD32" i="6"/>
  <c r="AD33" i="6"/>
  <c r="AD34" i="6"/>
  <c r="AD35" i="6"/>
  <c r="AD36" i="6"/>
  <c r="AD37" i="6"/>
  <c r="AD38" i="6"/>
  <c r="AD39" i="6"/>
  <c r="AD40" i="6"/>
  <c r="AD41" i="6"/>
  <c r="AD42" i="6"/>
  <c r="AD43" i="6"/>
  <c r="AD44" i="6"/>
  <c r="AD45" i="6"/>
  <c r="AD46" i="6"/>
  <c r="AD47" i="6"/>
  <c r="AD48" i="6"/>
  <c r="AD49" i="6"/>
  <c r="AD50" i="6"/>
  <c r="AD51" i="6"/>
  <c r="AD52" i="6"/>
  <c r="AD53" i="6"/>
  <c r="AD54" i="6"/>
  <c r="AD55" i="6"/>
  <c r="AD56" i="6"/>
  <c r="AD57" i="6"/>
  <c r="AD58" i="6"/>
  <c r="AD59" i="6"/>
  <c r="AD60" i="6"/>
  <c r="AD61" i="6"/>
  <c r="AD62" i="6"/>
  <c r="AD63" i="6"/>
  <c r="AD64" i="6"/>
  <c r="AD65" i="6"/>
  <c r="AD66" i="6"/>
  <c r="AD67" i="6"/>
  <c r="AD68" i="6"/>
  <c r="AD69" i="6"/>
  <c r="AD70" i="6"/>
  <c r="AD71" i="6"/>
  <c r="AD72" i="6"/>
  <c r="AD73" i="6"/>
  <c r="AD74" i="6"/>
  <c r="AD75" i="6"/>
  <c r="AD76" i="6"/>
  <c r="AD77" i="6"/>
  <c r="AD78" i="6"/>
  <c r="AD79" i="6"/>
  <c r="AD80" i="6"/>
  <c r="AD81" i="6"/>
  <c r="AD82" i="6"/>
  <c r="AD83" i="6"/>
  <c r="AD84" i="6"/>
  <c r="AD85" i="6"/>
  <c r="AD86" i="6"/>
  <c r="AD87" i="6"/>
  <c r="AD88" i="6"/>
  <c r="AD89" i="6"/>
  <c r="AD90" i="6"/>
  <c r="AD91" i="6"/>
  <c r="AD92" i="6"/>
  <c r="AD15" i="6"/>
  <c r="AE13" i="6"/>
  <c r="AE12" i="6"/>
  <c r="AE16" i="6"/>
  <c r="AE17" i="6"/>
  <c r="AE18" i="6"/>
  <c r="AE19" i="6"/>
  <c r="AE20" i="6"/>
  <c r="AE21" i="6"/>
  <c r="AE22" i="6"/>
  <c r="AE23" i="6"/>
  <c r="AE24" i="6"/>
  <c r="AE25" i="6"/>
  <c r="AE26" i="6"/>
  <c r="AE27" i="6"/>
  <c r="AE28" i="6"/>
  <c r="AE29" i="6"/>
  <c r="AE30" i="6"/>
  <c r="AE31" i="6"/>
  <c r="AE32" i="6"/>
  <c r="AE33" i="6"/>
  <c r="AE34" i="6"/>
  <c r="AE35" i="6"/>
  <c r="AE36" i="6"/>
  <c r="AE37" i="6"/>
  <c r="AE38" i="6"/>
  <c r="AE39" i="6"/>
  <c r="AE40" i="6"/>
  <c r="AE41" i="6"/>
  <c r="AE42" i="6"/>
  <c r="AE43" i="6"/>
  <c r="AE44" i="6"/>
  <c r="AE45" i="6"/>
  <c r="AE46" i="6"/>
  <c r="AE47" i="6"/>
  <c r="AE48" i="6"/>
  <c r="AE49" i="6"/>
  <c r="AE50" i="6"/>
  <c r="AE51" i="6"/>
  <c r="AE52" i="6"/>
  <c r="AE53" i="6"/>
  <c r="AE54" i="6"/>
  <c r="AE55" i="6"/>
  <c r="AE56" i="6"/>
  <c r="AE57" i="6"/>
  <c r="AE58" i="6"/>
  <c r="AE59" i="6"/>
  <c r="AE60" i="6"/>
  <c r="AE61" i="6"/>
  <c r="AE62" i="6"/>
  <c r="AE63" i="6"/>
  <c r="AE64" i="6"/>
  <c r="AE65" i="6"/>
  <c r="AE66" i="6"/>
  <c r="AE67" i="6"/>
  <c r="AE68" i="6"/>
  <c r="AE69" i="6"/>
  <c r="AE70" i="6"/>
  <c r="AE71" i="6"/>
  <c r="AE72" i="6"/>
  <c r="AE73" i="6"/>
  <c r="AE74" i="6"/>
  <c r="AE75" i="6"/>
  <c r="AE76" i="6"/>
  <c r="AE77" i="6"/>
  <c r="AE78" i="6"/>
  <c r="AE79" i="6"/>
  <c r="AE80" i="6"/>
  <c r="AE81" i="6"/>
  <c r="AE82" i="6"/>
  <c r="AE83" i="6"/>
  <c r="AE84" i="6"/>
  <c r="AE85" i="6"/>
  <c r="AE86" i="6"/>
  <c r="AE87" i="6"/>
  <c r="AE88" i="6"/>
  <c r="AE89" i="6"/>
  <c r="AE90" i="6"/>
  <c r="AE91" i="6"/>
  <c r="AE92" i="6"/>
  <c r="AE15" i="6"/>
  <c r="AF13" i="6"/>
  <c r="AF12" i="6"/>
  <c r="AF16" i="6"/>
  <c r="AF17" i="6"/>
  <c r="AF18" i="6"/>
  <c r="AF19" i="6"/>
  <c r="AF20" i="6"/>
  <c r="AF21" i="6"/>
  <c r="AF22" i="6"/>
  <c r="AF23" i="6"/>
  <c r="AF24" i="6"/>
  <c r="AF25" i="6"/>
  <c r="AF26" i="6"/>
  <c r="AF27" i="6"/>
  <c r="AF28" i="6"/>
  <c r="AF29" i="6"/>
  <c r="AF30" i="6"/>
  <c r="AF31" i="6"/>
  <c r="AF32" i="6"/>
  <c r="AF33" i="6"/>
  <c r="AF34" i="6"/>
  <c r="AF35" i="6"/>
  <c r="AF36" i="6"/>
  <c r="AF37" i="6"/>
  <c r="AF38" i="6"/>
  <c r="AF39" i="6"/>
  <c r="AF40" i="6"/>
  <c r="AF41" i="6"/>
  <c r="AF42" i="6"/>
  <c r="AF43" i="6"/>
  <c r="AF44" i="6"/>
  <c r="AF45" i="6"/>
  <c r="AF46" i="6"/>
  <c r="AF47" i="6"/>
  <c r="AF48" i="6"/>
  <c r="AF49" i="6"/>
  <c r="AF50" i="6"/>
  <c r="AF51" i="6"/>
  <c r="AF52" i="6"/>
  <c r="AF53" i="6"/>
  <c r="AF54" i="6"/>
  <c r="AF55" i="6"/>
  <c r="AF56" i="6"/>
  <c r="AF57" i="6"/>
  <c r="AF58" i="6"/>
  <c r="AF59" i="6"/>
  <c r="AF60" i="6"/>
  <c r="AF61" i="6"/>
  <c r="AF62" i="6"/>
  <c r="AF63" i="6"/>
  <c r="AF64" i="6"/>
  <c r="AF65" i="6"/>
  <c r="AF66" i="6"/>
  <c r="AF67" i="6"/>
  <c r="AF68" i="6"/>
  <c r="AF69" i="6"/>
  <c r="AF70" i="6"/>
  <c r="AF71" i="6"/>
  <c r="AF72" i="6"/>
  <c r="AF73" i="6"/>
  <c r="AF74" i="6"/>
  <c r="AF75" i="6"/>
  <c r="AF76" i="6"/>
  <c r="AF77" i="6"/>
  <c r="AF78" i="6"/>
  <c r="AF79" i="6"/>
  <c r="AF80" i="6"/>
  <c r="AF81" i="6"/>
  <c r="AF82" i="6"/>
  <c r="AF83" i="6"/>
  <c r="AF84" i="6"/>
  <c r="AF85" i="6"/>
  <c r="AF86" i="6"/>
  <c r="AF87" i="6"/>
  <c r="AF88" i="6"/>
  <c r="AF89" i="6"/>
  <c r="AF90" i="6"/>
  <c r="AF91" i="6"/>
  <c r="AF92" i="6"/>
  <c r="AF15" i="6"/>
  <c r="AG13" i="6"/>
  <c r="AG12" i="6"/>
  <c r="AG16" i="6"/>
  <c r="AG17" i="6"/>
  <c r="AG18" i="6"/>
  <c r="AG19" i="6"/>
  <c r="AG20" i="6"/>
  <c r="AG21" i="6"/>
  <c r="AG22" i="6"/>
  <c r="AG23" i="6"/>
  <c r="AG24" i="6"/>
  <c r="AG25" i="6"/>
  <c r="AG26" i="6"/>
  <c r="AG27" i="6"/>
  <c r="AG28" i="6"/>
  <c r="AG29" i="6"/>
  <c r="AG30" i="6"/>
  <c r="AG31" i="6"/>
  <c r="AG32" i="6"/>
  <c r="AG33" i="6"/>
  <c r="AG34" i="6"/>
  <c r="AG35" i="6"/>
  <c r="AG36" i="6"/>
  <c r="AG37" i="6"/>
  <c r="AG38" i="6"/>
  <c r="AG39" i="6"/>
  <c r="AG40" i="6"/>
  <c r="AG41" i="6"/>
  <c r="AG42" i="6"/>
  <c r="AG43" i="6"/>
  <c r="AG44" i="6"/>
  <c r="AG45" i="6"/>
  <c r="AG46" i="6"/>
  <c r="AG47" i="6"/>
  <c r="AG48" i="6"/>
  <c r="AG49" i="6"/>
  <c r="AG50" i="6"/>
  <c r="AG51" i="6"/>
  <c r="AG52" i="6"/>
  <c r="AG53" i="6"/>
  <c r="AG54" i="6"/>
  <c r="AG55" i="6"/>
  <c r="AG56" i="6"/>
  <c r="AG57" i="6"/>
  <c r="AG58" i="6"/>
  <c r="AG59" i="6"/>
  <c r="AG60" i="6"/>
  <c r="AG61" i="6"/>
  <c r="AG62" i="6"/>
  <c r="AG63" i="6"/>
  <c r="AG64" i="6"/>
  <c r="AG65" i="6"/>
  <c r="AG66" i="6"/>
  <c r="AG67" i="6"/>
  <c r="AG68" i="6"/>
  <c r="AG69" i="6"/>
  <c r="AG70" i="6"/>
  <c r="AG71" i="6"/>
  <c r="AG72" i="6"/>
  <c r="AG73" i="6"/>
  <c r="AG74" i="6"/>
  <c r="AG75" i="6"/>
  <c r="AG76" i="6"/>
  <c r="AG77" i="6"/>
  <c r="AG78" i="6"/>
  <c r="AG79" i="6"/>
  <c r="AG80" i="6"/>
  <c r="AG81" i="6"/>
  <c r="AG82" i="6"/>
  <c r="AG83" i="6"/>
  <c r="AG84" i="6"/>
  <c r="AG85" i="6"/>
  <c r="AG86" i="6"/>
  <c r="AG87" i="6"/>
  <c r="AG88" i="6"/>
  <c r="AG89" i="6"/>
  <c r="AG90" i="6"/>
  <c r="AG91" i="6"/>
  <c r="AG92" i="6"/>
  <c r="AG15" i="6"/>
  <c r="AH13" i="6"/>
  <c r="AH12" i="6"/>
  <c r="AH16" i="6"/>
  <c r="AH17" i="6"/>
  <c r="AH18" i="6"/>
  <c r="AH19" i="6"/>
  <c r="AH20" i="6"/>
  <c r="AH21" i="6"/>
  <c r="AH22" i="6"/>
  <c r="AH23" i="6"/>
  <c r="AH24" i="6"/>
  <c r="AH25" i="6"/>
  <c r="AH26" i="6"/>
  <c r="AH27" i="6"/>
  <c r="AH28" i="6"/>
  <c r="AH29" i="6"/>
  <c r="AH30" i="6"/>
  <c r="AH31" i="6"/>
  <c r="AH32" i="6"/>
  <c r="AH33" i="6"/>
  <c r="AH34" i="6"/>
  <c r="AH35" i="6"/>
  <c r="AH36" i="6"/>
  <c r="AH37" i="6"/>
  <c r="AH38" i="6"/>
  <c r="AH39" i="6"/>
  <c r="AH40" i="6"/>
  <c r="AH41" i="6"/>
  <c r="AH42" i="6"/>
  <c r="AH43" i="6"/>
  <c r="AH44" i="6"/>
  <c r="AH45" i="6"/>
  <c r="AH46" i="6"/>
  <c r="AH47" i="6"/>
  <c r="AH48" i="6"/>
  <c r="AH49" i="6"/>
  <c r="AH50" i="6"/>
  <c r="AH51" i="6"/>
  <c r="AH52" i="6"/>
  <c r="AH53" i="6"/>
  <c r="AH54" i="6"/>
  <c r="AH55" i="6"/>
  <c r="AH56" i="6"/>
  <c r="AH57" i="6"/>
  <c r="AH58" i="6"/>
  <c r="AH59" i="6"/>
  <c r="AH60" i="6"/>
  <c r="AH61" i="6"/>
  <c r="AH62" i="6"/>
  <c r="AH63" i="6"/>
  <c r="AH64" i="6"/>
  <c r="AH65" i="6"/>
  <c r="AH66" i="6"/>
  <c r="AH67" i="6"/>
  <c r="AH68" i="6"/>
  <c r="AH69" i="6"/>
  <c r="AH70" i="6"/>
  <c r="AH71" i="6"/>
  <c r="AH72" i="6"/>
  <c r="AH73" i="6"/>
  <c r="AH74" i="6"/>
  <c r="AH75" i="6"/>
  <c r="AH76" i="6"/>
  <c r="AH77" i="6"/>
  <c r="AH78" i="6"/>
  <c r="AH79" i="6"/>
  <c r="AH80" i="6"/>
  <c r="AH81" i="6"/>
  <c r="AH82" i="6"/>
  <c r="AH83" i="6"/>
  <c r="AH84" i="6"/>
  <c r="AH85" i="6"/>
  <c r="AH86" i="6"/>
  <c r="AH87" i="6"/>
  <c r="AH88" i="6"/>
  <c r="AH89" i="6"/>
  <c r="AH90" i="6"/>
  <c r="AH91" i="6"/>
  <c r="AH92" i="6"/>
  <c r="AH15" i="6"/>
  <c r="AI13" i="6"/>
  <c r="AI12" i="6"/>
  <c r="AI16" i="6"/>
  <c r="AI17" i="6"/>
  <c r="AI18" i="6"/>
  <c r="AI19" i="6"/>
  <c r="AI20" i="6"/>
  <c r="AI21" i="6"/>
  <c r="AI22" i="6"/>
  <c r="AI23" i="6"/>
  <c r="AI24" i="6"/>
  <c r="AI25" i="6"/>
  <c r="AI26" i="6"/>
  <c r="AI27" i="6"/>
  <c r="AI28" i="6"/>
  <c r="AI29" i="6"/>
  <c r="AI30" i="6"/>
  <c r="AI31" i="6"/>
  <c r="AI32" i="6"/>
  <c r="AI33" i="6"/>
  <c r="AI34" i="6"/>
  <c r="AI35" i="6"/>
  <c r="AI36" i="6"/>
  <c r="AI37" i="6"/>
  <c r="AI38" i="6"/>
  <c r="AI39" i="6"/>
  <c r="AI40" i="6"/>
  <c r="AI41" i="6"/>
  <c r="AI42" i="6"/>
  <c r="AI43" i="6"/>
  <c r="AI44" i="6"/>
  <c r="AI45" i="6"/>
  <c r="AI46" i="6"/>
  <c r="AI47" i="6"/>
  <c r="AI48" i="6"/>
  <c r="AI49" i="6"/>
  <c r="AI50" i="6"/>
  <c r="AI51" i="6"/>
  <c r="AI52" i="6"/>
  <c r="AI53" i="6"/>
  <c r="AI54" i="6"/>
  <c r="AI55" i="6"/>
  <c r="AI56" i="6"/>
  <c r="AI57" i="6"/>
  <c r="AI58" i="6"/>
  <c r="AI59" i="6"/>
  <c r="AI60" i="6"/>
  <c r="AI61" i="6"/>
  <c r="AI62" i="6"/>
  <c r="AI63" i="6"/>
  <c r="AI64" i="6"/>
  <c r="AI65" i="6"/>
  <c r="AI66" i="6"/>
  <c r="AI67" i="6"/>
  <c r="AI68" i="6"/>
  <c r="AI69" i="6"/>
  <c r="AI70" i="6"/>
  <c r="AI71" i="6"/>
  <c r="AI72" i="6"/>
  <c r="AI73" i="6"/>
  <c r="AI74" i="6"/>
  <c r="AI75" i="6"/>
  <c r="AI76" i="6"/>
  <c r="AI77" i="6"/>
  <c r="AI78" i="6"/>
  <c r="AI79" i="6"/>
  <c r="AI80" i="6"/>
  <c r="AI81" i="6"/>
  <c r="AI82" i="6"/>
  <c r="AI83" i="6"/>
  <c r="AI84" i="6"/>
  <c r="AI85" i="6"/>
  <c r="AI86" i="6"/>
  <c r="AI87" i="6"/>
  <c r="AI88" i="6"/>
  <c r="AI89" i="6"/>
  <c r="AI90" i="6"/>
  <c r="AI91" i="6"/>
  <c r="AI92" i="6"/>
  <c r="AI15" i="6"/>
  <c r="AJ13" i="6"/>
  <c r="AJ12" i="6"/>
  <c r="AJ16" i="6"/>
  <c r="AJ17" i="6"/>
  <c r="AJ18" i="6"/>
  <c r="AJ19" i="6"/>
  <c r="AJ20" i="6"/>
  <c r="AJ21" i="6"/>
  <c r="AJ22" i="6"/>
  <c r="AJ23" i="6"/>
  <c r="AJ24" i="6"/>
  <c r="AJ25" i="6"/>
  <c r="AJ26" i="6"/>
  <c r="AJ27" i="6"/>
  <c r="AJ28" i="6"/>
  <c r="AJ29" i="6"/>
  <c r="AJ30" i="6"/>
  <c r="AJ31" i="6"/>
  <c r="AJ32" i="6"/>
  <c r="AJ33" i="6"/>
  <c r="AJ34" i="6"/>
  <c r="AJ35" i="6"/>
  <c r="AJ36" i="6"/>
  <c r="AJ37" i="6"/>
  <c r="AJ38" i="6"/>
  <c r="AJ39" i="6"/>
  <c r="AJ40" i="6"/>
  <c r="AJ41" i="6"/>
  <c r="AJ42" i="6"/>
  <c r="AJ43" i="6"/>
  <c r="AJ44" i="6"/>
  <c r="AJ45" i="6"/>
  <c r="AJ46" i="6"/>
  <c r="AJ47" i="6"/>
  <c r="AJ48" i="6"/>
  <c r="AJ49" i="6"/>
  <c r="AJ50" i="6"/>
  <c r="AJ51" i="6"/>
  <c r="AJ52" i="6"/>
  <c r="AJ53" i="6"/>
  <c r="AJ54" i="6"/>
  <c r="AJ55" i="6"/>
  <c r="AJ56" i="6"/>
  <c r="AJ57" i="6"/>
  <c r="AJ58" i="6"/>
  <c r="AJ59" i="6"/>
  <c r="AJ60" i="6"/>
  <c r="AJ61" i="6"/>
  <c r="AJ62" i="6"/>
  <c r="AJ63" i="6"/>
  <c r="AJ64" i="6"/>
  <c r="AJ65" i="6"/>
  <c r="AJ66" i="6"/>
  <c r="AJ67" i="6"/>
  <c r="AJ68" i="6"/>
  <c r="AJ69" i="6"/>
  <c r="AJ70" i="6"/>
  <c r="AJ71" i="6"/>
  <c r="AJ72" i="6"/>
  <c r="AJ73" i="6"/>
  <c r="AJ74" i="6"/>
  <c r="AJ75" i="6"/>
  <c r="AJ76" i="6"/>
  <c r="AJ77" i="6"/>
  <c r="AJ78" i="6"/>
  <c r="AJ79" i="6"/>
  <c r="AJ80" i="6"/>
  <c r="AJ81" i="6"/>
  <c r="AJ82" i="6"/>
  <c r="AJ83" i="6"/>
  <c r="AJ84" i="6"/>
  <c r="AJ85" i="6"/>
  <c r="AJ86" i="6"/>
  <c r="AJ87" i="6"/>
  <c r="AJ88" i="6"/>
  <c r="AJ89" i="6"/>
  <c r="AJ90" i="6"/>
  <c r="AJ91" i="6"/>
  <c r="AJ92" i="6"/>
  <c r="AJ15" i="6"/>
  <c r="AK13" i="6"/>
  <c r="AK12" i="6"/>
  <c r="AK16" i="6"/>
  <c r="AK17" i="6"/>
  <c r="AK18" i="6"/>
  <c r="AK19" i="6"/>
  <c r="AK20" i="6"/>
  <c r="AK21" i="6"/>
  <c r="AK22" i="6"/>
  <c r="AK23" i="6"/>
  <c r="AK24" i="6"/>
  <c r="AK25" i="6"/>
  <c r="AK26" i="6"/>
  <c r="AK27" i="6"/>
  <c r="AK28" i="6"/>
  <c r="AK29" i="6"/>
  <c r="AK30" i="6"/>
  <c r="AK31" i="6"/>
  <c r="AK32" i="6"/>
  <c r="AK33" i="6"/>
  <c r="AK34" i="6"/>
  <c r="AK35" i="6"/>
  <c r="AK36" i="6"/>
  <c r="AK37" i="6"/>
  <c r="AK38" i="6"/>
  <c r="AK39" i="6"/>
  <c r="AK40" i="6"/>
  <c r="AK41" i="6"/>
  <c r="AK42" i="6"/>
  <c r="AK43" i="6"/>
  <c r="AK44" i="6"/>
  <c r="AK45" i="6"/>
  <c r="AK46" i="6"/>
  <c r="AK47" i="6"/>
  <c r="AK48" i="6"/>
  <c r="AK49" i="6"/>
  <c r="AK50" i="6"/>
  <c r="AK51" i="6"/>
  <c r="AK52" i="6"/>
  <c r="AK53" i="6"/>
  <c r="AK54" i="6"/>
  <c r="AK55" i="6"/>
  <c r="AK56" i="6"/>
  <c r="AK57" i="6"/>
  <c r="AK58" i="6"/>
  <c r="AK59" i="6"/>
  <c r="AK60" i="6"/>
  <c r="AK61" i="6"/>
  <c r="AK62" i="6"/>
  <c r="AK63" i="6"/>
  <c r="AK64" i="6"/>
  <c r="AK65" i="6"/>
  <c r="AK66" i="6"/>
  <c r="AK67" i="6"/>
  <c r="AK68" i="6"/>
  <c r="AK69" i="6"/>
  <c r="AK70" i="6"/>
  <c r="AK71" i="6"/>
  <c r="AK72" i="6"/>
  <c r="AK73" i="6"/>
  <c r="AK74" i="6"/>
  <c r="AK75" i="6"/>
  <c r="AK76" i="6"/>
  <c r="AK77" i="6"/>
  <c r="AK78" i="6"/>
  <c r="AK79" i="6"/>
  <c r="AK80" i="6"/>
  <c r="AK81" i="6"/>
  <c r="AK82" i="6"/>
  <c r="AK83" i="6"/>
  <c r="AK84" i="6"/>
  <c r="AK85" i="6"/>
  <c r="AK86" i="6"/>
  <c r="AK87" i="6"/>
  <c r="AK88" i="6"/>
  <c r="AK89" i="6"/>
  <c r="AK90" i="6"/>
  <c r="AK91" i="6"/>
  <c r="AK92" i="6"/>
  <c r="AK15" i="6"/>
  <c r="AZ16" i="6"/>
  <c r="BA16" i="6"/>
  <c r="BB16" i="6"/>
  <c r="BC16" i="6"/>
  <c r="BD16" i="6"/>
  <c r="BE16" i="6"/>
  <c r="BF16" i="6"/>
  <c r="BG16" i="6"/>
  <c r="AX17" i="6"/>
  <c r="AY17" i="6"/>
  <c r="AZ17" i="6"/>
  <c r="BA17" i="6"/>
  <c r="BB17" i="6"/>
  <c r="BC17" i="6"/>
  <c r="BD17" i="6"/>
  <c r="BE17" i="6"/>
  <c r="BF17" i="6"/>
  <c r="BG17" i="6"/>
  <c r="AX18" i="6"/>
  <c r="AY18" i="6"/>
  <c r="AZ18" i="6"/>
  <c r="BA18" i="6"/>
  <c r="BB18" i="6"/>
  <c r="BC18" i="6"/>
  <c r="BD18" i="6"/>
  <c r="BE18" i="6"/>
  <c r="BF18" i="6"/>
  <c r="BG18" i="6"/>
  <c r="AX19" i="6"/>
  <c r="AY19" i="6"/>
  <c r="AZ19" i="6"/>
  <c r="BA19" i="6"/>
  <c r="BB19" i="6"/>
  <c r="BC19" i="6"/>
  <c r="BD19" i="6"/>
  <c r="BE19" i="6"/>
  <c r="BF19" i="6"/>
  <c r="BG19" i="6"/>
  <c r="AX20" i="6"/>
  <c r="AY20" i="6"/>
  <c r="AZ20" i="6"/>
  <c r="BA20" i="6"/>
  <c r="BB20" i="6"/>
  <c r="BC20" i="6"/>
  <c r="BD20" i="6"/>
  <c r="BE20" i="6"/>
  <c r="BF20" i="6"/>
  <c r="BG20" i="6"/>
  <c r="AX21" i="6"/>
  <c r="AY21" i="6"/>
  <c r="AZ21" i="6"/>
  <c r="BA21" i="6"/>
  <c r="BB21" i="6"/>
  <c r="BC21" i="6"/>
  <c r="BD21" i="6"/>
  <c r="BE21" i="6"/>
  <c r="BF21" i="6"/>
  <c r="BG21" i="6"/>
  <c r="AX22" i="6"/>
  <c r="AY22" i="6"/>
  <c r="AZ22" i="6"/>
  <c r="BA22" i="6"/>
  <c r="BB22" i="6"/>
  <c r="BC22" i="6"/>
  <c r="BD22" i="6"/>
  <c r="BE22" i="6"/>
  <c r="BF22" i="6"/>
  <c r="BG22" i="6"/>
  <c r="AX23" i="6"/>
  <c r="AY23" i="6"/>
  <c r="AZ23" i="6"/>
  <c r="BA23" i="6"/>
  <c r="BB23" i="6"/>
  <c r="BC23" i="6"/>
  <c r="BD23" i="6"/>
  <c r="BE23" i="6"/>
  <c r="BF23" i="6"/>
  <c r="BG23" i="6"/>
  <c r="AX24" i="6"/>
  <c r="AY24" i="6"/>
  <c r="AZ24" i="6"/>
  <c r="BA24" i="6"/>
  <c r="BB24" i="6"/>
  <c r="BC24" i="6"/>
  <c r="BD24" i="6"/>
  <c r="BE24" i="6"/>
  <c r="BF24" i="6"/>
  <c r="BG24" i="6"/>
  <c r="AX25" i="6"/>
  <c r="AY25" i="6"/>
  <c r="AZ25" i="6"/>
  <c r="BA25" i="6"/>
  <c r="BB25" i="6"/>
  <c r="BC25" i="6"/>
  <c r="BD25" i="6"/>
  <c r="BE25" i="6"/>
  <c r="BF25" i="6"/>
  <c r="BG25" i="6"/>
  <c r="AX26" i="6"/>
  <c r="AY26" i="6"/>
  <c r="AZ26" i="6"/>
  <c r="BA26" i="6"/>
  <c r="BB26" i="6"/>
  <c r="BC26" i="6"/>
  <c r="BD26" i="6"/>
  <c r="BE26" i="6"/>
  <c r="BF26" i="6"/>
  <c r="BG26" i="6"/>
  <c r="AX27" i="6"/>
  <c r="AY27" i="6"/>
  <c r="AZ27" i="6"/>
  <c r="BA27" i="6"/>
  <c r="BB27" i="6"/>
  <c r="BC27" i="6"/>
  <c r="BD27" i="6"/>
  <c r="BE27" i="6"/>
  <c r="BF27" i="6"/>
  <c r="BG27" i="6"/>
  <c r="AX28" i="6"/>
  <c r="AY28" i="6"/>
  <c r="AZ28" i="6"/>
  <c r="BA28" i="6"/>
  <c r="BB28" i="6"/>
  <c r="BC28" i="6"/>
  <c r="BD28" i="6"/>
  <c r="BE28" i="6"/>
  <c r="BF28" i="6"/>
  <c r="BG28" i="6"/>
  <c r="AX29" i="6"/>
  <c r="AY29" i="6"/>
  <c r="AZ29" i="6"/>
  <c r="BA29" i="6"/>
  <c r="BB29" i="6"/>
  <c r="BC29" i="6"/>
  <c r="BD29" i="6"/>
  <c r="BE29" i="6"/>
  <c r="BF29" i="6"/>
  <c r="BG29" i="6"/>
  <c r="AX30" i="6"/>
  <c r="AY30" i="6"/>
  <c r="AZ30" i="6"/>
  <c r="BA30" i="6"/>
  <c r="BB30" i="6"/>
  <c r="BC30" i="6"/>
  <c r="BD30" i="6"/>
  <c r="BE30" i="6"/>
  <c r="BF30" i="6"/>
  <c r="BG30" i="6"/>
  <c r="AX31" i="6"/>
  <c r="AY31" i="6"/>
  <c r="AZ31" i="6"/>
  <c r="BA31" i="6"/>
  <c r="BB31" i="6"/>
  <c r="BC31" i="6"/>
  <c r="BD31" i="6"/>
  <c r="BE31" i="6"/>
  <c r="BF31" i="6"/>
  <c r="BG31" i="6"/>
  <c r="AX32" i="6"/>
  <c r="AY32" i="6"/>
  <c r="AZ32" i="6"/>
  <c r="BA32" i="6"/>
  <c r="BB32" i="6"/>
  <c r="BC32" i="6"/>
  <c r="BD32" i="6"/>
  <c r="BE32" i="6"/>
  <c r="BF32" i="6"/>
  <c r="BG32" i="6"/>
  <c r="AX33" i="6"/>
  <c r="AY33" i="6"/>
  <c r="AZ33" i="6"/>
  <c r="BA33" i="6"/>
  <c r="BB33" i="6"/>
  <c r="BC33" i="6"/>
  <c r="BD33" i="6"/>
  <c r="BE33" i="6"/>
  <c r="BF33" i="6"/>
  <c r="BG33" i="6"/>
  <c r="AX34" i="6"/>
  <c r="AY34" i="6"/>
  <c r="AZ34" i="6"/>
  <c r="BA34" i="6"/>
  <c r="BB34" i="6"/>
  <c r="BC34" i="6"/>
  <c r="BD34" i="6"/>
  <c r="BE34" i="6"/>
  <c r="BF34" i="6"/>
  <c r="BG34" i="6"/>
  <c r="AX35" i="6"/>
  <c r="AY35" i="6"/>
  <c r="AZ35" i="6"/>
  <c r="BA35" i="6"/>
  <c r="BB35" i="6"/>
  <c r="BC35" i="6"/>
  <c r="BD35" i="6"/>
  <c r="BE35" i="6"/>
  <c r="BF35" i="6"/>
  <c r="BG35" i="6"/>
  <c r="AX36" i="6"/>
  <c r="AY36" i="6"/>
  <c r="AZ36" i="6"/>
  <c r="BA36" i="6"/>
  <c r="BB36" i="6"/>
  <c r="BC36" i="6"/>
  <c r="BD36" i="6"/>
  <c r="BE36" i="6"/>
  <c r="BF36" i="6"/>
  <c r="BG36" i="6"/>
  <c r="AX37" i="6"/>
  <c r="AY37" i="6"/>
  <c r="AZ37" i="6"/>
  <c r="BA37" i="6"/>
  <c r="BB37" i="6"/>
  <c r="BC37" i="6"/>
  <c r="BD37" i="6"/>
  <c r="BE37" i="6"/>
  <c r="BF37" i="6"/>
  <c r="BG37" i="6"/>
  <c r="AX38" i="6"/>
  <c r="AY38" i="6"/>
  <c r="AZ38" i="6"/>
  <c r="BA38" i="6"/>
  <c r="BB38" i="6"/>
  <c r="BC38" i="6"/>
  <c r="BD38" i="6"/>
  <c r="BE38" i="6"/>
  <c r="BF38" i="6"/>
  <c r="BG38" i="6"/>
  <c r="AX39" i="6"/>
  <c r="AY39" i="6"/>
  <c r="AZ39" i="6"/>
  <c r="BA39" i="6"/>
  <c r="BB39" i="6"/>
  <c r="BC39" i="6"/>
  <c r="BD39" i="6"/>
  <c r="BE39" i="6"/>
  <c r="BF39" i="6"/>
  <c r="BG39" i="6"/>
  <c r="AX40" i="6"/>
  <c r="AY40" i="6"/>
  <c r="AZ40" i="6"/>
  <c r="BA40" i="6"/>
  <c r="BB40" i="6"/>
  <c r="BC40" i="6"/>
  <c r="BD40" i="6"/>
  <c r="BE40" i="6"/>
  <c r="BF40" i="6"/>
  <c r="BG40" i="6"/>
  <c r="AX41" i="6"/>
  <c r="AY41" i="6"/>
  <c r="AZ41" i="6"/>
  <c r="BA41" i="6"/>
  <c r="BB41" i="6"/>
  <c r="BC41" i="6"/>
  <c r="BD41" i="6"/>
  <c r="BE41" i="6"/>
  <c r="BF41" i="6"/>
  <c r="BG41" i="6"/>
  <c r="AX42" i="6"/>
  <c r="AY42" i="6"/>
  <c r="AZ42" i="6"/>
  <c r="BA42" i="6"/>
  <c r="BB42" i="6"/>
  <c r="BC42" i="6"/>
  <c r="BD42" i="6"/>
  <c r="BE42" i="6"/>
  <c r="BF42" i="6"/>
  <c r="BG42" i="6"/>
  <c r="AX43" i="6"/>
  <c r="AY43" i="6"/>
  <c r="AZ43" i="6"/>
  <c r="BA43" i="6"/>
  <c r="BB43" i="6"/>
  <c r="BC43" i="6"/>
  <c r="BD43" i="6"/>
  <c r="BE43" i="6"/>
  <c r="BF43" i="6"/>
  <c r="BG43" i="6"/>
  <c r="AX44" i="6"/>
  <c r="AY44" i="6"/>
  <c r="AZ44" i="6"/>
  <c r="BA44" i="6"/>
  <c r="BB44" i="6"/>
  <c r="BC44" i="6"/>
  <c r="BD44" i="6"/>
  <c r="BE44" i="6"/>
  <c r="BF44" i="6"/>
  <c r="BG44" i="6"/>
  <c r="AX45" i="6"/>
  <c r="AY45" i="6"/>
  <c r="AZ45" i="6"/>
  <c r="BA45" i="6"/>
  <c r="BB45" i="6"/>
  <c r="BC45" i="6"/>
  <c r="BD45" i="6"/>
  <c r="BE45" i="6"/>
  <c r="BF45" i="6"/>
  <c r="BG45" i="6"/>
  <c r="AX46" i="6"/>
  <c r="AY46" i="6"/>
  <c r="AZ46" i="6"/>
  <c r="BA46" i="6"/>
  <c r="BB46" i="6"/>
  <c r="BC46" i="6"/>
  <c r="BD46" i="6"/>
  <c r="BE46" i="6"/>
  <c r="BF46" i="6"/>
  <c r="BG46" i="6"/>
  <c r="AX47" i="6"/>
  <c r="AY47" i="6"/>
  <c r="AZ47" i="6"/>
  <c r="BA47" i="6"/>
  <c r="BB47" i="6"/>
  <c r="BC47" i="6"/>
  <c r="BD47" i="6"/>
  <c r="BE47" i="6"/>
  <c r="BF47" i="6"/>
  <c r="BG47" i="6"/>
  <c r="AX48" i="6"/>
  <c r="AY48" i="6"/>
  <c r="AZ48" i="6"/>
  <c r="BA48" i="6"/>
  <c r="BB48" i="6"/>
  <c r="BC48" i="6"/>
  <c r="BD48" i="6"/>
  <c r="BE48" i="6"/>
  <c r="BF48" i="6"/>
  <c r="BG48" i="6"/>
  <c r="AX49" i="6"/>
  <c r="AY49" i="6"/>
  <c r="AZ49" i="6"/>
  <c r="BA49" i="6"/>
  <c r="BB49" i="6"/>
  <c r="BC49" i="6"/>
  <c r="BD49" i="6"/>
  <c r="BE49" i="6"/>
  <c r="BF49" i="6"/>
  <c r="BG49" i="6"/>
  <c r="AX50" i="6"/>
  <c r="AY50" i="6"/>
  <c r="AZ50" i="6"/>
  <c r="BA50" i="6"/>
  <c r="BB50" i="6"/>
  <c r="BC50" i="6"/>
  <c r="BD50" i="6"/>
  <c r="BE50" i="6"/>
  <c r="BF50" i="6"/>
  <c r="BG50" i="6"/>
  <c r="AX51" i="6"/>
  <c r="AY51" i="6"/>
  <c r="AZ51" i="6"/>
  <c r="BA51" i="6"/>
  <c r="BB51" i="6"/>
  <c r="BC51" i="6"/>
  <c r="BD51" i="6"/>
  <c r="BE51" i="6"/>
  <c r="BF51" i="6"/>
  <c r="BG51" i="6"/>
  <c r="AX52" i="6"/>
  <c r="AY52" i="6"/>
  <c r="AZ52" i="6"/>
  <c r="BA52" i="6"/>
  <c r="BB52" i="6"/>
  <c r="BC52" i="6"/>
  <c r="BD52" i="6"/>
  <c r="BE52" i="6"/>
  <c r="BF52" i="6"/>
  <c r="BG52" i="6"/>
  <c r="AX53" i="6"/>
  <c r="AY53" i="6"/>
  <c r="AZ53" i="6"/>
  <c r="BA53" i="6"/>
  <c r="BB53" i="6"/>
  <c r="BC53" i="6"/>
  <c r="BD53" i="6"/>
  <c r="BE53" i="6"/>
  <c r="BF53" i="6"/>
  <c r="BG53" i="6"/>
  <c r="AX54" i="6"/>
  <c r="AY54" i="6"/>
  <c r="AZ54" i="6"/>
  <c r="BA54" i="6"/>
  <c r="BB54" i="6"/>
  <c r="BC54" i="6"/>
  <c r="BD54" i="6"/>
  <c r="BE54" i="6"/>
  <c r="BF54" i="6"/>
  <c r="BG54" i="6"/>
  <c r="AX55" i="6"/>
  <c r="AY55" i="6"/>
  <c r="AZ55" i="6"/>
  <c r="BA55" i="6"/>
  <c r="BB55" i="6"/>
  <c r="BC55" i="6"/>
  <c r="BD55" i="6"/>
  <c r="BE55" i="6"/>
  <c r="BF55" i="6"/>
  <c r="BG55" i="6"/>
  <c r="AX56" i="6"/>
  <c r="AY56" i="6"/>
  <c r="AZ56" i="6"/>
  <c r="BA56" i="6"/>
  <c r="BB56" i="6"/>
  <c r="BC56" i="6"/>
  <c r="BD56" i="6"/>
  <c r="BE56" i="6"/>
  <c r="BF56" i="6"/>
  <c r="BG56" i="6"/>
  <c r="AX57" i="6"/>
  <c r="AY57" i="6"/>
  <c r="AZ57" i="6"/>
  <c r="BA57" i="6"/>
  <c r="BB57" i="6"/>
  <c r="BC57" i="6"/>
  <c r="BD57" i="6"/>
  <c r="BE57" i="6"/>
  <c r="BF57" i="6"/>
  <c r="BG57" i="6"/>
  <c r="AX58" i="6"/>
  <c r="AY58" i="6"/>
  <c r="AZ58" i="6"/>
  <c r="BA58" i="6"/>
  <c r="BB58" i="6"/>
  <c r="BC58" i="6"/>
  <c r="BD58" i="6"/>
  <c r="BE58" i="6"/>
  <c r="BF58" i="6"/>
  <c r="BG58" i="6"/>
  <c r="AX59" i="6"/>
  <c r="AY59" i="6"/>
  <c r="AZ59" i="6"/>
  <c r="BA59" i="6"/>
  <c r="BB59" i="6"/>
  <c r="BC59" i="6"/>
  <c r="BD59" i="6"/>
  <c r="BE59" i="6"/>
  <c r="BF59" i="6"/>
  <c r="BG59" i="6"/>
  <c r="AX60" i="6"/>
  <c r="AY60" i="6"/>
  <c r="AZ60" i="6"/>
  <c r="BA60" i="6"/>
  <c r="BB60" i="6"/>
  <c r="BC60" i="6"/>
  <c r="BD60" i="6"/>
  <c r="BE60" i="6"/>
  <c r="BF60" i="6"/>
  <c r="BG60" i="6"/>
  <c r="AX61" i="6"/>
  <c r="AY61" i="6"/>
  <c r="AZ61" i="6"/>
  <c r="BA61" i="6"/>
  <c r="BB61" i="6"/>
  <c r="BC61" i="6"/>
  <c r="BD61" i="6"/>
  <c r="BE61" i="6"/>
  <c r="BF61" i="6"/>
  <c r="BG61" i="6"/>
  <c r="AX62" i="6"/>
  <c r="AY62" i="6"/>
  <c r="AZ62" i="6"/>
  <c r="BA62" i="6"/>
  <c r="BB62" i="6"/>
  <c r="BC62" i="6"/>
  <c r="BD62" i="6"/>
  <c r="BE62" i="6"/>
  <c r="BF62" i="6"/>
  <c r="BG62" i="6"/>
  <c r="AX63" i="6"/>
  <c r="AY63" i="6"/>
  <c r="AZ63" i="6"/>
  <c r="BA63" i="6"/>
  <c r="BB63" i="6"/>
  <c r="BC63" i="6"/>
  <c r="BD63" i="6"/>
  <c r="BE63" i="6"/>
  <c r="BF63" i="6"/>
  <c r="BG63" i="6"/>
  <c r="AX64" i="6"/>
  <c r="AY64" i="6"/>
  <c r="AZ64" i="6"/>
  <c r="BA64" i="6"/>
  <c r="BB64" i="6"/>
  <c r="BC64" i="6"/>
  <c r="BD64" i="6"/>
  <c r="BE64" i="6"/>
  <c r="BF64" i="6"/>
  <c r="BG64" i="6"/>
  <c r="AX65" i="6"/>
  <c r="AY65" i="6"/>
  <c r="AZ65" i="6"/>
  <c r="BA65" i="6"/>
  <c r="BB65" i="6"/>
  <c r="BC65" i="6"/>
  <c r="BD65" i="6"/>
  <c r="BE65" i="6"/>
  <c r="BF65" i="6"/>
  <c r="BG65" i="6"/>
  <c r="AX66" i="6"/>
  <c r="AY66" i="6"/>
  <c r="AZ66" i="6"/>
  <c r="BA66" i="6"/>
  <c r="BB66" i="6"/>
  <c r="BC66" i="6"/>
  <c r="BD66" i="6"/>
  <c r="BE66" i="6"/>
  <c r="BF66" i="6"/>
  <c r="BG66" i="6"/>
  <c r="AX67" i="6"/>
  <c r="AY67" i="6"/>
  <c r="AZ67" i="6"/>
  <c r="BA67" i="6"/>
  <c r="BB67" i="6"/>
  <c r="BC67" i="6"/>
  <c r="BD67" i="6"/>
  <c r="BE67" i="6"/>
  <c r="BF67" i="6"/>
  <c r="BG67" i="6"/>
  <c r="AX68" i="6"/>
  <c r="AY68" i="6"/>
  <c r="AZ68" i="6"/>
  <c r="BA68" i="6"/>
  <c r="BB68" i="6"/>
  <c r="BC68" i="6"/>
  <c r="BD68" i="6"/>
  <c r="BE68" i="6"/>
  <c r="BF68" i="6"/>
  <c r="BG68" i="6"/>
  <c r="AX69" i="6"/>
  <c r="AY69" i="6"/>
  <c r="AZ69" i="6"/>
  <c r="BA69" i="6"/>
  <c r="BB69" i="6"/>
  <c r="BC69" i="6"/>
  <c r="BD69" i="6"/>
  <c r="BE69" i="6"/>
  <c r="BF69" i="6"/>
  <c r="BG69" i="6"/>
  <c r="AX70" i="6"/>
  <c r="AY70" i="6"/>
  <c r="AZ70" i="6"/>
  <c r="BA70" i="6"/>
  <c r="BB70" i="6"/>
  <c r="BC70" i="6"/>
  <c r="BD70" i="6"/>
  <c r="BE70" i="6"/>
  <c r="BF70" i="6"/>
  <c r="BG70" i="6"/>
  <c r="AX71" i="6"/>
  <c r="AY71" i="6"/>
  <c r="AZ71" i="6"/>
  <c r="BA71" i="6"/>
  <c r="BB71" i="6"/>
  <c r="BC71" i="6"/>
  <c r="BD71" i="6"/>
  <c r="BE71" i="6"/>
  <c r="BF71" i="6"/>
  <c r="BG71" i="6"/>
  <c r="AX72" i="6"/>
  <c r="AY72" i="6"/>
  <c r="AZ72" i="6"/>
  <c r="BA72" i="6"/>
  <c r="BB72" i="6"/>
  <c r="BC72" i="6"/>
  <c r="BD72" i="6"/>
  <c r="BE72" i="6"/>
  <c r="BF72" i="6"/>
  <c r="BG72" i="6"/>
  <c r="AX73" i="6"/>
  <c r="AY73" i="6"/>
  <c r="AZ73" i="6"/>
  <c r="BA73" i="6"/>
  <c r="BB73" i="6"/>
  <c r="BC73" i="6"/>
  <c r="BD73" i="6"/>
  <c r="BE73" i="6"/>
  <c r="BF73" i="6"/>
  <c r="BG73" i="6"/>
  <c r="AX74" i="6"/>
  <c r="AY74" i="6"/>
  <c r="AZ74" i="6"/>
  <c r="BA74" i="6"/>
  <c r="BB74" i="6"/>
  <c r="BC74" i="6"/>
  <c r="BD74" i="6"/>
  <c r="BE74" i="6"/>
  <c r="BF74" i="6"/>
  <c r="BG74" i="6"/>
  <c r="AX75" i="6"/>
  <c r="AY75" i="6"/>
  <c r="AZ75" i="6"/>
  <c r="BA75" i="6"/>
  <c r="BB75" i="6"/>
  <c r="BC75" i="6"/>
  <c r="BD75" i="6"/>
  <c r="BE75" i="6"/>
  <c r="BF75" i="6"/>
  <c r="BG75" i="6"/>
  <c r="AX76" i="6"/>
  <c r="AY76" i="6"/>
  <c r="AZ76" i="6"/>
  <c r="BA76" i="6"/>
  <c r="BB76" i="6"/>
  <c r="BC76" i="6"/>
  <c r="BD76" i="6"/>
  <c r="BE76" i="6"/>
  <c r="BF76" i="6"/>
  <c r="BG76" i="6"/>
  <c r="AX77" i="6"/>
  <c r="AY77" i="6"/>
  <c r="AZ77" i="6"/>
  <c r="BA77" i="6"/>
  <c r="BB77" i="6"/>
  <c r="BC77" i="6"/>
  <c r="BD77" i="6"/>
  <c r="BE77" i="6"/>
  <c r="BF77" i="6"/>
  <c r="BG77" i="6"/>
  <c r="AX78" i="6"/>
  <c r="AY78" i="6"/>
  <c r="AZ78" i="6"/>
  <c r="BA78" i="6"/>
  <c r="BB78" i="6"/>
  <c r="BC78" i="6"/>
  <c r="BD78" i="6"/>
  <c r="BE78" i="6"/>
  <c r="BF78" i="6"/>
  <c r="BG78" i="6"/>
  <c r="AX79" i="6"/>
  <c r="AY79" i="6"/>
  <c r="AZ79" i="6"/>
  <c r="BA79" i="6"/>
  <c r="BB79" i="6"/>
  <c r="BC79" i="6"/>
  <c r="BD79" i="6"/>
  <c r="BE79" i="6"/>
  <c r="BF79" i="6"/>
  <c r="BG79" i="6"/>
  <c r="AX80" i="6"/>
  <c r="AY80" i="6"/>
  <c r="AZ80" i="6"/>
  <c r="BA80" i="6"/>
  <c r="BB80" i="6"/>
  <c r="BC80" i="6"/>
  <c r="BD80" i="6"/>
  <c r="BE80" i="6"/>
  <c r="BF80" i="6"/>
  <c r="BG80" i="6"/>
  <c r="AX81" i="6"/>
  <c r="AY81" i="6"/>
  <c r="AZ81" i="6"/>
  <c r="BA81" i="6"/>
  <c r="BB81" i="6"/>
  <c r="BC81" i="6"/>
  <c r="BD81" i="6"/>
  <c r="BE81" i="6"/>
  <c r="BF81" i="6"/>
  <c r="BG81" i="6"/>
  <c r="AX82" i="6"/>
  <c r="AY82" i="6"/>
  <c r="AZ82" i="6"/>
  <c r="BA82" i="6"/>
  <c r="BB82" i="6"/>
  <c r="BC82" i="6"/>
  <c r="BD82" i="6"/>
  <c r="BE82" i="6"/>
  <c r="BF82" i="6"/>
  <c r="BG82" i="6"/>
  <c r="AX83" i="6"/>
  <c r="AY83" i="6"/>
  <c r="AZ83" i="6"/>
  <c r="BA83" i="6"/>
  <c r="BB83" i="6"/>
  <c r="BC83" i="6"/>
  <c r="BD83" i="6"/>
  <c r="BE83" i="6"/>
  <c r="BF83" i="6"/>
  <c r="BG83" i="6"/>
  <c r="AX84" i="6"/>
  <c r="AY84" i="6"/>
  <c r="AZ84" i="6"/>
  <c r="BA84" i="6"/>
  <c r="BB84" i="6"/>
  <c r="BC84" i="6"/>
  <c r="BD84" i="6"/>
  <c r="BE84" i="6"/>
  <c r="BF84" i="6"/>
  <c r="BG84" i="6"/>
  <c r="AX85" i="6"/>
  <c r="AY85" i="6"/>
  <c r="AZ85" i="6"/>
  <c r="BA85" i="6"/>
  <c r="BB85" i="6"/>
  <c r="BC85" i="6"/>
  <c r="BD85" i="6"/>
  <c r="BE85" i="6"/>
  <c r="BF85" i="6"/>
  <c r="BG85" i="6"/>
  <c r="AX86" i="6"/>
  <c r="AY86" i="6"/>
  <c r="AZ86" i="6"/>
  <c r="BA86" i="6"/>
  <c r="BB86" i="6"/>
  <c r="BC86" i="6"/>
  <c r="BD86" i="6"/>
  <c r="BE86" i="6"/>
  <c r="BF86" i="6"/>
  <c r="BG86" i="6"/>
  <c r="AX87" i="6"/>
  <c r="AY87" i="6"/>
  <c r="AZ87" i="6"/>
  <c r="BA87" i="6"/>
  <c r="BB87" i="6"/>
  <c r="BC87" i="6"/>
  <c r="BD87" i="6"/>
  <c r="BE87" i="6"/>
  <c r="BF87" i="6"/>
  <c r="BG87" i="6"/>
  <c r="AX88" i="6"/>
  <c r="AY88" i="6"/>
  <c r="AZ88" i="6"/>
  <c r="BA88" i="6"/>
  <c r="BB88" i="6"/>
  <c r="BC88" i="6"/>
  <c r="BD88" i="6"/>
  <c r="BE88" i="6"/>
  <c r="BF88" i="6"/>
  <c r="BG88" i="6"/>
  <c r="AX89" i="6"/>
  <c r="AY89" i="6"/>
  <c r="AZ89" i="6"/>
  <c r="BA89" i="6"/>
  <c r="BB89" i="6"/>
  <c r="BC89" i="6"/>
  <c r="BD89" i="6"/>
  <c r="BE89" i="6"/>
  <c r="BF89" i="6"/>
  <c r="BG89" i="6"/>
  <c r="AX90" i="6"/>
  <c r="AY90" i="6"/>
  <c r="AZ90" i="6"/>
  <c r="BA90" i="6"/>
  <c r="BB90" i="6"/>
  <c r="BC90" i="6"/>
  <c r="BD90" i="6"/>
  <c r="BE90" i="6"/>
  <c r="BF90" i="6"/>
  <c r="BG90" i="6"/>
  <c r="AX91" i="6"/>
  <c r="AY91" i="6"/>
  <c r="AZ91" i="6"/>
  <c r="BA91" i="6"/>
  <c r="BB91" i="6"/>
  <c r="BC91" i="6"/>
  <c r="BD91" i="6"/>
  <c r="BE91" i="6"/>
  <c r="BF91" i="6"/>
  <c r="BG91" i="6"/>
  <c r="AX92" i="6"/>
  <c r="AY92" i="6"/>
  <c r="AZ92" i="6"/>
  <c r="BA92" i="6"/>
  <c r="BB92" i="6"/>
  <c r="BC92" i="6"/>
  <c r="BD92" i="6"/>
  <c r="BE92" i="6"/>
  <c r="BF92" i="6"/>
  <c r="BG92" i="6"/>
  <c r="AX15" i="6"/>
  <c r="AY15" i="6"/>
  <c r="AZ15" i="6"/>
  <c r="BA15" i="6"/>
  <c r="BB15" i="6"/>
  <c r="BC15" i="6"/>
  <c r="BD15" i="6"/>
  <c r="BE15" i="6"/>
  <c r="BF15" i="6"/>
  <c r="BG15" i="6"/>
  <c r="AM16" i="6"/>
  <c r="AN16" i="6"/>
  <c r="AO16" i="6"/>
  <c r="AP16" i="6"/>
  <c r="AQ16" i="6"/>
  <c r="AR16" i="6"/>
  <c r="AS16" i="6"/>
  <c r="AM17" i="6"/>
  <c r="AN17" i="6"/>
  <c r="AO17" i="6"/>
  <c r="AP17" i="6"/>
  <c r="AQ17" i="6"/>
  <c r="AR17" i="6"/>
  <c r="AS17" i="6"/>
  <c r="AM18" i="6"/>
  <c r="AN18" i="6"/>
  <c r="AO18" i="6"/>
  <c r="AP18" i="6"/>
  <c r="AQ18" i="6"/>
  <c r="AR18" i="6"/>
  <c r="AS18" i="6"/>
  <c r="AM39" i="6"/>
  <c r="AN39" i="6"/>
  <c r="AO39" i="6"/>
  <c r="AP39" i="6"/>
  <c r="AQ39" i="6"/>
  <c r="AR39" i="6"/>
  <c r="AS39" i="6"/>
  <c r="AM40" i="6"/>
  <c r="AN40" i="6"/>
  <c r="AO40" i="6"/>
  <c r="AP40" i="6"/>
  <c r="AQ40" i="6"/>
  <c r="AR40" i="6"/>
  <c r="AS40" i="6"/>
  <c r="AM44" i="6"/>
  <c r="AN44" i="6"/>
  <c r="AO44" i="6"/>
  <c r="AP44" i="6"/>
  <c r="AQ44" i="6"/>
  <c r="AR44" i="6"/>
  <c r="AS44" i="6"/>
  <c r="AM50" i="6"/>
  <c r="AN50" i="6"/>
  <c r="AO50" i="6"/>
  <c r="AP50" i="6"/>
  <c r="AQ50" i="6"/>
  <c r="AR50" i="6"/>
  <c r="AS50" i="6"/>
  <c r="AM55" i="6"/>
  <c r="AN55" i="6"/>
  <c r="AO55" i="6"/>
  <c r="AP55" i="6"/>
  <c r="AQ55" i="6"/>
  <c r="AR55" i="6"/>
  <c r="AS55" i="6"/>
  <c r="AM61" i="6"/>
  <c r="AN61" i="6"/>
  <c r="AO61" i="6"/>
  <c r="AP61" i="6"/>
  <c r="AQ61" i="6"/>
  <c r="AR61" i="6"/>
  <c r="AS61" i="6"/>
  <c r="AM62" i="6"/>
  <c r="AN62" i="6"/>
  <c r="AO62" i="6"/>
  <c r="AP62" i="6"/>
  <c r="AQ62" i="6"/>
  <c r="AR62" i="6"/>
  <c r="AS62" i="6"/>
  <c r="AM66" i="6"/>
  <c r="AN66" i="6"/>
  <c r="AO66" i="6"/>
  <c r="AP66" i="6"/>
  <c r="AQ66" i="6"/>
  <c r="AR66" i="6"/>
  <c r="AS66" i="6"/>
  <c r="AM70" i="6"/>
  <c r="AN70" i="6"/>
  <c r="AO70" i="6"/>
  <c r="AP70" i="6"/>
  <c r="AQ70" i="6"/>
  <c r="AR70" i="6"/>
  <c r="AS70" i="6"/>
  <c r="AM71" i="6"/>
  <c r="AN71" i="6"/>
  <c r="AO71" i="6"/>
  <c r="AP71" i="6"/>
  <c r="AQ71" i="6"/>
  <c r="AR71" i="6"/>
  <c r="AS71" i="6"/>
  <c r="AM75" i="6"/>
  <c r="AN75" i="6"/>
  <c r="AO75" i="6"/>
  <c r="AP75" i="6"/>
  <c r="AQ75" i="6"/>
  <c r="AR75" i="6"/>
  <c r="AS75" i="6"/>
  <c r="AM76" i="6"/>
  <c r="AN76" i="6"/>
  <c r="AO76" i="6"/>
  <c r="AP76" i="6"/>
  <c r="AQ76" i="6"/>
  <c r="AR76" i="6"/>
  <c r="AS76" i="6"/>
  <c r="AM80" i="6"/>
  <c r="AN80" i="6"/>
  <c r="AO80" i="6"/>
  <c r="AP80" i="6"/>
  <c r="AQ80" i="6"/>
  <c r="AR80" i="6"/>
  <c r="AS80" i="6"/>
  <c r="AM81" i="6"/>
  <c r="AN81" i="6"/>
  <c r="AO81" i="6"/>
  <c r="AP81" i="6"/>
  <c r="AQ81" i="6"/>
  <c r="AR81" i="6"/>
  <c r="AS81" i="6"/>
  <c r="AM83" i="6"/>
  <c r="AN83" i="6"/>
  <c r="AO83" i="6"/>
  <c r="AP83" i="6"/>
  <c r="AQ83" i="6"/>
  <c r="AR83" i="6"/>
  <c r="AS83" i="6"/>
  <c r="AM85" i="6"/>
  <c r="AN85" i="6"/>
  <c r="AO85" i="6"/>
  <c r="AP85" i="6"/>
  <c r="AQ85" i="6"/>
  <c r="AR85" i="6"/>
  <c r="AS85" i="6"/>
  <c r="AM87" i="6"/>
  <c r="AN87" i="6"/>
  <c r="AO87" i="6"/>
  <c r="AP87" i="6"/>
  <c r="AQ87" i="6"/>
  <c r="AR87" i="6"/>
  <c r="AS87" i="6"/>
  <c r="AM89" i="6"/>
  <c r="AN89" i="6"/>
  <c r="AO89" i="6"/>
  <c r="AP89" i="6"/>
  <c r="AQ89" i="6"/>
  <c r="AR89" i="6"/>
  <c r="AS89" i="6"/>
  <c r="I30" i="10"/>
  <c r="I34" i="10" a="1"/>
  <c r="I34" i="10"/>
  <c r="X19" i="5" a="1"/>
  <c r="X19" i="5"/>
  <c r="X20" i="5" a="1"/>
  <c r="X20" i="5"/>
  <c r="K16" i="5"/>
  <c r="J16" i="5"/>
  <c r="D16" i="5"/>
  <c r="X21" i="5" a="1"/>
  <c r="X21" i="5"/>
  <c r="X22" i="5" a="1"/>
  <c r="F16" i="5"/>
  <c r="F17" i="5"/>
  <c r="F18" i="5"/>
  <c r="F19" i="5"/>
  <c r="F20" i="5"/>
  <c r="F21" i="5"/>
  <c r="F22" i="5"/>
  <c r="F23" i="5"/>
  <c r="F24" i="5"/>
  <c r="F25" i="5"/>
  <c r="F26" i="5"/>
  <c r="F27" i="5"/>
  <c r="F28" i="5"/>
  <c r="F29" i="5"/>
  <c r="F30" i="5"/>
  <c r="F31" i="5"/>
  <c r="F32" i="5"/>
  <c r="F33" i="5"/>
  <c r="F34" i="5"/>
  <c r="F35" i="5"/>
  <c r="F36" i="5"/>
  <c r="F37" i="5"/>
  <c r="F38" i="5"/>
  <c r="F39" i="5"/>
  <c r="F40" i="5"/>
  <c r="F41" i="5"/>
  <c r="F42" i="5"/>
  <c r="F43" i="5"/>
  <c r="F44" i="5"/>
  <c r="F45" i="5"/>
  <c r="F46" i="5"/>
  <c r="F47" i="5"/>
  <c r="F48" i="5"/>
  <c r="F49" i="5"/>
  <c r="F50" i="5"/>
  <c r="F51" i="5"/>
  <c r="F52" i="5"/>
  <c r="F53" i="5"/>
  <c r="F54" i="5"/>
  <c r="F55" i="5"/>
  <c r="F56" i="5"/>
  <c r="F57" i="5"/>
  <c r="F58" i="5"/>
  <c r="F59" i="5"/>
  <c r="F60" i="5"/>
  <c r="F61" i="5"/>
  <c r="F62" i="5"/>
  <c r="F63" i="5"/>
  <c r="F64" i="5"/>
  <c r="F65" i="5"/>
  <c r="F66" i="5"/>
  <c r="F67" i="5"/>
  <c r="F68" i="5"/>
  <c r="F69" i="5"/>
  <c r="F70" i="5"/>
  <c r="F71" i="5"/>
  <c r="F72" i="5"/>
  <c r="F73" i="5"/>
  <c r="F74" i="5"/>
  <c r="F75" i="5"/>
  <c r="F76" i="5"/>
  <c r="F77" i="5"/>
  <c r="F78" i="5"/>
  <c r="F79" i="5"/>
  <c r="F80" i="5"/>
  <c r="F81" i="5"/>
  <c r="F82" i="5"/>
  <c r="F83" i="5"/>
  <c r="F84" i="5"/>
  <c r="F85" i="5"/>
  <c r="F86" i="5"/>
  <c r="F87" i="5"/>
  <c r="F88" i="5"/>
  <c r="F89" i="5"/>
  <c r="F90" i="5"/>
  <c r="F91" i="5"/>
  <c r="F92" i="5"/>
  <c r="K17" i="5"/>
  <c r="J17" i="5"/>
  <c r="D17" i="5"/>
  <c r="X22" i="5"/>
  <c r="X23" i="5" a="1"/>
  <c r="X23"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75" i="5"/>
  <c r="G76" i="5"/>
  <c r="G77" i="5"/>
  <c r="G78" i="5"/>
  <c r="G79" i="5"/>
  <c r="G80" i="5"/>
  <c r="G81" i="5"/>
  <c r="G82" i="5"/>
  <c r="G83" i="5"/>
  <c r="G84" i="5"/>
  <c r="G85" i="5"/>
  <c r="G86" i="5"/>
  <c r="G87" i="5"/>
  <c r="G88" i="5"/>
  <c r="G89" i="5"/>
  <c r="G90" i="5"/>
  <c r="G91" i="5"/>
  <c r="G92" i="5"/>
  <c r="K18" i="5"/>
  <c r="J18" i="5"/>
  <c r="D18" i="5"/>
  <c r="X24" i="5" a="1"/>
  <c r="X24" i="5"/>
  <c r="X25" i="5" a="1"/>
  <c r="X25" i="5"/>
  <c r="X26" i="5" a="1"/>
  <c r="X27" i="5" a="1"/>
  <c r="X28" i="5" a="1"/>
  <c r="X29" i="5" a="1"/>
  <c r="X30" i="5" a="1"/>
  <c r="X31" i="5" a="1"/>
  <c r="X32" i="5" a="1"/>
  <c r="X33" i="5" a="1"/>
  <c r="X34" i="5" a="1"/>
  <c r="X35" i="5" a="1"/>
  <c r="X36" i="5" a="1"/>
  <c r="X37" i="5" a="1"/>
  <c r="X38" i="5" a="1"/>
  <c r="K39" i="5"/>
  <c r="J39" i="5"/>
  <c r="D39" i="5"/>
  <c r="X41" i="5" a="1"/>
  <c r="X41" i="5"/>
  <c r="X42" i="5" a="1"/>
  <c r="K40" i="5"/>
  <c r="J40" i="5"/>
  <c r="D40" i="5"/>
  <c r="X42" i="5"/>
  <c r="X43" i="5" a="1"/>
  <c r="X43" i="5"/>
  <c r="X40" i="5" a="1"/>
  <c r="K44" i="5"/>
  <c r="J44" i="5"/>
  <c r="D44" i="5"/>
  <c r="X45" i="5" a="1"/>
  <c r="X45" i="5"/>
  <c r="X46" i="5" a="1"/>
  <c r="X46" i="5"/>
  <c r="X47" i="5" a="1"/>
  <c r="X48" i="5" a="1"/>
  <c r="X49" i="5" a="1"/>
  <c r="K50" i="5"/>
  <c r="J50" i="5"/>
  <c r="D50" i="5"/>
  <c r="X51" i="5" a="1"/>
  <c r="X51" i="5"/>
  <c r="X52" i="5" a="1"/>
  <c r="X52" i="5"/>
  <c r="X53" i="5" a="1"/>
  <c r="X54" i="5" a="1"/>
  <c r="K55" i="5"/>
  <c r="J55" i="5"/>
  <c r="D55" i="5"/>
  <c r="X56" i="5" a="1"/>
  <c r="X56" i="5"/>
  <c r="X57" i="5" a="1"/>
  <c r="X57" i="5"/>
  <c r="X58" i="5" a="1"/>
  <c r="X59" i="5" a="1"/>
  <c r="X60" i="5" a="1"/>
  <c r="K61" i="5"/>
  <c r="J61" i="5"/>
  <c r="D61" i="5"/>
  <c r="X63" i="5" a="1"/>
  <c r="X63" i="5"/>
  <c r="X64" i="5" a="1"/>
  <c r="K62" i="5"/>
  <c r="J62" i="5"/>
  <c r="D62" i="5"/>
  <c r="X64" i="5"/>
  <c r="X65" i="5" a="1"/>
  <c r="X65" i="5"/>
  <c r="X62" i="5" a="1"/>
  <c r="K66" i="5"/>
  <c r="J66" i="5"/>
  <c r="D66" i="5"/>
  <c r="X67" i="5" a="1"/>
  <c r="X67" i="5"/>
  <c r="X68" i="5" a="1"/>
  <c r="X68" i="5"/>
  <c r="X69" i="5" a="1"/>
  <c r="K70" i="5"/>
  <c r="J70" i="5"/>
  <c r="D70" i="5"/>
  <c r="X72" i="5" a="1"/>
  <c r="X72" i="5"/>
  <c r="X73" i="5" a="1"/>
  <c r="K71" i="5"/>
  <c r="J71" i="5"/>
  <c r="D71" i="5"/>
  <c r="X73" i="5"/>
  <c r="X74" i="5" a="1"/>
  <c r="X74" i="5"/>
  <c r="X71" i="5" a="1"/>
  <c r="K75" i="5"/>
  <c r="J75" i="5"/>
  <c r="D75" i="5"/>
  <c r="X77" i="5" a="1"/>
  <c r="X77" i="5"/>
  <c r="X78" i="5" a="1"/>
  <c r="K76" i="5"/>
  <c r="J76" i="5"/>
  <c r="D76" i="5"/>
  <c r="X78" i="5"/>
  <c r="X79" i="5" a="1"/>
  <c r="X79" i="5"/>
  <c r="X76" i="5" a="1"/>
  <c r="K80" i="5"/>
  <c r="J80" i="5"/>
  <c r="D80" i="5"/>
  <c r="X82" i="5" a="1"/>
  <c r="X82" i="5"/>
  <c r="X84" i="5" a="1"/>
  <c r="K81" i="5"/>
  <c r="J81" i="5"/>
  <c r="D81" i="5"/>
  <c r="X81" i="5" a="1"/>
  <c r="K83" i="5"/>
  <c r="J83" i="5"/>
  <c r="D83" i="5"/>
  <c r="X84" i="5"/>
  <c r="X83" i="5" a="1"/>
  <c r="K85" i="5"/>
  <c r="J85" i="5"/>
  <c r="D85" i="5"/>
  <c r="X86" i="5" a="1"/>
  <c r="X86" i="5"/>
  <c r="X85" i="5" a="1"/>
  <c r="X80" i="5" a="1"/>
  <c r="X75" i="5" a="1"/>
  <c r="X70" i="5" a="1"/>
  <c r="X69" i="5"/>
  <c r="X70" i="5"/>
  <c r="X66" i="5" a="1"/>
  <c r="X61" i="5" a="1"/>
  <c r="X58" i="5"/>
  <c r="X59" i="5"/>
  <c r="X60" i="5"/>
  <c r="X61" i="5"/>
  <c r="X55" i="5" a="1"/>
  <c r="X53" i="5"/>
  <c r="X54" i="5"/>
  <c r="X55" i="5"/>
  <c r="X50" i="5" a="1"/>
  <c r="X47" i="5"/>
  <c r="X48" i="5"/>
  <c r="X49" i="5"/>
  <c r="X50" i="5"/>
  <c r="X44" i="5" a="1"/>
  <c r="X39" i="5" a="1"/>
  <c r="X26" i="5"/>
  <c r="X27" i="5"/>
  <c r="X28" i="5"/>
  <c r="X29" i="5"/>
  <c r="X30" i="5"/>
  <c r="X31" i="5"/>
  <c r="X32" i="5"/>
  <c r="X33" i="5"/>
  <c r="X34" i="5"/>
  <c r="X35" i="5"/>
  <c r="X36" i="5"/>
  <c r="X37" i="5"/>
  <c r="X38" i="5"/>
  <c r="X39" i="5"/>
  <c r="X18" i="5" a="1"/>
  <c r="X17" i="5" a="1"/>
  <c r="K87" i="5"/>
  <c r="J87" i="5"/>
  <c r="D87" i="5"/>
  <c r="X88" i="5" a="1"/>
  <c r="X88" i="5"/>
  <c r="X87" i="5" a="1"/>
  <c r="K89" i="5"/>
  <c r="J89" i="5"/>
  <c r="D89" i="5"/>
  <c r="X90" i="5" a="1"/>
  <c r="X90" i="5"/>
  <c r="X91" i="5" a="1"/>
  <c r="X91" i="5"/>
  <c r="X92" i="5" a="1"/>
  <c r="X92" i="5"/>
  <c r="X89" i="5" a="1"/>
  <c r="X16" i="5" a="1"/>
  <c r="X15" i="5"/>
  <c r="I33" i="10"/>
  <c r="AE9" i="10"/>
  <c r="I32" i="10" a="1"/>
  <c r="I32" i="10"/>
  <c r="I31" i="10"/>
  <c r="Y9" i="10"/>
  <c r="B14" i="11"/>
  <c r="K14" i="11" a="1"/>
  <c r="K14" i="11"/>
  <c r="J14" i="13"/>
  <c r="X16" i="5"/>
  <c r="O14" i="11" a="1"/>
  <c r="O14" i="11"/>
  <c r="L14" i="13"/>
  <c r="V14" i="13"/>
  <c r="O15" i="11"/>
  <c r="Z15" i="5"/>
  <c r="Z16" i="5"/>
  <c r="X17" i="5"/>
  <c r="Z17" i="5"/>
  <c r="X18" i="5"/>
  <c r="Z18" i="5"/>
  <c r="Z19" i="5"/>
  <c r="Z20" i="5"/>
  <c r="Z21" i="5"/>
  <c r="Z22" i="5"/>
  <c r="Z23" i="5"/>
  <c r="Z24" i="5"/>
  <c r="Z25" i="5"/>
  <c r="Z26" i="5"/>
  <c r="Z27" i="5"/>
  <c r="Z28" i="5"/>
  <c r="Z29" i="5"/>
  <c r="Z30" i="5"/>
  <c r="Z31" i="5"/>
  <c r="Z32" i="5"/>
  <c r="Z33" i="5"/>
  <c r="Z34" i="5"/>
  <c r="Z35" i="5"/>
  <c r="Z36" i="5"/>
  <c r="Z37" i="5"/>
  <c r="Z38" i="5"/>
  <c r="Z39" i="5"/>
  <c r="X40" i="5"/>
  <c r="Z40" i="5"/>
  <c r="Z41" i="5"/>
  <c r="Z42" i="5"/>
  <c r="Z43" i="5"/>
  <c r="X44" i="5"/>
  <c r="Z44" i="5"/>
  <c r="Z45" i="5"/>
  <c r="Z46" i="5"/>
  <c r="Z47" i="5"/>
  <c r="Z48" i="5"/>
  <c r="Z49" i="5"/>
  <c r="Z50" i="5"/>
  <c r="Z51" i="5"/>
  <c r="Z52" i="5"/>
  <c r="Z53" i="5"/>
  <c r="Z54" i="5"/>
  <c r="Z55" i="5"/>
  <c r="Z56" i="5"/>
  <c r="Z57" i="5"/>
  <c r="Z58" i="5"/>
  <c r="Z59" i="5"/>
  <c r="Z60" i="5"/>
  <c r="Z61" i="5"/>
  <c r="X62" i="5"/>
  <c r="Z62" i="5"/>
  <c r="Z63" i="5"/>
  <c r="Z64" i="5"/>
  <c r="Z65" i="5"/>
  <c r="X66" i="5"/>
  <c r="Z66" i="5"/>
  <c r="Z67" i="5"/>
  <c r="Z68" i="5"/>
  <c r="Z69" i="5"/>
  <c r="Z70" i="5"/>
  <c r="X71" i="5"/>
  <c r="Z71" i="5"/>
  <c r="Z72" i="5"/>
  <c r="Z73" i="5"/>
  <c r="Z74" i="5"/>
  <c r="X75" i="5"/>
  <c r="Z75" i="5"/>
  <c r="X76" i="5"/>
  <c r="Z76" i="5"/>
  <c r="Z77" i="5"/>
  <c r="Z78" i="5"/>
  <c r="Z79" i="5"/>
  <c r="X80" i="5"/>
  <c r="Z80" i="5"/>
  <c r="X81" i="5"/>
  <c r="Z81" i="5"/>
  <c r="Z82" i="5"/>
  <c r="X83" i="5"/>
  <c r="Z83" i="5"/>
  <c r="Z84" i="5"/>
  <c r="X85" i="5"/>
  <c r="Z85" i="5"/>
  <c r="Z86" i="5"/>
  <c r="X87" i="5"/>
  <c r="Z87" i="5"/>
  <c r="Z88" i="5"/>
  <c r="X89" i="5"/>
  <c r="Z89" i="5"/>
  <c r="Z90" i="5"/>
  <c r="Z91" i="5"/>
  <c r="Z92" i="5"/>
  <c r="AA7" i="11"/>
  <c r="AB19" i="5" a="1"/>
  <c r="AB19" i="5"/>
  <c r="AB20" i="5" a="1"/>
  <c r="AB20" i="5"/>
  <c r="AB21" i="5" a="1"/>
  <c r="AB21" i="5"/>
  <c r="AB22" i="5" a="1"/>
  <c r="AB22" i="5"/>
  <c r="AB23" i="5" a="1"/>
  <c r="AB23" i="5"/>
  <c r="AB24" i="5" a="1"/>
  <c r="AB24" i="5"/>
  <c r="AB25" i="5" a="1"/>
  <c r="AB26" i="5" a="1"/>
  <c r="AB27" i="5" a="1"/>
  <c r="AB28" i="5" a="1"/>
  <c r="AB29" i="5" a="1"/>
  <c r="AB30" i="5" a="1"/>
  <c r="AB31" i="5" a="1"/>
  <c r="AB32" i="5" a="1"/>
  <c r="AB33" i="5" a="1"/>
  <c r="AB34" i="5" a="1"/>
  <c r="AB35" i="5" a="1"/>
  <c r="AB36" i="5" a="1"/>
  <c r="AB37" i="5" a="1"/>
  <c r="AB38" i="5" a="1"/>
  <c r="AB41" i="5" a="1"/>
  <c r="AB41" i="5"/>
  <c r="AB42" i="5" a="1"/>
  <c r="AB42" i="5"/>
  <c r="AB43" i="5" a="1"/>
  <c r="AB43" i="5"/>
  <c r="AB40" i="5" a="1"/>
  <c r="AB45" i="5" a="1"/>
  <c r="AB45" i="5"/>
  <c r="AB46" i="5" a="1"/>
  <c r="AB46" i="5"/>
  <c r="AB47" i="5" a="1"/>
  <c r="AB48" i="5" a="1"/>
  <c r="AB49" i="5" a="1"/>
  <c r="AB51" i="5" a="1"/>
  <c r="AB51" i="5"/>
  <c r="AB52" i="5" a="1"/>
  <c r="AB52" i="5"/>
  <c r="AB53" i="5" a="1"/>
  <c r="AB54" i="5" a="1"/>
  <c r="AB56" i="5" a="1"/>
  <c r="AB56" i="5"/>
  <c r="AB57" i="5" a="1"/>
  <c r="AB57" i="5"/>
  <c r="AB58" i="5" a="1"/>
  <c r="AB59" i="5" a="1"/>
  <c r="AB60" i="5" a="1"/>
  <c r="AB63" i="5" a="1"/>
  <c r="AB63" i="5"/>
  <c r="AB64" i="5" a="1"/>
  <c r="AB64" i="5"/>
  <c r="AB65" i="5" a="1"/>
  <c r="AB65" i="5"/>
  <c r="AB62" i="5" a="1"/>
  <c r="AB67" i="5" a="1"/>
  <c r="AB67" i="5"/>
  <c r="AB68" i="5" a="1"/>
  <c r="AB68" i="5"/>
  <c r="AB69" i="5" a="1"/>
  <c r="AB72" i="5" a="1"/>
  <c r="AB72" i="5"/>
  <c r="AB73" i="5" a="1"/>
  <c r="AB73" i="5"/>
  <c r="AB74" i="5" a="1"/>
  <c r="AB74" i="5"/>
  <c r="AB71" i="5" a="1"/>
  <c r="AB77" i="5" a="1"/>
  <c r="AB77" i="5"/>
  <c r="AB78" i="5" a="1"/>
  <c r="AB78" i="5"/>
  <c r="AB79" i="5" a="1"/>
  <c r="AB79" i="5"/>
  <c r="AB76" i="5" a="1"/>
  <c r="AB82" i="5" a="1"/>
  <c r="AB82" i="5"/>
  <c r="AB84" i="5" a="1"/>
  <c r="AB84" i="5"/>
  <c r="AB80" i="5" a="1"/>
  <c r="AB75" i="5" a="1"/>
  <c r="AB70" i="5" a="1"/>
  <c r="AB69" i="5"/>
  <c r="AB70" i="5"/>
  <c r="AB66" i="5" a="1"/>
  <c r="AB61" i="5" a="1"/>
  <c r="AB58" i="5"/>
  <c r="AB59" i="5"/>
  <c r="AB60" i="5"/>
  <c r="AB61" i="5"/>
  <c r="AB55" i="5" a="1"/>
  <c r="AB53" i="5"/>
  <c r="AB54" i="5"/>
  <c r="AB55" i="5"/>
  <c r="AB50" i="5" a="1"/>
  <c r="AB47" i="5"/>
  <c r="AB48" i="5"/>
  <c r="AB49" i="5"/>
  <c r="AB50" i="5"/>
  <c r="AB44" i="5" a="1"/>
  <c r="AB39" i="5" a="1"/>
  <c r="AB25" i="5"/>
  <c r="AB26" i="5"/>
  <c r="AB27" i="5"/>
  <c r="AB28" i="5"/>
  <c r="AB29" i="5"/>
  <c r="AB30" i="5"/>
  <c r="AB31" i="5"/>
  <c r="AB32" i="5"/>
  <c r="AB33" i="5"/>
  <c r="AB34" i="5"/>
  <c r="AB35" i="5"/>
  <c r="AB36" i="5"/>
  <c r="AB37" i="5"/>
  <c r="AB38" i="5"/>
  <c r="AB39" i="5"/>
  <c r="AB18" i="5" a="1"/>
  <c r="AB17" i="5" a="1"/>
  <c r="AB81" i="5" a="1"/>
  <c r="AB83" i="5" a="1"/>
  <c r="AB86" i="5" a="1"/>
  <c r="AB86" i="5"/>
  <c r="AB85" i="5" a="1"/>
  <c r="AB88" i="5" a="1"/>
  <c r="AB88" i="5"/>
  <c r="AB87" i="5" a="1"/>
  <c r="AB90" i="5" a="1"/>
  <c r="AB90" i="5"/>
  <c r="AB91" i="5" a="1"/>
  <c r="AB91" i="5"/>
  <c r="AB92" i="5" a="1"/>
  <c r="AB92" i="5"/>
  <c r="AB89" i="5" a="1"/>
  <c r="AB16" i="5" a="1"/>
  <c r="AB16" i="5"/>
  <c r="AB14" i="11" a="1"/>
  <c r="AB14" i="11"/>
  <c r="AB15" i="11"/>
  <c r="AB7" i="11"/>
  <c r="Z7" i="11"/>
  <c r="Z3" i="11"/>
  <c r="AA3" i="11" a="1"/>
  <c r="AA3" i="11"/>
  <c r="B14" i="8"/>
  <c r="B17" i="8"/>
  <c r="B20" i="8"/>
  <c r="B23" i="8"/>
  <c r="B26" i="8"/>
  <c r="B29" i="8"/>
  <c r="B32" i="8"/>
  <c r="B35" i="8"/>
  <c r="B38" i="8"/>
  <c r="B41" i="8"/>
  <c r="B44" i="8"/>
  <c r="AD16" i="5"/>
  <c r="AD17" i="5"/>
  <c r="AD18" i="5"/>
  <c r="AD19" i="5"/>
  <c r="AD20" i="5"/>
  <c r="AD21" i="5"/>
  <c r="AD22" i="5"/>
  <c r="AD23" i="5"/>
  <c r="AD24" i="5"/>
  <c r="AD25" i="5"/>
  <c r="AD26" i="5"/>
  <c r="AD27" i="5"/>
  <c r="AD28" i="5"/>
  <c r="AD29" i="5"/>
  <c r="AD30" i="5"/>
  <c r="AD31" i="5"/>
  <c r="AD32" i="5"/>
  <c r="AD33" i="5"/>
  <c r="AD34" i="5"/>
  <c r="AD35" i="5"/>
  <c r="AD36" i="5"/>
  <c r="AD37" i="5"/>
  <c r="AD38" i="5"/>
  <c r="AD39" i="5"/>
  <c r="AD40" i="5"/>
  <c r="AD41" i="5"/>
  <c r="AD42" i="5"/>
  <c r="AD43" i="5"/>
  <c r="AD44" i="5"/>
  <c r="AD45" i="5"/>
  <c r="AD46" i="5"/>
  <c r="AD47" i="5"/>
  <c r="AD48" i="5"/>
  <c r="AD49" i="5"/>
  <c r="AD50" i="5"/>
  <c r="AD51" i="5"/>
  <c r="AD52" i="5"/>
  <c r="AD53" i="5"/>
  <c r="AD54" i="5"/>
  <c r="AD55" i="5"/>
  <c r="AD56" i="5"/>
  <c r="AD57" i="5"/>
  <c r="AD58" i="5"/>
  <c r="AD59" i="5"/>
  <c r="AD60" i="5"/>
  <c r="AD61" i="5"/>
  <c r="AD62" i="5"/>
  <c r="AD63" i="5"/>
  <c r="AD64" i="5"/>
  <c r="AD65" i="5"/>
  <c r="AD66" i="5"/>
  <c r="AD67" i="5"/>
  <c r="AD68" i="5"/>
  <c r="AD69" i="5"/>
  <c r="AD70" i="5"/>
  <c r="AD71" i="5"/>
  <c r="AD72" i="5"/>
  <c r="AD73" i="5"/>
  <c r="AD74" i="5"/>
  <c r="AD75" i="5"/>
  <c r="AD76" i="5"/>
  <c r="AD77" i="5"/>
  <c r="AD78" i="5"/>
  <c r="AD79" i="5"/>
  <c r="AD80" i="5"/>
  <c r="AD81" i="5"/>
  <c r="AD82" i="5"/>
  <c r="AD83" i="5"/>
  <c r="AD84" i="5"/>
  <c r="AD85" i="5"/>
  <c r="AD86" i="5"/>
  <c r="AD87" i="5"/>
  <c r="AD88" i="5"/>
  <c r="AD89" i="5"/>
  <c r="AD90" i="5"/>
  <c r="AD91" i="5"/>
  <c r="AD92" i="5"/>
  <c r="F44" i="8" a="1"/>
  <c r="F44" i="8"/>
  <c r="F45" i="8"/>
  <c r="M44" i="8"/>
  <c r="N44" i="8"/>
  <c r="O44" i="8"/>
  <c r="R44" i="8"/>
  <c r="V12" i="8"/>
  <c r="W12" i="8"/>
  <c r="X12" i="8"/>
  <c r="Y12" i="8"/>
  <c r="Z12" i="8"/>
  <c r="AA12" i="8"/>
  <c r="AB12" i="8"/>
  <c r="AC12" i="8"/>
  <c r="AD12" i="8"/>
  <c r="AE12" i="8"/>
  <c r="AF12" i="8"/>
  <c r="AT89" i="6"/>
  <c r="AU89" i="6"/>
  <c r="AV89" i="6"/>
  <c r="AM13" i="6"/>
  <c r="AM90" i="6"/>
  <c r="AN13" i="6"/>
  <c r="AN90" i="6"/>
  <c r="AO13" i="6"/>
  <c r="AO90" i="6"/>
  <c r="AP13" i="6"/>
  <c r="AP90" i="6"/>
  <c r="AQ13" i="6"/>
  <c r="AQ90" i="6"/>
  <c r="AR13" i="6"/>
  <c r="AR90" i="6"/>
  <c r="AS13" i="6"/>
  <c r="AS90" i="6"/>
  <c r="AT13" i="6"/>
  <c r="AT90" i="6"/>
  <c r="AU13" i="6"/>
  <c r="AU90" i="6"/>
  <c r="AV13" i="6"/>
  <c r="AV90" i="6"/>
  <c r="AM91" i="6"/>
  <c r="AN91" i="6"/>
  <c r="AO91" i="6"/>
  <c r="AP91" i="6"/>
  <c r="AQ91" i="6"/>
  <c r="AR91" i="6"/>
  <c r="AS91" i="6"/>
  <c r="AT91" i="6"/>
  <c r="AU91" i="6"/>
  <c r="AV91" i="6"/>
  <c r="AM92" i="6"/>
  <c r="AN92" i="6"/>
  <c r="AO92" i="6"/>
  <c r="AP92" i="6"/>
  <c r="AQ92" i="6"/>
  <c r="AR92" i="6"/>
  <c r="AS92" i="6"/>
  <c r="AT92" i="6"/>
  <c r="AU92" i="6"/>
  <c r="AV92" i="6"/>
  <c r="F46" i="8"/>
  <c r="AF46" i="8" a="1"/>
  <c r="AF46" i="8"/>
  <c r="AE46" i="8" a="1"/>
  <c r="AE46" i="8"/>
  <c r="AD46" i="8" a="1"/>
  <c r="AD46" i="8"/>
  <c r="AC46" i="8" a="1"/>
  <c r="AC46" i="8"/>
  <c r="AB46" i="8" a="1"/>
  <c r="AB46" i="8"/>
  <c r="AA46" i="8" a="1"/>
  <c r="AA46" i="8"/>
  <c r="Z46" i="8" a="1"/>
  <c r="Z46" i="8"/>
  <c r="Y46" i="8" a="1"/>
  <c r="Y46" i="8"/>
  <c r="X46" i="8" a="1"/>
  <c r="X46" i="8"/>
  <c r="W46" i="8" a="1"/>
  <c r="W46" i="8"/>
  <c r="V46" i="8" a="1"/>
  <c r="V46" i="8"/>
  <c r="U46" i="8" a="1"/>
  <c r="U46" i="8"/>
  <c r="S46" i="8"/>
  <c r="E12" i="8"/>
  <c r="E46" i="8" a="1"/>
  <c r="E46" i="8"/>
  <c r="S44" i="8"/>
  <c r="H44" i="8" a="1"/>
  <c r="H44" i="8"/>
  <c r="J45" i="8"/>
  <c r="H45" i="8" a="1"/>
  <c r="H45" i="8"/>
  <c r="G45" i="8" a="1"/>
  <c r="G45" i="8"/>
  <c r="AF44" i="8" a="1"/>
  <c r="AF44" i="8"/>
  <c r="AE44" i="8" a="1"/>
  <c r="AE44" i="8"/>
  <c r="AD44" i="8" a="1"/>
  <c r="AD44" i="8"/>
  <c r="AC44" i="8" a="1"/>
  <c r="AC44" i="8"/>
  <c r="AB44" i="8" a="1"/>
  <c r="AB44" i="8"/>
  <c r="AA44" i="8" a="1"/>
  <c r="AA44" i="8"/>
  <c r="Z44" i="8" a="1"/>
  <c r="Z44" i="8"/>
  <c r="Y44" i="8" a="1"/>
  <c r="Y44" i="8"/>
  <c r="X44" i="8" a="1"/>
  <c r="X44" i="8"/>
  <c r="W44" i="8" a="1"/>
  <c r="W44" i="8"/>
  <c r="V44" i="8" a="1"/>
  <c r="V44" i="8"/>
  <c r="U44" i="8" a="1"/>
  <c r="U44" i="8"/>
  <c r="Q44" i="8"/>
  <c r="P44" i="8"/>
  <c r="R89" i="5"/>
  <c r="J44" i="8"/>
  <c r="L89" i="5"/>
  <c r="A5" i="5"/>
  <c r="O89" i="5"/>
  <c r="I44" i="8"/>
  <c r="G44" i="8"/>
  <c r="E44" i="8" a="1"/>
  <c r="E44" i="8"/>
  <c r="AB89" i="5"/>
  <c r="D44" i="8"/>
  <c r="AA90" i="5" a="1"/>
  <c r="AA90" i="5"/>
  <c r="AA91" i="5" a="1"/>
  <c r="AA91" i="5"/>
  <c r="AA92" i="5" a="1"/>
  <c r="AA92" i="5"/>
  <c r="AA89" i="5" a="1"/>
  <c r="AA89" i="5"/>
  <c r="C44" i="8"/>
  <c r="A44" i="8"/>
  <c r="F41" i="8" a="1"/>
  <c r="F41" i="8"/>
  <c r="F42" i="8"/>
  <c r="M41" i="8"/>
  <c r="N41" i="8"/>
  <c r="O41" i="8"/>
  <c r="R41" i="8"/>
  <c r="AT87" i="6"/>
  <c r="AU87" i="6"/>
  <c r="AV87" i="6"/>
  <c r="AM88" i="6"/>
  <c r="AN88" i="6"/>
  <c r="AO88" i="6"/>
  <c r="AP88" i="6"/>
  <c r="AQ88" i="6"/>
  <c r="AR88" i="6"/>
  <c r="AS88" i="6"/>
  <c r="AT88" i="6"/>
  <c r="AU88" i="6"/>
  <c r="AV88" i="6"/>
  <c r="F43" i="8"/>
  <c r="AF43" i="8" a="1"/>
  <c r="AF43" i="8"/>
  <c r="AE43" i="8" a="1"/>
  <c r="AE43" i="8"/>
  <c r="AD43" i="8" a="1"/>
  <c r="AD43" i="8"/>
  <c r="AC43" i="8" a="1"/>
  <c r="AC43" i="8"/>
  <c r="AB43" i="8" a="1"/>
  <c r="AB43" i="8"/>
  <c r="AA43" i="8" a="1"/>
  <c r="AA43" i="8"/>
  <c r="Z43" i="8" a="1"/>
  <c r="Z43" i="8"/>
  <c r="Y43" i="8" a="1"/>
  <c r="Y43" i="8"/>
  <c r="X43" i="8" a="1"/>
  <c r="X43" i="8"/>
  <c r="W43" i="8" a="1"/>
  <c r="W43" i="8"/>
  <c r="V43" i="8" a="1"/>
  <c r="V43" i="8"/>
  <c r="U43" i="8" a="1"/>
  <c r="U43" i="8"/>
  <c r="S43" i="8"/>
  <c r="E43" i="8" a="1"/>
  <c r="E43" i="8"/>
  <c r="S41" i="8"/>
  <c r="H41" i="8" a="1"/>
  <c r="H41" i="8"/>
  <c r="J42" i="8"/>
  <c r="H42" i="8" a="1"/>
  <c r="H42" i="8"/>
  <c r="G42" i="8" a="1"/>
  <c r="G42" i="8"/>
  <c r="AF41" i="8" a="1"/>
  <c r="AF41" i="8"/>
  <c r="AE41" i="8" a="1"/>
  <c r="AE41" i="8"/>
  <c r="AD41" i="8" a="1"/>
  <c r="AD41" i="8"/>
  <c r="AC41" i="8" a="1"/>
  <c r="AC41" i="8"/>
  <c r="AB41" i="8" a="1"/>
  <c r="AB41" i="8"/>
  <c r="AA41" i="8" a="1"/>
  <c r="AA41" i="8"/>
  <c r="Z41" i="8" a="1"/>
  <c r="Z41" i="8"/>
  <c r="Y41" i="8" a="1"/>
  <c r="Y41" i="8"/>
  <c r="X41" i="8" a="1"/>
  <c r="X41" i="8"/>
  <c r="W41" i="8" a="1"/>
  <c r="W41" i="8"/>
  <c r="V41" i="8" a="1"/>
  <c r="V41" i="8"/>
  <c r="U41" i="8" a="1"/>
  <c r="U41" i="8"/>
  <c r="Q41" i="8"/>
  <c r="P41" i="8"/>
  <c r="J41" i="8"/>
  <c r="L87" i="5"/>
  <c r="O87" i="5"/>
  <c r="I41" i="8"/>
  <c r="G41" i="8"/>
  <c r="E41" i="8" a="1"/>
  <c r="E41" i="8"/>
  <c r="AB87" i="5"/>
  <c r="D41" i="8"/>
  <c r="AA88" i="5" a="1"/>
  <c r="AA88" i="5"/>
  <c r="AA87" i="5" a="1"/>
  <c r="AA87" i="5"/>
  <c r="C41" i="8"/>
  <c r="A41" i="8"/>
  <c r="F38" i="8" a="1"/>
  <c r="F38" i="8"/>
  <c r="F39" i="8"/>
  <c r="M38" i="8"/>
  <c r="N38" i="8"/>
  <c r="O38" i="8"/>
  <c r="R38" i="8"/>
  <c r="AT85" i="6"/>
  <c r="AU85" i="6"/>
  <c r="AV85" i="6"/>
  <c r="AM86" i="6"/>
  <c r="AN86" i="6"/>
  <c r="AO86" i="6"/>
  <c r="AP86" i="6"/>
  <c r="AQ86" i="6"/>
  <c r="AR86" i="6"/>
  <c r="AS86" i="6"/>
  <c r="AT86" i="6"/>
  <c r="AU86" i="6"/>
  <c r="AV86" i="6"/>
  <c r="F40" i="8"/>
  <c r="AF40" i="8" a="1"/>
  <c r="AF40" i="8"/>
  <c r="AE40" i="8" a="1"/>
  <c r="AE40" i="8"/>
  <c r="AD40" i="8" a="1"/>
  <c r="AD40" i="8"/>
  <c r="AC40" i="8" a="1"/>
  <c r="AC40" i="8"/>
  <c r="AB40" i="8" a="1"/>
  <c r="AB40" i="8"/>
  <c r="AA40" i="8" a="1"/>
  <c r="AA40" i="8"/>
  <c r="Z40" i="8" a="1"/>
  <c r="Z40" i="8"/>
  <c r="Y40" i="8" a="1"/>
  <c r="Y40" i="8"/>
  <c r="X40" i="8" a="1"/>
  <c r="X40" i="8"/>
  <c r="W40" i="8" a="1"/>
  <c r="W40" i="8"/>
  <c r="V40" i="8" a="1"/>
  <c r="V40" i="8"/>
  <c r="U40" i="8" a="1"/>
  <c r="U40" i="8"/>
  <c r="S40" i="8"/>
  <c r="E40" i="8" a="1"/>
  <c r="E40" i="8"/>
  <c r="S38" i="8"/>
  <c r="H38" i="8" a="1"/>
  <c r="H38" i="8"/>
  <c r="J39" i="8"/>
  <c r="H39" i="8" a="1"/>
  <c r="H39" i="8"/>
  <c r="G39" i="8" a="1"/>
  <c r="G39" i="8"/>
  <c r="AF38" i="8" a="1"/>
  <c r="AF38" i="8"/>
  <c r="AE38" i="8" a="1"/>
  <c r="AE38" i="8"/>
  <c r="AD38" i="8" a="1"/>
  <c r="AD38" i="8"/>
  <c r="AC38" i="8" a="1"/>
  <c r="AC38" i="8"/>
  <c r="AB38" i="8" a="1"/>
  <c r="AB38" i="8"/>
  <c r="AA38" i="8" a="1"/>
  <c r="AA38" i="8"/>
  <c r="Z38" i="8" a="1"/>
  <c r="Z38" i="8"/>
  <c r="Y38" i="8" a="1"/>
  <c r="Y38" i="8"/>
  <c r="X38" i="8" a="1"/>
  <c r="X38" i="8"/>
  <c r="W38" i="8" a="1"/>
  <c r="W38" i="8"/>
  <c r="V38" i="8" a="1"/>
  <c r="V38" i="8"/>
  <c r="U38" i="8" a="1"/>
  <c r="U38" i="8"/>
  <c r="Q38" i="8"/>
  <c r="P38" i="8"/>
  <c r="J38" i="8"/>
  <c r="L85" i="5"/>
  <c r="O85" i="5"/>
  <c r="I38" i="8"/>
  <c r="G38" i="8"/>
  <c r="E38" i="8" a="1"/>
  <c r="E38" i="8"/>
  <c r="AB85" i="5"/>
  <c r="D38" i="8"/>
  <c r="AA86" i="5" a="1"/>
  <c r="AA86" i="5"/>
  <c r="AA85" i="5" a="1"/>
  <c r="AA85" i="5"/>
  <c r="C38" i="8"/>
  <c r="A38" i="8"/>
  <c r="F35" i="8" a="1"/>
  <c r="F35" i="8"/>
  <c r="F36" i="8"/>
  <c r="M35" i="8"/>
  <c r="N35" i="8"/>
  <c r="O35" i="8"/>
  <c r="R35" i="8"/>
  <c r="AT80" i="6"/>
  <c r="AU80" i="6"/>
  <c r="AV80" i="6"/>
  <c r="AT81" i="6"/>
  <c r="AU81" i="6"/>
  <c r="AV81" i="6"/>
  <c r="AM82" i="6"/>
  <c r="AN82" i="6"/>
  <c r="AO82" i="6"/>
  <c r="AP82" i="6"/>
  <c r="AQ82" i="6"/>
  <c r="AR82" i="6"/>
  <c r="AS82" i="6"/>
  <c r="AT82" i="6"/>
  <c r="AU82" i="6"/>
  <c r="AV82" i="6"/>
  <c r="AT83" i="6"/>
  <c r="AU83" i="6"/>
  <c r="AV83" i="6"/>
  <c r="AM84" i="6"/>
  <c r="AN84" i="6"/>
  <c r="AO84" i="6"/>
  <c r="AP84" i="6"/>
  <c r="AQ84" i="6"/>
  <c r="AR84" i="6"/>
  <c r="AS84" i="6"/>
  <c r="AT84" i="6"/>
  <c r="AU84" i="6"/>
  <c r="AV84" i="6"/>
  <c r="F37" i="8"/>
  <c r="AF37" i="8" a="1"/>
  <c r="AF37" i="8"/>
  <c r="AE37" i="8" a="1"/>
  <c r="AE37" i="8"/>
  <c r="AD37" i="8" a="1"/>
  <c r="AD37" i="8"/>
  <c r="AC37" i="8" a="1"/>
  <c r="AC37" i="8"/>
  <c r="AB37" i="8" a="1"/>
  <c r="AB37" i="8"/>
  <c r="AA37" i="8" a="1"/>
  <c r="AA37" i="8"/>
  <c r="Z37" i="8" a="1"/>
  <c r="Z37" i="8"/>
  <c r="Y37" i="8" a="1"/>
  <c r="Y37" i="8"/>
  <c r="X37" i="8" a="1"/>
  <c r="X37" i="8"/>
  <c r="W37" i="8" a="1"/>
  <c r="W37" i="8"/>
  <c r="V37" i="8" a="1"/>
  <c r="V37" i="8"/>
  <c r="U37" i="8" a="1"/>
  <c r="U37" i="8"/>
  <c r="S37" i="8"/>
  <c r="E37" i="8" a="1"/>
  <c r="E37" i="8"/>
  <c r="S35" i="8"/>
  <c r="H35" i="8" a="1"/>
  <c r="H35" i="8"/>
  <c r="J36" i="8"/>
  <c r="H36" i="8" a="1"/>
  <c r="H36" i="8"/>
  <c r="G36" i="8" a="1"/>
  <c r="G36" i="8"/>
  <c r="AF35" i="8" a="1"/>
  <c r="AF35" i="8"/>
  <c r="AE35" i="8" a="1"/>
  <c r="AE35" i="8"/>
  <c r="AD35" i="8" a="1"/>
  <c r="AD35" i="8"/>
  <c r="AC35" i="8" a="1"/>
  <c r="AC35" i="8"/>
  <c r="AB35" i="8" a="1"/>
  <c r="AB35" i="8"/>
  <c r="AA35" i="8" a="1"/>
  <c r="AA35" i="8"/>
  <c r="Z35" i="8" a="1"/>
  <c r="Z35" i="8"/>
  <c r="Y35" i="8" a="1"/>
  <c r="Y35" i="8"/>
  <c r="X35" i="8" a="1"/>
  <c r="X35" i="8"/>
  <c r="W35" i="8" a="1"/>
  <c r="W35" i="8"/>
  <c r="V35" i="8" a="1"/>
  <c r="V35" i="8"/>
  <c r="U35" i="8" a="1"/>
  <c r="U35" i="8"/>
  <c r="Q35" i="8"/>
  <c r="P35" i="8"/>
  <c r="J35" i="8"/>
  <c r="L80" i="5"/>
  <c r="O80" i="5"/>
  <c r="I35" i="8"/>
  <c r="G35" i="8"/>
  <c r="E35" i="8" a="1"/>
  <c r="E35" i="8"/>
  <c r="AB80" i="5"/>
  <c r="D35" i="8"/>
  <c r="AA82" i="5" a="1"/>
  <c r="AA82" i="5"/>
  <c r="AA84" i="5" a="1"/>
  <c r="AA84" i="5"/>
  <c r="AA80" i="5" a="1"/>
  <c r="AA80" i="5"/>
  <c r="C35" i="8"/>
  <c r="A35" i="8"/>
  <c r="F32" i="8" a="1"/>
  <c r="F32" i="8"/>
  <c r="F33" i="8"/>
  <c r="M32" i="8"/>
  <c r="N32" i="8"/>
  <c r="O32" i="8"/>
  <c r="R32" i="8"/>
  <c r="AT75" i="6"/>
  <c r="AU75" i="6"/>
  <c r="AV75" i="6"/>
  <c r="AT76" i="6"/>
  <c r="AU76" i="6"/>
  <c r="AV76" i="6"/>
  <c r="AM77" i="6"/>
  <c r="AN77" i="6"/>
  <c r="AO77" i="6"/>
  <c r="AP77" i="6"/>
  <c r="AQ77" i="6"/>
  <c r="AR77" i="6"/>
  <c r="AS77" i="6"/>
  <c r="AT77" i="6"/>
  <c r="AU77" i="6"/>
  <c r="AV77" i="6"/>
  <c r="AM78" i="6"/>
  <c r="AN78" i="6"/>
  <c r="AO78" i="6"/>
  <c r="AP78" i="6"/>
  <c r="AQ78" i="6"/>
  <c r="AR78" i="6"/>
  <c r="AS78" i="6"/>
  <c r="AT78" i="6"/>
  <c r="AU78" i="6"/>
  <c r="AV78" i="6"/>
  <c r="AM79" i="6"/>
  <c r="AN79" i="6"/>
  <c r="AO79" i="6"/>
  <c r="AP79" i="6"/>
  <c r="AQ79" i="6"/>
  <c r="AR79" i="6"/>
  <c r="AS79" i="6"/>
  <c r="AT79" i="6"/>
  <c r="AU79" i="6"/>
  <c r="AV79" i="6"/>
  <c r="F34" i="8"/>
  <c r="AF34" i="8" a="1"/>
  <c r="AF34" i="8"/>
  <c r="AE34" i="8" a="1"/>
  <c r="AE34" i="8"/>
  <c r="AD34" i="8" a="1"/>
  <c r="AD34" i="8"/>
  <c r="AC34" i="8" a="1"/>
  <c r="AC34" i="8"/>
  <c r="AB34" i="8" a="1"/>
  <c r="AB34" i="8"/>
  <c r="AA34" i="8" a="1"/>
  <c r="AA34" i="8"/>
  <c r="Z34" i="8" a="1"/>
  <c r="Z34" i="8"/>
  <c r="Y34" i="8" a="1"/>
  <c r="Y34" i="8"/>
  <c r="X34" i="8" a="1"/>
  <c r="X34" i="8"/>
  <c r="W34" i="8" a="1"/>
  <c r="W34" i="8"/>
  <c r="V34" i="8" a="1"/>
  <c r="V34" i="8"/>
  <c r="U34" i="8" a="1"/>
  <c r="U34" i="8"/>
  <c r="S34" i="8"/>
  <c r="E34" i="8" a="1"/>
  <c r="E34" i="8"/>
  <c r="S32" i="8"/>
  <c r="H32" i="8" a="1"/>
  <c r="H32" i="8"/>
  <c r="J33" i="8"/>
  <c r="H33" i="8" a="1"/>
  <c r="H33" i="8"/>
  <c r="G33" i="8" a="1"/>
  <c r="G33" i="8"/>
  <c r="AF32" i="8" a="1"/>
  <c r="AF32" i="8"/>
  <c r="AE32" i="8" a="1"/>
  <c r="AE32" i="8"/>
  <c r="AD32" i="8" a="1"/>
  <c r="AD32" i="8"/>
  <c r="AC32" i="8" a="1"/>
  <c r="AC32" i="8"/>
  <c r="AB32" i="8" a="1"/>
  <c r="AB32" i="8"/>
  <c r="AA32" i="8" a="1"/>
  <c r="AA32" i="8"/>
  <c r="Z32" i="8" a="1"/>
  <c r="Z32" i="8"/>
  <c r="Y32" i="8" a="1"/>
  <c r="Y32" i="8"/>
  <c r="X32" i="8" a="1"/>
  <c r="X32" i="8"/>
  <c r="W32" i="8" a="1"/>
  <c r="W32" i="8"/>
  <c r="V32" i="8" a="1"/>
  <c r="V32" i="8"/>
  <c r="U32" i="8" a="1"/>
  <c r="U32" i="8"/>
  <c r="Q32" i="8"/>
  <c r="P32" i="8"/>
  <c r="J32" i="8"/>
  <c r="L75" i="5"/>
  <c r="O75" i="5"/>
  <c r="I32" i="8"/>
  <c r="G32" i="8"/>
  <c r="E32" i="8" a="1"/>
  <c r="E32" i="8"/>
  <c r="AB75" i="5"/>
  <c r="D32" i="8"/>
  <c r="AA77" i="5" a="1"/>
  <c r="AA77" i="5"/>
  <c r="AA78" i="5" a="1"/>
  <c r="AA78" i="5"/>
  <c r="AA79" i="5" a="1"/>
  <c r="AA79" i="5"/>
  <c r="AA76" i="5" a="1"/>
  <c r="AA75" i="5" a="1"/>
  <c r="AA75" i="5"/>
  <c r="C32" i="8"/>
  <c r="A32" i="8"/>
  <c r="F29" i="8" a="1"/>
  <c r="F29" i="8"/>
  <c r="F30" i="8"/>
  <c r="M29" i="8"/>
  <c r="N29" i="8"/>
  <c r="O29" i="8"/>
  <c r="R29" i="8"/>
  <c r="AT70" i="6"/>
  <c r="AU70" i="6"/>
  <c r="AV70" i="6"/>
  <c r="AT71" i="6"/>
  <c r="AU71" i="6"/>
  <c r="AV71" i="6"/>
  <c r="AM72" i="6"/>
  <c r="AN72" i="6"/>
  <c r="AO72" i="6"/>
  <c r="AP72" i="6"/>
  <c r="AQ72" i="6"/>
  <c r="AR72" i="6"/>
  <c r="AS72" i="6"/>
  <c r="AT72" i="6"/>
  <c r="AU72" i="6"/>
  <c r="AV72" i="6"/>
  <c r="AM73" i="6"/>
  <c r="AN73" i="6"/>
  <c r="AO73" i="6"/>
  <c r="AP73" i="6"/>
  <c r="AQ73" i="6"/>
  <c r="AR73" i="6"/>
  <c r="AS73" i="6"/>
  <c r="AT73" i="6"/>
  <c r="AU73" i="6"/>
  <c r="AV73" i="6"/>
  <c r="AM74" i="6"/>
  <c r="AN74" i="6"/>
  <c r="AO74" i="6"/>
  <c r="AP74" i="6"/>
  <c r="AQ74" i="6"/>
  <c r="AR74" i="6"/>
  <c r="AS74" i="6"/>
  <c r="AT74" i="6"/>
  <c r="AU74" i="6"/>
  <c r="AV74" i="6"/>
  <c r="F31" i="8"/>
  <c r="AF31" i="8" a="1"/>
  <c r="AF31" i="8"/>
  <c r="AE31" i="8" a="1"/>
  <c r="AE31" i="8"/>
  <c r="AD31" i="8" a="1"/>
  <c r="AD31" i="8"/>
  <c r="AC31" i="8" a="1"/>
  <c r="AC31" i="8"/>
  <c r="AB31" i="8" a="1"/>
  <c r="AB31" i="8"/>
  <c r="AA31" i="8" a="1"/>
  <c r="AA31" i="8"/>
  <c r="Z31" i="8" a="1"/>
  <c r="Z31" i="8"/>
  <c r="Y31" i="8" a="1"/>
  <c r="Y31" i="8"/>
  <c r="X31" i="8" a="1"/>
  <c r="X31" i="8"/>
  <c r="W31" i="8" a="1"/>
  <c r="W31" i="8"/>
  <c r="V31" i="8" a="1"/>
  <c r="V31" i="8"/>
  <c r="U31" i="8" a="1"/>
  <c r="U31" i="8"/>
  <c r="S31" i="8"/>
  <c r="E31" i="8" a="1"/>
  <c r="E31" i="8"/>
  <c r="S29" i="8"/>
  <c r="H29" i="8" a="1"/>
  <c r="H29" i="8"/>
  <c r="J30" i="8"/>
  <c r="H30" i="8" a="1"/>
  <c r="H30" i="8"/>
  <c r="G30" i="8" a="1"/>
  <c r="G30" i="8"/>
  <c r="AF29" i="8" a="1"/>
  <c r="AF29" i="8"/>
  <c r="AE29" i="8" a="1"/>
  <c r="AE29" i="8"/>
  <c r="AD29" i="8" a="1"/>
  <c r="AD29" i="8"/>
  <c r="AC29" i="8" a="1"/>
  <c r="AC29" i="8"/>
  <c r="AB29" i="8" a="1"/>
  <c r="AB29" i="8"/>
  <c r="AA29" i="8" a="1"/>
  <c r="AA29" i="8"/>
  <c r="Z29" i="8" a="1"/>
  <c r="Z29" i="8"/>
  <c r="Y29" i="8" a="1"/>
  <c r="Y29" i="8"/>
  <c r="X29" i="8" a="1"/>
  <c r="X29" i="8"/>
  <c r="W29" i="8" a="1"/>
  <c r="W29" i="8"/>
  <c r="V29" i="8" a="1"/>
  <c r="V29" i="8"/>
  <c r="U29" i="8" a="1"/>
  <c r="U29" i="8"/>
  <c r="Q29" i="8"/>
  <c r="P29" i="8"/>
  <c r="J29" i="8"/>
  <c r="L70" i="5"/>
  <c r="O70" i="5"/>
  <c r="I29" i="8"/>
  <c r="G29" i="8"/>
  <c r="E29" i="8" a="1"/>
  <c r="E29" i="8"/>
  <c r="D29" i="8"/>
  <c r="AA72" i="5" a="1"/>
  <c r="AA72" i="5"/>
  <c r="AA73" i="5" a="1"/>
  <c r="AA73" i="5"/>
  <c r="AA74" i="5" a="1"/>
  <c r="AA74" i="5"/>
  <c r="AA71" i="5" a="1"/>
  <c r="AA70" i="5" a="1"/>
  <c r="AA70" i="5"/>
  <c r="C29" i="8"/>
  <c r="A29" i="8"/>
  <c r="F26" i="8" a="1"/>
  <c r="F26" i="8"/>
  <c r="F27" i="8"/>
  <c r="M26" i="8"/>
  <c r="N26" i="8"/>
  <c r="O26" i="8"/>
  <c r="R26" i="8"/>
  <c r="AT66" i="6"/>
  <c r="AU66" i="6"/>
  <c r="AV66" i="6"/>
  <c r="AM67" i="6"/>
  <c r="AN67" i="6"/>
  <c r="AO67" i="6"/>
  <c r="AP67" i="6"/>
  <c r="AQ67" i="6"/>
  <c r="AR67" i="6"/>
  <c r="AS67" i="6"/>
  <c r="AT67" i="6"/>
  <c r="AU67" i="6"/>
  <c r="AV67" i="6"/>
  <c r="AM68" i="6"/>
  <c r="AN68" i="6"/>
  <c r="AO68" i="6"/>
  <c r="AP68" i="6"/>
  <c r="AQ68" i="6"/>
  <c r="AR68" i="6"/>
  <c r="AS68" i="6"/>
  <c r="AT68" i="6"/>
  <c r="AU68" i="6"/>
  <c r="AV68" i="6"/>
  <c r="AM69" i="6"/>
  <c r="AN69" i="6"/>
  <c r="AO69" i="6"/>
  <c r="AP69" i="6"/>
  <c r="AQ69" i="6"/>
  <c r="AR69" i="6"/>
  <c r="AS69" i="6"/>
  <c r="AT69" i="6"/>
  <c r="AU69" i="6"/>
  <c r="AV69" i="6"/>
  <c r="F28" i="8"/>
  <c r="AF28" i="8" a="1"/>
  <c r="AF28" i="8"/>
  <c r="AE28" i="8" a="1"/>
  <c r="AE28" i="8"/>
  <c r="AD28" i="8" a="1"/>
  <c r="AD28" i="8"/>
  <c r="AC28" i="8" a="1"/>
  <c r="AC28" i="8"/>
  <c r="AB28" i="8" a="1"/>
  <c r="AB28" i="8"/>
  <c r="AA28" i="8" a="1"/>
  <c r="AA28" i="8"/>
  <c r="Z28" i="8" a="1"/>
  <c r="Z28" i="8"/>
  <c r="Y28" i="8" a="1"/>
  <c r="Y28" i="8"/>
  <c r="X28" i="8" a="1"/>
  <c r="X28" i="8"/>
  <c r="W28" i="8" a="1"/>
  <c r="W28" i="8"/>
  <c r="V28" i="8" a="1"/>
  <c r="V28" i="8"/>
  <c r="U28" i="8" a="1"/>
  <c r="U28" i="8"/>
  <c r="S28" i="8"/>
  <c r="E28" i="8" a="1"/>
  <c r="E28" i="8"/>
  <c r="S26" i="8"/>
  <c r="H26" i="8" a="1"/>
  <c r="H26" i="8"/>
  <c r="J27" i="8"/>
  <c r="H27" i="8" a="1"/>
  <c r="H27" i="8"/>
  <c r="G27" i="8" a="1"/>
  <c r="G27" i="8"/>
  <c r="AF26" i="8" a="1"/>
  <c r="AF26" i="8"/>
  <c r="AE26" i="8" a="1"/>
  <c r="AE26" i="8"/>
  <c r="AD26" i="8" a="1"/>
  <c r="AD26" i="8"/>
  <c r="AC26" i="8" a="1"/>
  <c r="AC26" i="8"/>
  <c r="AB26" i="8" a="1"/>
  <c r="AB26" i="8"/>
  <c r="AA26" i="8" a="1"/>
  <c r="AA26" i="8"/>
  <c r="Z26" i="8" a="1"/>
  <c r="Z26" i="8"/>
  <c r="Y26" i="8" a="1"/>
  <c r="Y26" i="8"/>
  <c r="X26" i="8" a="1"/>
  <c r="X26" i="8"/>
  <c r="W26" i="8" a="1"/>
  <c r="W26" i="8"/>
  <c r="V26" i="8" a="1"/>
  <c r="V26" i="8"/>
  <c r="U26" i="8" a="1"/>
  <c r="U26" i="8"/>
  <c r="Q26" i="8"/>
  <c r="P26" i="8"/>
  <c r="J26" i="8"/>
  <c r="L66" i="5"/>
  <c r="O66" i="5"/>
  <c r="I26" i="8"/>
  <c r="G26" i="8"/>
  <c r="E26" i="8" a="1"/>
  <c r="E26" i="8"/>
  <c r="AB66" i="5"/>
  <c r="D26" i="8"/>
  <c r="AA67" i="5" a="1"/>
  <c r="AA67" i="5"/>
  <c r="AA68" i="5" a="1"/>
  <c r="AA68" i="5"/>
  <c r="AA69" i="5" a="1"/>
  <c r="AA69" i="5"/>
  <c r="AA66" i="5" a="1"/>
  <c r="AA66" i="5"/>
  <c r="C26" i="8"/>
  <c r="A26" i="8"/>
  <c r="R62" i="5"/>
  <c r="A62" i="12"/>
  <c r="B62" i="6"/>
  <c r="B61" i="6"/>
  <c r="A61" i="6"/>
  <c r="A62" i="6"/>
  <c r="B63" i="6"/>
  <c r="B16" i="6"/>
  <c r="A16" i="6"/>
  <c r="B17" i="6"/>
  <c r="A17" i="6"/>
  <c r="B18" i="6"/>
  <c r="A18" i="6"/>
  <c r="B19" i="6"/>
  <c r="B20" i="6"/>
  <c r="B21" i="6"/>
  <c r="B22" i="6"/>
  <c r="B23" i="6"/>
  <c r="B24" i="6"/>
  <c r="B25" i="6"/>
  <c r="B26" i="6"/>
  <c r="B27" i="6"/>
  <c r="B28" i="6"/>
  <c r="B29" i="6"/>
  <c r="B30" i="6"/>
  <c r="B31" i="6"/>
  <c r="B32" i="6"/>
  <c r="B33" i="6"/>
  <c r="B34" i="6"/>
  <c r="B35" i="6"/>
  <c r="B36" i="6"/>
  <c r="B37" i="6"/>
  <c r="B38" i="6"/>
  <c r="B39" i="6"/>
  <c r="A39" i="6"/>
  <c r="B40" i="6"/>
  <c r="A40" i="6"/>
  <c r="B41" i="6"/>
  <c r="B42" i="6"/>
  <c r="B43" i="6"/>
  <c r="B44" i="6"/>
  <c r="A44" i="6"/>
  <c r="B45" i="6"/>
  <c r="B46" i="6"/>
  <c r="B47" i="6"/>
  <c r="B48" i="6"/>
  <c r="B49" i="6"/>
  <c r="B50" i="6"/>
  <c r="A50" i="6"/>
  <c r="B51" i="6"/>
  <c r="B52" i="6"/>
  <c r="B53" i="6"/>
  <c r="B54" i="6"/>
  <c r="B55" i="6"/>
  <c r="A55" i="6"/>
  <c r="B56" i="6"/>
  <c r="B57" i="6"/>
  <c r="B58" i="6"/>
  <c r="B59" i="6"/>
  <c r="B60" i="6"/>
  <c r="B64" i="6"/>
  <c r="B65" i="6"/>
  <c r="B67" i="6"/>
  <c r="B66" i="6"/>
  <c r="A66" i="6"/>
  <c r="B68" i="6"/>
  <c r="B69" i="6"/>
  <c r="B72" i="6"/>
  <c r="B71" i="6"/>
  <c r="B70" i="6"/>
  <c r="A70" i="6"/>
  <c r="A71" i="6"/>
  <c r="B73" i="6"/>
  <c r="B74" i="6"/>
  <c r="B77" i="6"/>
  <c r="B76" i="6"/>
  <c r="B75" i="6"/>
  <c r="A75" i="6"/>
  <c r="A76" i="6"/>
  <c r="B78" i="6"/>
  <c r="B79" i="6"/>
  <c r="B82" i="6"/>
  <c r="B81" i="6"/>
  <c r="B80" i="6"/>
  <c r="A80" i="6"/>
  <c r="A81" i="6"/>
  <c r="B84" i="6"/>
  <c r="B83" i="6"/>
  <c r="A83" i="6"/>
  <c r="B86" i="6"/>
  <c r="B85" i="6"/>
  <c r="A85" i="6"/>
  <c r="I62" i="12"/>
  <c r="B62" i="12"/>
  <c r="A63" i="12"/>
  <c r="I63" i="12"/>
  <c r="AB13" i="12" a="1"/>
  <c r="AB13" i="12"/>
  <c r="AC13" i="12"/>
  <c r="AD13" i="12"/>
  <c r="AE13" i="12"/>
  <c r="AF13" i="12"/>
  <c r="AG13" i="12"/>
  <c r="AH13" i="12"/>
  <c r="AI13" i="12"/>
  <c r="AJ13" i="12"/>
  <c r="AK13" i="12"/>
  <c r="AL13" i="12"/>
  <c r="AM13" i="12"/>
  <c r="AO63" i="12" a="1"/>
  <c r="AO63" i="12"/>
  <c r="A64" i="12"/>
  <c r="A65" i="12"/>
  <c r="A66" i="12"/>
  <c r="I64" i="12"/>
  <c r="AO64" i="12" a="1"/>
  <c r="I65" i="12"/>
  <c r="AO65" i="12" a="1"/>
  <c r="B66" i="12"/>
  <c r="A67" i="12"/>
  <c r="I67" i="12"/>
  <c r="AO67" i="12" a="1"/>
  <c r="AO67" i="12"/>
  <c r="A68" i="12"/>
  <c r="A69" i="12"/>
  <c r="A70" i="12"/>
  <c r="I68" i="12"/>
  <c r="AO68" i="12" a="1"/>
  <c r="I69" i="12"/>
  <c r="AO69" i="12" a="1"/>
  <c r="B70" i="12"/>
  <c r="A71" i="12"/>
  <c r="A72" i="12"/>
  <c r="I72" i="12"/>
  <c r="AO72" i="12" a="1"/>
  <c r="A73" i="12"/>
  <c r="A74" i="12"/>
  <c r="A75" i="12"/>
  <c r="B71" i="12"/>
  <c r="AO72" i="12"/>
  <c r="I73" i="12"/>
  <c r="AO73" i="12" a="1"/>
  <c r="AO73" i="12"/>
  <c r="I74" i="12"/>
  <c r="AO74" i="12" a="1"/>
  <c r="B75" i="12"/>
  <c r="A76" i="12"/>
  <c r="A77" i="12"/>
  <c r="I77" i="12"/>
  <c r="AO77" i="12" a="1"/>
  <c r="A78" i="12"/>
  <c r="A79" i="12"/>
  <c r="A80" i="12"/>
  <c r="B76" i="12"/>
  <c r="AO77" i="12"/>
  <c r="I78" i="12"/>
  <c r="AO78" i="12" a="1"/>
  <c r="AO78" i="12"/>
  <c r="I79" i="12"/>
  <c r="AO79" i="12" a="1"/>
  <c r="B80" i="12"/>
  <c r="A81" i="12"/>
  <c r="A82" i="12"/>
  <c r="I82" i="12"/>
  <c r="AO82" i="12" a="1"/>
  <c r="A83" i="12"/>
  <c r="A84" i="12"/>
  <c r="A85" i="12"/>
  <c r="B81" i="12"/>
  <c r="AO82" i="12"/>
  <c r="AO81" i="12" a="1"/>
  <c r="B83" i="12"/>
  <c r="I84" i="12"/>
  <c r="AO84" i="12" a="1"/>
  <c r="AO84" i="12"/>
  <c r="AO83" i="12" a="1"/>
  <c r="B85" i="12"/>
  <c r="A86" i="12"/>
  <c r="I86" i="12"/>
  <c r="AO86" i="12" a="1"/>
  <c r="AO86" i="12"/>
  <c r="A87" i="12"/>
  <c r="B87" i="12"/>
  <c r="A88" i="12"/>
  <c r="B88" i="6"/>
  <c r="B87" i="6"/>
  <c r="A87" i="6"/>
  <c r="I88" i="12"/>
  <c r="AO88" i="12" a="1"/>
  <c r="AO88" i="12"/>
  <c r="A89" i="12"/>
  <c r="B89" i="12"/>
  <c r="A90" i="12"/>
  <c r="B90" i="6"/>
  <c r="B89" i="6"/>
  <c r="A89" i="6"/>
  <c r="I90" i="12"/>
  <c r="AO90" i="12" a="1"/>
  <c r="AO90" i="12"/>
  <c r="A91" i="12"/>
  <c r="A92" i="12"/>
  <c r="B91" i="6"/>
  <c r="I91" i="12"/>
  <c r="AO91" i="12" a="1"/>
  <c r="B92" i="6"/>
  <c r="I92" i="12"/>
  <c r="AO92" i="12" a="1"/>
  <c r="AO91" i="12"/>
  <c r="AO92" i="12"/>
  <c r="AO89" i="12" a="1"/>
  <c r="AO87" i="12" a="1"/>
  <c r="AO85" i="12" a="1"/>
  <c r="AO80" i="12" a="1"/>
  <c r="AO79" i="12"/>
  <c r="AO80" i="12"/>
  <c r="AO76" i="12" a="1"/>
  <c r="AO75" i="12" a="1"/>
  <c r="AO74" i="12"/>
  <c r="AO75" i="12"/>
  <c r="AO71" i="12" a="1"/>
  <c r="AO70" i="12" a="1"/>
  <c r="AO68" i="12"/>
  <c r="AO69" i="12"/>
  <c r="AO70" i="12"/>
  <c r="AO66" i="12" a="1"/>
  <c r="AO64" i="12"/>
  <c r="AO65" i="12"/>
  <c r="AO66" i="12"/>
  <c r="AO62" i="12" a="1"/>
  <c r="AO62" i="12"/>
  <c r="L63" i="12" a="1"/>
  <c r="L63" i="12"/>
  <c r="O63" i="12" a="1"/>
  <c r="O63" i="12"/>
  <c r="L64" i="12" a="1"/>
  <c r="L64" i="12"/>
  <c r="O64" i="12" a="1"/>
  <c r="O64" i="12"/>
  <c r="L65" i="12" a="1"/>
  <c r="L65" i="12"/>
  <c r="O65" i="12" a="1"/>
  <c r="L67" i="12" a="1"/>
  <c r="L67" i="12"/>
  <c r="O67" i="12" a="1"/>
  <c r="O67" i="12"/>
  <c r="L68" i="12" a="1"/>
  <c r="L68" i="12"/>
  <c r="O68" i="12" a="1"/>
  <c r="O68" i="12"/>
  <c r="L69" i="12" a="1"/>
  <c r="L69" i="12"/>
  <c r="O69" i="12" a="1"/>
  <c r="L72" i="12" a="1"/>
  <c r="L72" i="12"/>
  <c r="O72" i="12" a="1"/>
  <c r="O72" i="12"/>
  <c r="L73" i="12" a="1"/>
  <c r="L73" i="12"/>
  <c r="O73" i="12" a="1"/>
  <c r="O73" i="12"/>
  <c r="L74" i="12" a="1"/>
  <c r="L74" i="12"/>
  <c r="O74" i="12" a="1"/>
  <c r="O74" i="12"/>
  <c r="O71" i="12" a="1"/>
  <c r="L77" i="12" a="1"/>
  <c r="L77" i="12"/>
  <c r="O77" i="12" a="1"/>
  <c r="O77" i="12"/>
  <c r="L78" i="12" a="1"/>
  <c r="L78" i="12"/>
  <c r="O78" i="12" a="1"/>
  <c r="O78" i="12"/>
  <c r="L79" i="12" a="1"/>
  <c r="L79" i="12"/>
  <c r="O79" i="12" a="1"/>
  <c r="O79" i="12"/>
  <c r="O76" i="12" a="1"/>
  <c r="L82" i="12" a="1"/>
  <c r="L82" i="12"/>
  <c r="O82" i="12" a="1"/>
  <c r="O82" i="12"/>
  <c r="L84" i="12" a="1"/>
  <c r="L84" i="12"/>
  <c r="O84" i="12" a="1"/>
  <c r="O84" i="12"/>
  <c r="O80" i="12" a="1"/>
  <c r="O75" i="12" a="1"/>
  <c r="O70" i="12" a="1"/>
  <c r="O69" i="12"/>
  <c r="O70" i="12"/>
  <c r="O66" i="12" a="1"/>
  <c r="O65" i="12"/>
  <c r="O66" i="12"/>
  <c r="O62" i="12" a="1"/>
  <c r="O62" i="12"/>
  <c r="Y62" i="12"/>
  <c r="X62" i="12" a="1"/>
  <c r="X62" i="12"/>
  <c r="W62" i="12" a="1"/>
  <c r="W62" i="12"/>
  <c r="V62" i="12" a="1"/>
  <c r="V62" i="12"/>
  <c r="U62" i="12"/>
  <c r="T62" i="12"/>
  <c r="J63" i="12" a="1"/>
  <c r="J63" i="12"/>
  <c r="M63" i="12" a="1"/>
  <c r="M63" i="12"/>
  <c r="J64" i="12" a="1"/>
  <c r="J64" i="12"/>
  <c r="M64" i="12" a="1"/>
  <c r="M64" i="12"/>
  <c r="J65" i="12" a="1"/>
  <c r="J65" i="12"/>
  <c r="M65" i="12" a="1"/>
  <c r="J67" i="12" a="1"/>
  <c r="J67" i="12"/>
  <c r="M67" i="12" a="1"/>
  <c r="M67" i="12"/>
  <c r="J68" i="12" a="1"/>
  <c r="J68" i="12"/>
  <c r="M68" i="12" a="1"/>
  <c r="M68" i="12"/>
  <c r="J69" i="12" a="1"/>
  <c r="J69" i="12"/>
  <c r="M69" i="12" a="1"/>
  <c r="J72" i="12" a="1"/>
  <c r="J72" i="12"/>
  <c r="M72" i="12" a="1"/>
  <c r="M72" i="12"/>
  <c r="J73" i="12" a="1"/>
  <c r="J73" i="12"/>
  <c r="M73" i="12" a="1"/>
  <c r="M73" i="12"/>
  <c r="J74" i="12" a="1"/>
  <c r="J74" i="12"/>
  <c r="M74" i="12" a="1"/>
  <c r="M74" i="12"/>
  <c r="M71" i="12" a="1"/>
  <c r="J77" i="12" a="1"/>
  <c r="J77" i="12"/>
  <c r="M77" i="12" a="1"/>
  <c r="M77" i="12"/>
  <c r="J78" i="12" a="1"/>
  <c r="J78" i="12"/>
  <c r="M78" i="12" a="1"/>
  <c r="M78" i="12"/>
  <c r="J79" i="12" a="1"/>
  <c r="J79" i="12"/>
  <c r="M79" i="12" a="1"/>
  <c r="M79" i="12"/>
  <c r="M76" i="12" a="1"/>
  <c r="J82" i="12" a="1"/>
  <c r="J82" i="12"/>
  <c r="M82" i="12" a="1"/>
  <c r="M82" i="12"/>
  <c r="J84" i="12" a="1"/>
  <c r="J84" i="12"/>
  <c r="M84" i="12" a="1"/>
  <c r="M84" i="12"/>
  <c r="M80" i="12" a="1"/>
  <c r="M75" i="12" a="1"/>
  <c r="M70" i="12" a="1"/>
  <c r="M69" i="12"/>
  <c r="M70" i="12"/>
  <c r="M66" i="12" a="1"/>
  <c r="M65" i="12"/>
  <c r="M66" i="12"/>
  <c r="M62" i="12" a="1"/>
  <c r="M62" i="12"/>
  <c r="N62" i="12"/>
  <c r="L62" i="12" a="1"/>
  <c r="L62" i="12"/>
  <c r="J62" i="12" a="1"/>
  <c r="J62" i="12"/>
  <c r="K62" i="12"/>
  <c r="H62" i="12" a="1"/>
  <c r="H62" i="12"/>
  <c r="G62" i="12" a="1"/>
  <c r="G62" i="12"/>
  <c r="F62" i="12" a="1"/>
  <c r="F62" i="12"/>
  <c r="AF62" i="5" a="1"/>
  <c r="AF62" i="5"/>
  <c r="E62" i="12"/>
  <c r="L62" i="5"/>
  <c r="O62" i="5"/>
  <c r="D62" i="12"/>
  <c r="C62" i="12"/>
  <c r="AV62" i="6"/>
  <c r="AU62" i="6"/>
  <c r="AT62" i="6"/>
  <c r="N62" i="6"/>
  <c r="T62" i="5"/>
  <c r="S62" i="5" a="1"/>
  <c r="S62" i="5"/>
  <c r="AH62" i="5"/>
  <c r="AN62" i="5" a="1"/>
  <c r="AN62" i="5"/>
  <c r="F9" i="5" a="1"/>
  <c r="F9" i="5"/>
  <c r="O8" i="5" a="1"/>
  <c r="O8" i="5"/>
  <c r="AG62" i="5" a="1"/>
  <c r="AG62" i="5"/>
  <c r="AC62" i="5" a="1"/>
  <c r="AC62" i="5"/>
  <c r="Q13" i="6"/>
  <c r="Q15" i="6"/>
  <c r="Q11" i="6"/>
  <c r="R13" i="6"/>
  <c r="R15" i="6"/>
  <c r="R11" i="6"/>
  <c r="S13" i="6"/>
  <c r="S15" i="6"/>
  <c r="S11" i="6"/>
  <c r="T13" i="6"/>
  <c r="T15" i="6"/>
  <c r="T11" i="6"/>
  <c r="U13" i="6"/>
  <c r="U15" i="6"/>
  <c r="U11" i="6"/>
  <c r="V13" i="6"/>
  <c r="V15" i="6"/>
  <c r="V11" i="6"/>
  <c r="W13" i="6"/>
  <c r="W15" i="6"/>
  <c r="W11" i="6"/>
  <c r="X13" i="6"/>
  <c r="X15" i="6"/>
  <c r="X11" i="6"/>
  <c r="Y13" i="6"/>
  <c r="Y15" i="6"/>
  <c r="Y11" i="6"/>
  <c r="Z13" i="6"/>
  <c r="Z15" i="6"/>
  <c r="Z11" i="6"/>
  <c r="J62" i="6" a="1"/>
  <c r="J62" i="6"/>
  <c r="G62" i="6"/>
  <c r="F62" i="6"/>
  <c r="E62" i="6"/>
  <c r="C62" i="6"/>
  <c r="AM62" i="5"/>
  <c r="AE62" i="5" a="1"/>
  <c r="AE62" i="5"/>
  <c r="AB62" i="5"/>
  <c r="AB71" i="5"/>
  <c r="AB76" i="5"/>
  <c r="AA63" i="5" a="1"/>
  <c r="AA63" i="5"/>
  <c r="AA64" i="5" a="1"/>
  <c r="AA64" i="5"/>
  <c r="AA65" i="5" a="1"/>
  <c r="AA65" i="5"/>
  <c r="AA62" i="5" a="1"/>
  <c r="AA62" i="5"/>
  <c r="W62" i="5" a="1"/>
  <c r="W62" i="5"/>
  <c r="I61" i="5"/>
  <c r="I62" i="5"/>
  <c r="H61" i="5"/>
  <c r="H62" i="5"/>
  <c r="R40" i="5"/>
  <c r="A40" i="12"/>
  <c r="I40" i="12"/>
  <c r="B40" i="12"/>
  <c r="A41" i="12"/>
  <c r="I41" i="12"/>
  <c r="AO41" i="12" a="1"/>
  <c r="AO41" i="12"/>
  <c r="A42" i="12"/>
  <c r="A43" i="12"/>
  <c r="A44" i="12"/>
  <c r="I42" i="12"/>
  <c r="AO42" i="12" a="1"/>
  <c r="I43" i="12"/>
  <c r="AO43" i="12" a="1"/>
  <c r="B44" i="12"/>
  <c r="A45" i="12"/>
  <c r="I45" i="12"/>
  <c r="AO45" i="12" a="1"/>
  <c r="AO45" i="12"/>
  <c r="A46" i="12"/>
  <c r="A47" i="12"/>
  <c r="A48" i="12"/>
  <c r="A49" i="12"/>
  <c r="A50" i="12"/>
  <c r="I46" i="12"/>
  <c r="AO46" i="12" a="1"/>
  <c r="I47" i="12"/>
  <c r="AO47" i="12" a="1"/>
  <c r="I48" i="12"/>
  <c r="AO48" i="12" a="1"/>
  <c r="I49" i="12"/>
  <c r="AO49" i="12" a="1"/>
  <c r="B50" i="12"/>
  <c r="A51" i="12"/>
  <c r="I51" i="12"/>
  <c r="AO51" i="12" a="1"/>
  <c r="AO51" i="12"/>
  <c r="A52" i="12"/>
  <c r="A53" i="12"/>
  <c r="A54" i="12"/>
  <c r="A55" i="12"/>
  <c r="I52" i="12"/>
  <c r="AO52" i="12" a="1"/>
  <c r="I53" i="12"/>
  <c r="AO53" i="12" a="1"/>
  <c r="I54" i="12"/>
  <c r="AO54" i="12" a="1"/>
  <c r="B55" i="12"/>
  <c r="A56" i="12"/>
  <c r="I56" i="12"/>
  <c r="AO56" i="12" a="1"/>
  <c r="AO56" i="12"/>
  <c r="A57" i="12"/>
  <c r="A58" i="12"/>
  <c r="A59" i="12"/>
  <c r="A60" i="12"/>
  <c r="A61" i="12"/>
  <c r="I57" i="12"/>
  <c r="AO57" i="12" a="1"/>
  <c r="I58" i="12"/>
  <c r="AO58" i="12" a="1"/>
  <c r="I59" i="12"/>
  <c r="AO59" i="12" a="1"/>
  <c r="I60" i="12"/>
  <c r="AO60" i="12" a="1"/>
  <c r="B61" i="12"/>
  <c r="AO61" i="12" a="1"/>
  <c r="AO57" i="12"/>
  <c r="AO58" i="12"/>
  <c r="AO59" i="12"/>
  <c r="AO60" i="12"/>
  <c r="AO61" i="12"/>
  <c r="AO55" i="12" a="1"/>
  <c r="AO52" i="12"/>
  <c r="AO53" i="12"/>
  <c r="AO54" i="12"/>
  <c r="AO55" i="12"/>
  <c r="AO50" i="12" a="1"/>
  <c r="AO46" i="12"/>
  <c r="AO47" i="12"/>
  <c r="AO48" i="12"/>
  <c r="AO49" i="12"/>
  <c r="AO50" i="12"/>
  <c r="AO44" i="12" a="1"/>
  <c r="AO42" i="12"/>
  <c r="AO43" i="12"/>
  <c r="AO44" i="12"/>
  <c r="AO40" i="12" a="1"/>
  <c r="AO40" i="12"/>
  <c r="L41" i="12" a="1"/>
  <c r="L41" i="12"/>
  <c r="O41" i="12" a="1"/>
  <c r="O41" i="12"/>
  <c r="L42" i="12" a="1"/>
  <c r="L42" i="12"/>
  <c r="O42" i="12" a="1"/>
  <c r="O42" i="12"/>
  <c r="L43" i="12" a="1"/>
  <c r="L43" i="12"/>
  <c r="O43" i="12" a="1"/>
  <c r="L45" i="12" a="1"/>
  <c r="L45" i="12"/>
  <c r="O45" i="12" a="1"/>
  <c r="O45" i="12"/>
  <c r="L46" i="12" a="1"/>
  <c r="L46" i="12"/>
  <c r="O46" i="12" a="1"/>
  <c r="O46" i="12"/>
  <c r="L47" i="12" a="1"/>
  <c r="L47" i="12"/>
  <c r="O47" i="12" a="1"/>
  <c r="L48" i="12" a="1"/>
  <c r="L48" i="12"/>
  <c r="O48" i="12" a="1"/>
  <c r="L49" i="12" a="1"/>
  <c r="L49" i="12"/>
  <c r="O49" i="12" a="1"/>
  <c r="L51" i="12" a="1"/>
  <c r="L51" i="12"/>
  <c r="O51" i="12" a="1"/>
  <c r="O51" i="12"/>
  <c r="L52" i="12" a="1"/>
  <c r="L52" i="12"/>
  <c r="O52" i="12" a="1"/>
  <c r="O52" i="12"/>
  <c r="L53" i="12" a="1"/>
  <c r="L53" i="12"/>
  <c r="O53" i="12" a="1"/>
  <c r="L54" i="12" a="1"/>
  <c r="L54" i="12"/>
  <c r="O54" i="12" a="1"/>
  <c r="L56" i="12" a="1"/>
  <c r="L56" i="12"/>
  <c r="O56" i="12" a="1"/>
  <c r="O56" i="12"/>
  <c r="L57" i="12" a="1"/>
  <c r="L57" i="12"/>
  <c r="O57" i="12" a="1"/>
  <c r="O57" i="12"/>
  <c r="L58" i="12" a="1"/>
  <c r="L58" i="12"/>
  <c r="O58" i="12" a="1"/>
  <c r="L59" i="12" a="1"/>
  <c r="L59" i="12"/>
  <c r="O59" i="12" a="1"/>
  <c r="L60" i="12" a="1"/>
  <c r="L60" i="12"/>
  <c r="O60" i="12" a="1"/>
  <c r="O61" i="12" a="1"/>
  <c r="O58" i="12"/>
  <c r="O59" i="12"/>
  <c r="O60" i="12"/>
  <c r="O61" i="12"/>
  <c r="O55" i="12" a="1"/>
  <c r="O53" i="12"/>
  <c r="O54" i="12"/>
  <c r="O55" i="12"/>
  <c r="O50" i="12" a="1"/>
  <c r="O47" i="12"/>
  <c r="O48" i="12"/>
  <c r="O49" i="12"/>
  <c r="O50" i="12"/>
  <c r="O44" i="12" a="1"/>
  <c r="O43" i="12"/>
  <c r="O44" i="12"/>
  <c r="O40" i="12" a="1"/>
  <c r="O40" i="12"/>
  <c r="Y40" i="12"/>
  <c r="X40" i="12" a="1"/>
  <c r="X40" i="12"/>
  <c r="W40" i="12" a="1"/>
  <c r="W40" i="12"/>
  <c r="V40" i="12" a="1"/>
  <c r="V40" i="12"/>
  <c r="U40" i="12"/>
  <c r="T40" i="12"/>
  <c r="J41" i="12" a="1"/>
  <c r="J41" i="12"/>
  <c r="M41" i="12" a="1"/>
  <c r="M41" i="12"/>
  <c r="J42" i="12" a="1"/>
  <c r="J42" i="12"/>
  <c r="M42" i="12" a="1"/>
  <c r="M42" i="12"/>
  <c r="J43" i="12" a="1"/>
  <c r="J43" i="12"/>
  <c r="M43" i="12" a="1"/>
  <c r="J45" i="12" a="1"/>
  <c r="J45" i="12"/>
  <c r="M45" i="12" a="1"/>
  <c r="M45" i="12"/>
  <c r="J46" i="12" a="1"/>
  <c r="J46" i="12"/>
  <c r="M46" i="12" a="1"/>
  <c r="M46" i="12"/>
  <c r="J47" i="12" a="1"/>
  <c r="J47" i="12"/>
  <c r="M47" i="12" a="1"/>
  <c r="J48" i="12" a="1"/>
  <c r="J48" i="12"/>
  <c r="M48" i="12" a="1"/>
  <c r="J49" i="12" a="1"/>
  <c r="J49" i="12"/>
  <c r="M49" i="12" a="1"/>
  <c r="J51" i="12" a="1"/>
  <c r="J51" i="12"/>
  <c r="M51" i="12" a="1"/>
  <c r="M51" i="12"/>
  <c r="J52" i="12" a="1"/>
  <c r="J52" i="12"/>
  <c r="M52" i="12" a="1"/>
  <c r="M52" i="12"/>
  <c r="J53" i="12" a="1"/>
  <c r="J53" i="12"/>
  <c r="M53" i="12" a="1"/>
  <c r="J54" i="12" a="1"/>
  <c r="J54" i="12"/>
  <c r="M54" i="12" a="1"/>
  <c r="J56" i="12" a="1"/>
  <c r="J56" i="12"/>
  <c r="M56" i="12" a="1"/>
  <c r="M56" i="12"/>
  <c r="J57" i="12" a="1"/>
  <c r="J57" i="12"/>
  <c r="M57" i="12" a="1"/>
  <c r="M57" i="12"/>
  <c r="J58" i="12" a="1"/>
  <c r="J58" i="12"/>
  <c r="M58" i="12" a="1"/>
  <c r="J59" i="12" a="1"/>
  <c r="J59" i="12"/>
  <c r="M59" i="12" a="1"/>
  <c r="J60" i="12" a="1"/>
  <c r="J60" i="12"/>
  <c r="M60" i="12" a="1"/>
  <c r="M61" i="12" a="1"/>
  <c r="M58" i="12"/>
  <c r="M59" i="12"/>
  <c r="M60" i="12"/>
  <c r="M61" i="12"/>
  <c r="M55" i="12" a="1"/>
  <c r="M53" i="12"/>
  <c r="M54" i="12"/>
  <c r="M55" i="12"/>
  <c r="M50" i="12" a="1"/>
  <c r="M47" i="12"/>
  <c r="M48" i="12"/>
  <c r="M49" i="12"/>
  <c r="M50" i="12"/>
  <c r="M44" i="12" a="1"/>
  <c r="M43" i="12"/>
  <c r="M44" i="12"/>
  <c r="M40" i="12" a="1"/>
  <c r="M40" i="12"/>
  <c r="N40" i="12"/>
  <c r="L40" i="12" a="1"/>
  <c r="L40" i="12"/>
  <c r="J40" i="12" a="1"/>
  <c r="J40" i="12"/>
  <c r="K40" i="12"/>
  <c r="H40" i="12" a="1"/>
  <c r="H40" i="12"/>
  <c r="G40" i="12" a="1"/>
  <c r="G40" i="12"/>
  <c r="F40" i="12" a="1"/>
  <c r="F40" i="12"/>
  <c r="AF40" i="5" a="1"/>
  <c r="AF40" i="5"/>
  <c r="E40" i="12"/>
  <c r="L40" i="5"/>
  <c r="O40" i="5"/>
  <c r="D40" i="12"/>
  <c r="C40" i="12"/>
  <c r="AV40" i="6"/>
  <c r="AU40" i="6"/>
  <c r="AT40" i="6"/>
  <c r="N40" i="6"/>
  <c r="T40" i="5"/>
  <c r="S40" i="5" a="1"/>
  <c r="S40" i="5"/>
  <c r="AH40" i="5"/>
  <c r="AN40" i="5" a="1"/>
  <c r="AN40" i="5"/>
  <c r="AG40" i="5" a="1"/>
  <c r="AG40" i="5"/>
  <c r="AC40" i="5" a="1"/>
  <c r="AC40" i="5"/>
  <c r="J40" i="6" a="1"/>
  <c r="J40" i="6"/>
  <c r="G40" i="6"/>
  <c r="F40" i="6"/>
  <c r="E40" i="6"/>
  <c r="C40" i="6"/>
  <c r="AM40" i="5"/>
  <c r="AE40" i="5" a="1"/>
  <c r="AE40" i="5"/>
  <c r="AB44" i="5"/>
  <c r="AB40" i="5"/>
  <c r="AA41" i="5" a="1"/>
  <c r="AA41" i="5"/>
  <c r="AA42" i="5" a="1"/>
  <c r="AA42" i="5"/>
  <c r="AA43" i="5" a="1"/>
  <c r="AA45" i="5" a="1"/>
  <c r="AA45" i="5"/>
  <c r="AA46" i="5" a="1"/>
  <c r="AA46" i="5"/>
  <c r="AA47" i="5" a="1"/>
  <c r="AA48" i="5" a="1"/>
  <c r="AA49" i="5" a="1"/>
  <c r="AA51" i="5" a="1"/>
  <c r="AA51" i="5"/>
  <c r="AA52" i="5" a="1"/>
  <c r="AA52" i="5"/>
  <c r="AA53" i="5" a="1"/>
  <c r="AA54" i="5" a="1"/>
  <c r="AA56" i="5" a="1"/>
  <c r="AA56" i="5"/>
  <c r="AA57" i="5" a="1"/>
  <c r="AA57" i="5"/>
  <c r="AA58" i="5" a="1"/>
  <c r="AA59" i="5" a="1"/>
  <c r="AA60" i="5" a="1"/>
  <c r="AA61" i="5" a="1"/>
  <c r="AA58" i="5"/>
  <c r="AA59" i="5"/>
  <c r="AA60" i="5"/>
  <c r="AA61" i="5"/>
  <c r="AA55" i="5" a="1"/>
  <c r="AA53" i="5"/>
  <c r="AA54" i="5"/>
  <c r="AA55" i="5"/>
  <c r="AA50" i="5" a="1"/>
  <c r="AA47" i="5"/>
  <c r="AA48" i="5"/>
  <c r="AA49" i="5"/>
  <c r="AA50" i="5"/>
  <c r="AA44" i="5" a="1"/>
  <c r="AA43" i="5"/>
  <c r="AA44" i="5"/>
  <c r="AA40" i="5" a="1"/>
  <c r="AA40" i="5"/>
  <c r="W40" i="5" a="1"/>
  <c r="W40" i="5"/>
  <c r="I39" i="5"/>
  <c r="I40" i="5"/>
  <c r="H39" i="5"/>
  <c r="H40" i="5"/>
  <c r="D25" i="7"/>
  <c r="B15" i="10"/>
  <c r="B16" i="10"/>
  <c r="B17" i="10"/>
  <c r="B18" i="10"/>
  <c r="B19" i="10"/>
  <c r="B20" i="10"/>
  <c r="B21" i="10"/>
  <c r="B22" i="10"/>
  <c r="F80" i="6"/>
  <c r="N82" i="6"/>
  <c r="C22" i="10"/>
  <c r="A22" i="10"/>
  <c r="F75" i="6"/>
  <c r="N77" i="6"/>
  <c r="C21" i="10"/>
  <c r="A21" i="10"/>
  <c r="F70" i="6"/>
  <c r="N72" i="6"/>
  <c r="C20" i="10"/>
  <c r="A20" i="10"/>
  <c r="F66" i="6"/>
  <c r="N67" i="6"/>
  <c r="C19" i="10"/>
  <c r="A19" i="10"/>
  <c r="B15" i="9"/>
  <c r="B16" i="9"/>
  <c r="B17" i="9"/>
  <c r="B18" i="9"/>
  <c r="B19" i="9"/>
  <c r="B20" i="9"/>
  <c r="B21" i="9"/>
  <c r="B22" i="9"/>
  <c r="C22" i="9"/>
  <c r="F22" i="9"/>
  <c r="F22" i="7"/>
  <c r="A22" i="9"/>
  <c r="C21" i="9"/>
  <c r="F21" i="9"/>
  <c r="F21" i="7"/>
  <c r="A21" i="9"/>
  <c r="C20" i="9"/>
  <c r="F20" i="9"/>
  <c r="F20" i="7"/>
  <c r="A20" i="9"/>
  <c r="C19" i="9"/>
  <c r="F19" i="9"/>
  <c r="F19" i="7"/>
  <c r="A19" i="9"/>
  <c r="H13" i="7"/>
  <c r="I13" i="7"/>
  <c r="J13" i="7"/>
  <c r="K13" i="7"/>
  <c r="L13" i="7"/>
  <c r="M13" i="7"/>
  <c r="N13" i="7"/>
  <c r="O13" i="7"/>
  <c r="P13" i="7"/>
  <c r="Q13" i="7"/>
  <c r="R13" i="7"/>
  <c r="S13" i="7"/>
  <c r="T13" i="7"/>
  <c r="U13" i="7"/>
  <c r="V13" i="7"/>
  <c r="W13" i="7"/>
  <c r="X13" i="7"/>
  <c r="Y13" i="7"/>
  <c r="Y22" i="7" a="1"/>
  <c r="Y22" i="7"/>
  <c r="X22" i="7" a="1"/>
  <c r="X22" i="7"/>
  <c r="W22" i="7" a="1"/>
  <c r="W22" i="7"/>
  <c r="V22" i="7" a="1"/>
  <c r="V22" i="7"/>
  <c r="U22" i="7" a="1"/>
  <c r="U22" i="7"/>
  <c r="T22" i="7" a="1"/>
  <c r="T22" i="7"/>
  <c r="S22" i="7" a="1"/>
  <c r="S22" i="7"/>
  <c r="R22" i="7" a="1"/>
  <c r="R22" i="7"/>
  <c r="Q22" i="7" a="1"/>
  <c r="Q22" i="7"/>
  <c r="P22" i="7" a="1"/>
  <c r="P22" i="7"/>
  <c r="O22" i="7" a="1"/>
  <c r="O22" i="7"/>
  <c r="N22" i="7" a="1"/>
  <c r="N22" i="7"/>
  <c r="M22" i="7" a="1"/>
  <c r="M22" i="7"/>
  <c r="L22" i="7" a="1"/>
  <c r="L22" i="7"/>
  <c r="K22" i="7" a="1"/>
  <c r="K22" i="7"/>
  <c r="J22" i="7" a="1"/>
  <c r="J22" i="7"/>
  <c r="I22" i="7" a="1"/>
  <c r="I22" i="7"/>
  <c r="H22" i="7" a="1"/>
  <c r="H22" i="7"/>
  <c r="F15" i="7" a="1"/>
  <c r="F15" i="7"/>
  <c r="F16" i="7"/>
  <c r="F17" i="7"/>
  <c r="F18" i="7"/>
  <c r="F23" i="7"/>
  <c r="F24" i="7"/>
  <c r="F25" i="7"/>
  <c r="F14" i="7"/>
  <c r="A22" i="7"/>
  <c r="G22" i="7"/>
  <c r="E13" i="7"/>
  <c r="E22" i="7" a="1"/>
  <c r="E22" i="7"/>
  <c r="B22" i="7"/>
  <c r="Y21" i="7" a="1"/>
  <c r="Y21" i="7"/>
  <c r="X21" i="7" a="1"/>
  <c r="X21" i="7"/>
  <c r="W21" i="7" a="1"/>
  <c r="W21" i="7"/>
  <c r="V21" i="7" a="1"/>
  <c r="V21" i="7"/>
  <c r="U21" i="7" a="1"/>
  <c r="U21" i="7"/>
  <c r="T21" i="7" a="1"/>
  <c r="T21" i="7"/>
  <c r="S21" i="7" a="1"/>
  <c r="S21" i="7"/>
  <c r="R21" i="7" a="1"/>
  <c r="R21" i="7"/>
  <c r="Q21" i="7" a="1"/>
  <c r="Q21" i="7"/>
  <c r="P21" i="7" a="1"/>
  <c r="P21" i="7"/>
  <c r="O21" i="7" a="1"/>
  <c r="O21" i="7"/>
  <c r="N21" i="7" a="1"/>
  <c r="N21" i="7"/>
  <c r="M21" i="7" a="1"/>
  <c r="M21" i="7"/>
  <c r="L21" i="7" a="1"/>
  <c r="L21" i="7"/>
  <c r="K21" i="7" a="1"/>
  <c r="K21" i="7"/>
  <c r="J21" i="7" a="1"/>
  <c r="J21" i="7"/>
  <c r="I21" i="7" a="1"/>
  <c r="I21" i="7"/>
  <c r="H21" i="7" a="1"/>
  <c r="H21" i="7"/>
  <c r="A21" i="7"/>
  <c r="G21" i="7"/>
  <c r="E21" i="7" a="1"/>
  <c r="E21" i="7"/>
  <c r="B21" i="7"/>
  <c r="Y20" i="7" a="1"/>
  <c r="Y20" i="7"/>
  <c r="X20" i="7" a="1"/>
  <c r="X20" i="7"/>
  <c r="W20" i="7" a="1"/>
  <c r="W20" i="7"/>
  <c r="V20" i="7" a="1"/>
  <c r="V20" i="7"/>
  <c r="U20" i="7" a="1"/>
  <c r="U20" i="7"/>
  <c r="T20" i="7" a="1"/>
  <c r="T20" i="7"/>
  <c r="S20" i="7" a="1"/>
  <c r="S20" i="7"/>
  <c r="R20" i="7" a="1"/>
  <c r="R20" i="7"/>
  <c r="Q20" i="7" a="1"/>
  <c r="Q20" i="7"/>
  <c r="P20" i="7" a="1"/>
  <c r="P20" i="7"/>
  <c r="O20" i="7" a="1"/>
  <c r="O20" i="7"/>
  <c r="N20" i="7" a="1"/>
  <c r="N20" i="7"/>
  <c r="M20" i="7" a="1"/>
  <c r="M20" i="7"/>
  <c r="L20" i="7" a="1"/>
  <c r="L20" i="7"/>
  <c r="K20" i="7" a="1"/>
  <c r="K20" i="7"/>
  <c r="J20" i="7" a="1"/>
  <c r="J20" i="7"/>
  <c r="I20" i="7" a="1"/>
  <c r="I20" i="7"/>
  <c r="H20" i="7" a="1"/>
  <c r="H20" i="7"/>
  <c r="A20" i="7"/>
  <c r="G20" i="7"/>
  <c r="E20" i="7" a="1"/>
  <c r="E20" i="7"/>
  <c r="B20" i="7"/>
  <c r="Y19" i="7" a="1"/>
  <c r="Y19" i="7"/>
  <c r="X19" i="7" a="1"/>
  <c r="X19" i="7"/>
  <c r="W19" i="7" a="1"/>
  <c r="W19" i="7"/>
  <c r="V19" i="7" a="1"/>
  <c r="V19" i="7"/>
  <c r="U19" i="7" a="1"/>
  <c r="U19" i="7"/>
  <c r="T19" i="7" a="1"/>
  <c r="T19" i="7"/>
  <c r="S19" i="7" a="1"/>
  <c r="S19" i="7"/>
  <c r="R19" i="7" a="1"/>
  <c r="R19" i="7"/>
  <c r="Q19" i="7" a="1"/>
  <c r="Q19" i="7"/>
  <c r="P19" i="7" a="1"/>
  <c r="P19" i="7"/>
  <c r="O19" i="7" a="1"/>
  <c r="O19" i="7"/>
  <c r="N19" i="7" a="1"/>
  <c r="N19" i="7"/>
  <c r="M19" i="7" a="1"/>
  <c r="M19" i="7"/>
  <c r="L19" i="7" a="1"/>
  <c r="L19" i="7"/>
  <c r="K19" i="7" a="1"/>
  <c r="K19" i="7"/>
  <c r="J19" i="7" a="1"/>
  <c r="J19" i="7"/>
  <c r="I19" i="7" a="1"/>
  <c r="I19" i="7"/>
  <c r="H19" i="7" a="1"/>
  <c r="H19" i="7"/>
  <c r="A19" i="7"/>
  <c r="G19" i="7"/>
  <c r="E19" i="7" a="1"/>
  <c r="E19" i="7"/>
  <c r="B19" i="7"/>
  <c r="B23" i="10"/>
  <c r="B24" i="10"/>
  <c r="B25" i="10"/>
  <c r="F89" i="6"/>
  <c r="N90" i="6"/>
  <c r="C25" i="10"/>
  <c r="A25" i="10"/>
  <c r="F87" i="6"/>
  <c r="N88" i="6"/>
  <c r="C24" i="10"/>
  <c r="A24" i="10"/>
  <c r="B23" i="9"/>
  <c r="B24" i="9"/>
  <c r="B25" i="9"/>
  <c r="C25" i="9"/>
  <c r="F25" i="9"/>
  <c r="A25" i="9"/>
  <c r="C24" i="9"/>
  <c r="F24" i="9"/>
  <c r="A24" i="9"/>
  <c r="Y25" i="7" a="1"/>
  <c r="Y25" i="7"/>
  <c r="X25" i="7" a="1"/>
  <c r="X25" i="7"/>
  <c r="W25" i="7" a="1"/>
  <c r="W25" i="7"/>
  <c r="V25" i="7" a="1"/>
  <c r="V25" i="7"/>
  <c r="U25" i="7" a="1"/>
  <c r="U25" i="7"/>
  <c r="T25" i="7" a="1"/>
  <c r="T25" i="7"/>
  <c r="S25" i="7" a="1"/>
  <c r="S25" i="7"/>
  <c r="R25" i="7" a="1"/>
  <c r="R25" i="7"/>
  <c r="Q25" i="7" a="1"/>
  <c r="Q25" i="7"/>
  <c r="P25" i="7" a="1"/>
  <c r="P25" i="7"/>
  <c r="O25" i="7" a="1"/>
  <c r="O25" i="7"/>
  <c r="N25" i="7" a="1"/>
  <c r="N25" i="7"/>
  <c r="M25" i="7" a="1"/>
  <c r="M25" i="7"/>
  <c r="L25" i="7" a="1"/>
  <c r="L25" i="7"/>
  <c r="K25" i="7" a="1"/>
  <c r="K25" i="7"/>
  <c r="J25" i="7" a="1"/>
  <c r="J25" i="7"/>
  <c r="I25" i="7" a="1"/>
  <c r="I25" i="7"/>
  <c r="H25" i="7" a="1"/>
  <c r="H25" i="7"/>
  <c r="A25" i="7"/>
  <c r="G25" i="7"/>
  <c r="E25" i="7" a="1"/>
  <c r="E25" i="7"/>
  <c r="B25" i="7"/>
  <c r="Y24" i="7" a="1"/>
  <c r="Y24" i="7"/>
  <c r="X24" i="7" a="1"/>
  <c r="X24" i="7"/>
  <c r="W24" i="7" a="1"/>
  <c r="W24" i="7"/>
  <c r="V24" i="7" a="1"/>
  <c r="V24" i="7"/>
  <c r="U24" i="7" a="1"/>
  <c r="U24" i="7"/>
  <c r="T24" i="7" a="1"/>
  <c r="T24" i="7"/>
  <c r="S24" i="7" a="1"/>
  <c r="S24" i="7"/>
  <c r="R24" i="7" a="1"/>
  <c r="R24" i="7"/>
  <c r="Q24" i="7" a="1"/>
  <c r="Q24" i="7"/>
  <c r="P24" i="7" a="1"/>
  <c r="P24" i="7"/>
  <c r="O24" i="7" a="1"/>
  <c r="O24" i="7"/>
  <c r="N24" i="7" a="1"/>
  <c r="N24" i="7"/>
  <c r="M24" i="7" a="1"/>
  <c r="M24" i="7"/>
  <c r="L24" i="7" a="1"/>
  <c r="L24" i="7"/>
  <c r="K24" i="7" a="1"/>
  <c r="K24" i="7"/>
  <c r="J24" i="7" a="1"/>
  <c r="J24" i="7"/>
  <c r="I24" i="7" a="1"/>
  <c r="I24" i="7"/>
  <c r="H24" i="7" a="1"/>
  <c r="H24" i="7"/>
  <c r="A24" i="7"/>
  <c r="G24" i="7"/>
  <c r="E24" i="7" a="1"/>
  <c r="E24" i="7"/>
  <c r="B24" i="7"/>
  <c r="C1" i="7" a="1"/>
  <c r="C1" i="7"/>
  <c r="L14" i="6"/>
  <c r="D14" i="6"/>
  <c r="M14" i="6"/>
  <c r="H14" i="6" a="1"/>
  <c r="H14" i="6"/>
  <c r="H12" i="10"/>
  <c r="I12" i="10"/>
  <c r="J12" i="10"/>
  <c r="K12" i="10"/>
  <c r="L12" i="10"/>
  <c r="M12" i="10"/>
  <c r="N12" i="10"/>
  <c r="O12" i="10"/>
  <c r="P12" i="10"/>
  <c r="Q12" i="10"/>
  <c r="R12" i="10"/>
  <c r="S12" i="10"/>
  <c r="T12" i="10"/>
  <c r="U12" i="10"/>
  <c r="V12" i="10"/>
  <c r="W12" i="10"/>
  <c r="X12" i="10"/>
  <c r="Y12" i="10"/>
  <c r="Z12" i="10"/>
  <c r="AA12" i="10"/>
  <c r="AB12" i="10"/>
  <c r="AC12" i="10"/>
  <c r="AD12" i="10"/>
  <c r="AE12" i="10"/>
  <c r="AF12" i="10"/>
  <c r="C14" i="13"/>
  <c r="E14" i="13"/>
  <c r="A14" i="13"/>
  <c r="B14" i="13"/>
  <c r="AH14" i="13"/>
  <c r="AO14" i="13"/>
  <c r="O14" i="13"/>
  <c r="O19" i="13"/>
  <c r="D51" i="2" a="1"/>
  <c r="D51" i="2"/>
  <c r="D52" i="2" a="1"/>
  <c r="D52" i="2"/>
  <c r="D53" i="2" a="1"/>
  <c r="D54" i="2" a="1"/>
  <c r="D53" i="2"/>
  <c r="D54" i="2"/>
  <c r="D50" i="2"/>
  <c r="A8" i="9"/>
  <c r="A10" i="9"/>
  <c r="G12" i="9"/>
  <c r="H12" i="9"/>
  <c r="I12" i="9"/>
  <c r="J12" i="9"/>
  <c r="K12" i="9"/>
  <c r="L12" i="9"/>
  <c r="M12" i="9"/>
  <c r="N12" i="9"/>
  <c r="O12" i="9"/>
  <c r="P12" i="9"/>
  <c r="Q12" i="9"/>
  <c r="R12" i="9"/>
  <c r="S12" i="9"/>
  <c r="T12" i="9"/>
  <c r="U12" i="9"/>
  <c r="V12" i="9"/>
  <c r="W12" i="9"/>
  <c r="X12" i="9"/>
  <c r="Y12" i="9"/>
  <c r="Z12" i="9"/>
  <c r="AA12" i="9"/>
  <c r="AB12" i="9"/>
  <c r="AC12" i="9"/>
  <c r="AD12" i="9"/>
  <c r="AE12" i="9"/>
  <c r="B7" i="9" a="1"/>
  <c r="B7" i="9"/>
  <c r="C15" i="9"/>
  <c r="F15" i="9"/>
  <c r="F17" i="6"/>
  <c r="N19" i="6"/>
  <c r="C16" i="9"/>
  <c r="F16" i="9"/>
  <c r="F39" i="6"/>
  <c r="N41" i="6"/>
  <c r="C17" i="9"/>
  <c r="F17" i="9"/>
  <c r="F61" i="6"/>
  <c r="N63" i="6"/>
  <c r="C18" i="9"/>
  <c r="F18" i="9"/>
  <c r="D8" i="9"/>
  <c r="B15" i="7"/>
  <c r="B16" i="7"/>
  <c r="B17" i="7"/>
  <c r="B18" i="7"/>
  <c r="F58" i="8"/>
  <c r="AM63" i="6"/>
  <c r="AN63" i="6"/>
  <c r="AO63" i="6"/>
  <c r="AP63" i="6"/>
  <c r="AQ63" i="6"/>
  <c r="AR63" i="6"/>
  <c r="AS63" i="6"/>
  <c r="AT63" i="6"/>
  <c r="AU63" i="6"/>
  <c r="AV63" i="6"/>
  <c r="AM64" i="6"/>
  <c r="AN64" i="6"/>
  <c r="AO64" i="6"/>
  <c r="AP64" i="6"/>
  <c r="AQ64" i="6"/>
  <c r="AR64" i="6"/>
  <c r="AS64" i="6"/>
  <c r="AT64" i="6"/>
  <c r="AU64" i="6"/>
  <c r="AV64" i="6"/>
  <c r="AM65" i="6"/>
  <c r="AN65" i="6"/>
  <c r="AO65" i="6"/>
  <c r="AP65" i="6"/>
  <c r="AQ65" i="6"/>
  <c r="AR65" i="6"/>
  <c r="AS65" i="6"/>
  <c r="AT65" i="6"/>
  <c r="AU65" i="6"/>
  <c r="AV65" i="6"/>
  <c r="H18" i="7" a="1"/>
  <c r="H18" i="7"/>
  <c r="I18" i="7" a="1"/>
  <c r="I18" i="7"/>
  <c r="J18" i="7" a="1"/>
  <c r="K18" i="7" a="1"/>
  <c r="L18" i="7" a="1"/>
  <c r="M18" i="7" a="1"/>
  <c r="N18" i="7" a="1"/>
  <c r="O18" i="7" a="1"/>
  <c r="P18" i="7" a="1"/>
  <c r="Q18" i="7" a="1"/>
  <c r="R18" i="7" a="1"/>
  <c r="S18" i="7" a="1"/>
  <c r="T18" i="7" a="1"/>
  <c r="U18" i="7" a="1"/>
  <c r="V18" i="7" a="1"/>
  <c r="W18" i="7" a="1"/>
  <c r="X18" i="7" a="1"/>
  <c r="Y18" i="7" a="1"/>
  <c r="J18" i="7"/>
  <c r="K18" i="7"/>
  <c r="L18" i="7"/>
  <c r="M18" i="7"/>
  <c r="N18" i="7"/>
  <c r="O18" i="7"/>
  <c r="P18" i="7"/>
  <c r="Q18" i="7"/>
  <c r="R18" i="7"/>
  <c r="S18" i="7"/>
  <c r="T18" i="7"/>
  <c r="U18" i="7"/>
  <c r="V18" i="7"/>
  <c r="W18" i="7"/>
  <c r="X18" i="7"/>
  <c r="Y18" i="7"/>
  <c r="AF58" i="8"/>
  <c r="F14" i="8" a="1"/>
  <c r="F14" i="8"/>
  <c r="F15" i="8"/>
  <c r="S14" i="8"/>
  <c r="M14" i="8"/>
  <c r="S16" i="8"/>
  <c r="F17" i="8" a="1"/>
  <c r="F17" i="8"/>
  <c r="F18" i="8"/>
  <c r="M17" i="8"/>
  <c r="F20" i="8" a="1"/>
  <c r="F20" i="8"/>
  <c r="F21" i="8"/>
  <c r="M20" i="8"/>
  <c r="F23" i="8" a="1"/>
  <c r="F23" i="8"/>
  <c r="F24" i="8"/>
  <c r="M23" i="8"/>
  <c r="N14" i="8"/>
  <c r="R14" i="8"/>
  <c r="S17" i="8"/>
  <c r="S19" i="8"/>
  <c r="N17" i="8"/>
  <c r="O17" i="8"/>
  <c r="R17" i="8"/>
  <c r="AT17" i="6"/>
  <c r="AU17" i="6"/>
  <c r="AV17" i="6"/>
  <c r="AT18" i="6"/>
  <c r="AU18" i="6"/>
  <c r="AV18" i="6"/>
  <c r="AM19" i="6"/>
  <c r="AN19" i="6"/>
  <c r="AO19" i="6"/>
  <c r="AP19" i="6"/>
  <c r="AQ19" i="6"/>
  <c r="AR19" i="6"/>
  <c r="AS19" i="6"/>
  <c r="AT19" i="6"/>
  <c r="AU19" i="6"/>
  <c r="AV19" i="6"/>
  <c r="AM20" i="6"/>
  <c r="AN20" i="6"/>
  <c r="AO20" i="6"/>
  <c r="AP20" i="6"/>
  <c r="AQ20" i="6"/>
  <c r="AR20" i="6"/>
  <c r="AS20" i="6"/>
  <c r="AT20" i="6"/>
  <c r="AU20" i="6"/>
  <c r="AV20" i="6"/>
  <c r="AM21" i="6"/>
  <c r="AN21" i="6"/>
  <c r="AO21" i="6"/>
  <c r="AP21" i="6"/>
  <c r="AQ21" i="6"/>
  <c r="AR21" i="6"/>
  <c r="AS21" i="6"/>
  <c r="AT21" i="6"/>
  <c r="AU21" i="6"/>
  <c r="AV21" i="6"/>
  <c r="AM22" i="6"/>
  <c r="AN22" i="6"/>
  <c r="AO22" i="6"/>
  <c r="AP22" i="6"/>
  <c r="AQ22" i="6"/>
  <c r="AR22" i="6"/>
  <c r="AS22" i="6"/>
  <c r="AT22" i="6"/>
  <c r="AU22" i="6"/>
  <c r="AV22" i="6"/>
  <c r="AM23" i="6"/>
  <c r="AN23" i="6"/>
  <c r="AO23" i="6"/>
  <c r="AP23" i="6"/>
  <c r="AQ23" i="6"/>
  <c r="AR23" i="6"/>
  <c r="AS23" i="6"/>
  <c r="AT23" i="6"/>
  <c r="AU23" i="6"/>
  <c r="AV23" i="6"/>
  <c r="AM24" i="6"/>
  <c r="AN24" i="6"/>
  <c r="AO24" i="6"/>
  <c r="AP24" i="6"/>
  <c r="AQ24" i="6"/>
  <c r="AR24" i="6"/>
  <c r="AS24" i="6"/>
  <c r="AT24" i="6"/>
  <c r="AU24" i="6"/>
  <c r="AV24" i="6"/>
  <c r="AM25" i="6"/>
  <c r="AN25" i="6"/>
  <c r="AO25" i="6"/>
  <c r="AP25" i="6"/>
  <c r="AQ25" i="6"/>
  <c r="AR25" i="6"/>
  <c r="AS25" i="6"/>
  <c r="AT25" i="6"/>
  <c r="AU25" i="6"/>
  <c r="AV25" i="6"/>
  <c r="AM26" i="6"/>
  <c r="AN26" i="6"/>
  <c r="AO26" i="6"/>
  <c r="AP26" i="6"/>
  <c r="AQ26" i="6"/>
  <c r="AR26" i="6"/>
  <c r="AS26" i="6"/>
  <c r="AT26" i="6"/>
  <c r="AU26" i="6"/>
  <c r="AV26" i="6"/>
  <c r="AM27" i="6"/>
  <c r="AN27" i="6"/>
  <c r="AO27" i="6"/>
  <c r="AP27" i="6"/>
  <c r="AQ27" i="6"/>
  <c r="AR27" i="6"/>
  <c r="AS27" i="6"/>
  <c r="AT27" i="6"/>
  <c r="AU27" i="6"/>
  <c r="AV27" i="6"/>
  <c r="AM28" i="6"/>
  <c r="AN28" i="6"/>
  <c r="AO28" i="6"/>
  <c r="AP28" i="6"/>
  <c r="AQ28" i="6"/>
  <c r="AR28" i="6"/>
  <c r="AS28" i="6"/>
  <c r="AT28" i="6"/>
  <c r="AU28" i="6"/>
  <c r="AV28" i="6"/>
  <c r="AM29" i="6"/>
  <c r="AN29" i="6"/>
  <c r="AO29" i="6"/>
  <c r="AP29" i="6"/>
  <c r="AQ29" i="6"/>
  <c r="AR29" i="6"/>
  <c r="AS29" i="6"/>
  <c r="AT29" i="6"/>
  <c r="AU29" i="6"/>
  <c r="AV29" i="6"/>
  <c r="AM30" i="6"/>
  <c r="AN30" i="6"/>
  <c r="AO30" i="6"/>
  <c r="AP30" i="6"/>
  <c r="AQ30" i="6"/>
  <c r="AR30" i="6"/>
  <c r="AS30" i="6"/>
  <c r="AT30" i="6"/>
  <c r="AU30" i="6"/>
  <c r="AV30" i="6"/>
  <c r="AM31" i="6"/>
  <c r="AN31" i="6"/>
  <c r="AO31" i="6"/>
  <c r="AP31" i="6"/>
  <c r="AQ31" i="6"/>
  <c r="AR31" i="6"/>
  <c r="AS31" i="6"/>
  <c r="AT31" i="6"/>
  <c r="AU31" i="6"/>
  <c r="AV31" i="6"/>
  <c r="AM32" i="6"/>
  <c r="AN32" i="6"/>
  <c r="AO32" i="6"/>
  <c r="AP32" i="6"/>
  <c r="AQ32" i="6"/>
  <c r="AR32" i="6"/>
  <c r="AS32" i="6"/>
  <c r="AT32" i="6"/>
  <c r="AU32" i="6"/>
  <c r="AV32" i="6"/>
  <c r="AM33" i="6"/>
  <c r="AN33" i="6"/>
  <c r="AO33" i="6"/>
  <c r="AP33" i="6"/>
  <c r="AQ33" i="6"/>
  <c r="AR33" i="6"/>
  <c r="AS33" i="6"/>
  <c r="AT33" i="6"/>
  <c r="AU33" i="6"/>
  <c r="AV33" i="6"/>
  <c r="AM34" i="6"/>
  <c r="AN34" i="6"/>
  <c r="AO34" i="6"/>
  <c r="AP34" i="6"/>
  <c r="AQ34" i="6"/>
  <c r="AR34" i="6"/>
  <c r="AS34" i="6"/>
  <c r="AT34" i="6"/>
  <c r="AU34" i="6"/>
  <c r="AV34" i="6"/>
  <c r="AM35" i="6"/>
  <c r="AN35" i="6"/>
  <c r="AO35" i="6"/>
  <c r="AP35" i="6"/>
  <c r="AQ35" i="6"/>
  <c r="AR35" i="6"/>
  <c r="AS35" i="6"/>
  <c r="AT35" i="6"/>
  <c r="AU35" i="6"/>
  <c r="AV35" i="6"/>
  <c r="AM36" i="6"/>
  <c r="AN36" i="6"/>
  <c r="AO36" i="6"/>
  <c r="AP36" i="6"/>
  <c r="AQ36" i="6"/>
  <c r="AR36" i="6"/>
  <c r="AS36" i="6"/>
  <c r="AT36" i="6"/>
  <c r="AU36" i="6"/>
  <c r="AV36" i="6"/>
  <c r="AM37" i="6"/>
  <c r="AN37" i="6"/>
  <c r="AO37" i="6"/>
  <c r="AP37" i="6"/>
  <c r="AQ37" i="6"/>
  <c r="AR37" i="6"/>
  <c r="AS37" i="6"/>
  <c r="AT37" i="6"/>
  <c r="AU37" i="6"/>
  <c r="AV37" i="6"/>
  <c r="AM38" i="6"/>
  <c r="AN38" i="6"/>
  <c r="AO38" i="6"/>
  <c r="AP38" i="6"/>
  <c r="AQ38" i="6"/>
  <c r="AR38" i="6"/>
  <c r="AS38" i="6"/>
  <c r="AT38" i="6"/>
  <c r="AU38" i="6"/>
  <c r="AV38" i="6"/>
  <c r="F19" i="8"/>
  <c r="AF19" i="8" a="1"/>
  <c r="S20" i="8"/>
  <c r="S22" i="8"/>
  <c r="S23" i="8"/>
  <c r="S25" i="8"/>
  <c r="AF19" i="8"/>
  <c r="AF17" i="8" a="1"/>
  <c r="N20" i="8"/>
  <c r="O20" i="8"/>
  <c r="R20" i="8"/>
  <c r="AT39" i="6"/>
  <c r="AU39" i="6"/>
  <c r="AV39" i="6"/>
  <c r="AM41" i="6"/>
  <c r="AN41" i="6"/>
  <c r="AO41" i="6"/>
  <c r="AP41" i="6"/>
  <c r="AQ41" i="6"/>
  <c r="AR41" i="6"/>
  <c r="AS41" i="6"/>
  <c r="AT41" i="6"/>
  <c r="AU41" i="6"/>
  <c r="AV41" i="6"/>
  <c r="AM42" i="6"/>
  <c r="AN42" i="6"/>
  <c r="AO42" i="6"/>
  <c r="AP42" i="6"/>
  <c r="AQ42" i="6"/>
  <c r="AR42" i="6"/>
  <c r="AS42" i="6"/>
  <c r="AT42" i="6"/>
  <c r="AU42" i="6"/>
  <c r="AV42" i="6"/>
  <c r="AM43" i="6"/>
  <c r="AN43" i="6"/>
  <c r="AO43" i="6"/>
  <c r="AP43" i="6"/>
  <c r="AQ43" i="6"/>
  <c r="AR43" i="6"/>
  <c r="AS43" i="6"/>
  <c r="AT43" i="6"/>
  <c r="AU43" i="6"/>
  <c r="AV43" i="6"/>
  <c r="AT44" i="6"/>
  <c r="AU44" i="6"/>
  <c r="AV44" i="6"/>
  <c r="AM45" i="6"/>
  <c r="AN45" i="6"/>
  <c r="AO45" i="6"/>
  <c r="AP45" i="6"/>
  <c r="AQ45" i="6"/>
  <c r="AR45" i="6"/>
  <c r="AS45" i="6"/>
  <c r="AT45" i="6"/>
  <c r="AU45" i="6"/>
  <c r="AV45" i="6"/>
  <c r="AM46" i="6"/>
  <c r="AN46" i="6"/>
  <c r="AO46" i="6"/>
  <c r="AP46" i="6"/>
  <c r="AQ46" i="6"/>
  <c r="AR46" i="6"/>
  <c r="AS46" i="6"/>
  <c r="AT46" i="6"/>
  <c r="AU46" i="6"/>
  <c r="AV46" i="6"/>
  <c r="AM47" i="6"/>
  <c r="AN47" i="6"/>
  <c r="AO47" i="6"/>
  <c r="AP47" i="6"/>
  <c r="AQ47" i="6"/>
  <c r="AR47" i="6"/>
  <c r="AS47" i="6"/>
  <c r="AT47" i="6"/>
  <c r="AU47" i="6"/>
  <c r="AV47" i="6"/>
  <c r="AM48" i="6"/>
  <c r="AN48" i="6"/>
  <c r="AO48" i="6"/>
  <c r="AP48" i="6"/>
  <c r="AQ48" i="6"/>
  <c r="AR48" i="6"/>
  <c r="AS48" i="6"/>
  <c r="AT48" i="6"/>
  <c r="AU48" i="6"/>
  <c r="AV48" i="6"/>
  <c r="AM49" i="6"/>
  <c r="AN49" i="6"/>
  <c r="AO49" i="6"/>
  <c r="AP49" i="6"/>
  <c r="AQ49" i="6"/>
  <c r="AR49" i="6"/>
  <c r="AS49" i="6"/>
  <c r="AT49" i="6"/>
  <c r="AU49" i="6"/>
  <c r="AV49" i="6"/>
  <c r="AT50" i="6"/>
  <c r="AU50" i="6"/>
  <c r="AV50" i="6"/>
  <c r="AM51" i="6"/>
  <c r="AN51" i="6"/>
  <c r="AO51" i="6"/>
  <c r="AP51" i="6"/>
  <c r="AQ51" i="6"/>
  <c r="AR51" i="6"/>
  <c r="AS51" i="6"/>
  <c r="AT51" i="6"/>
  <c r="AU51" i="6"/>
  <c r="AV51" i="6"/>
  <c r="AM52" i="6"/>
  <c r="AN52" i="6"/>
  <c r="AO52" i="6"/>
  <c r="AP52" i="6"/>
  <c r="AQ52" i="6"/>
  <c r="AR52" i="6"/>
  <c r="AS52" i="6"/>
  <c r="AT52" i="6"/>
  <c r="AU52" i="6"/>
  <c r="AV52" i="6"/>
  <c r="AM53" i="6"/>
  <c r="AN53" i="6"/>
  <c r="AO53" i="6"/>
  <c r="AP53" i="6"/>
  <c r="AQ53" i="6"/>
  <c r="AR53" i="6"/>
  <c r="AS53" i="6"/>
  <c r="AT53" i="6"/>
  <c r="AU53" i="6"/>
  <c r="AV53" i="6"/>
  <c r="AM54" i="6"/>
  <c r="AN54" i="6"/>
  <c r="AO54" i="6"/>
  <c r="AP54" i="6"/>
  <c r="AQ54" i="6"/>
  <c r="AR54" i="6"/>
  <c r="AS54" i="6"/>
  <c r="AT54" i="6"/>
  <c r="AU54" i="6"/>
  <c r="AV54" i="6"/>
  <c r="AT55" i="6"/>
  <c r="AU55" i="6"/>
  <c r="AV55" i="6"/>
  <c r="AM56" i="6"/>
  <c r="AN56" i="6"/>
  <c r="AO56" i="6"/>
  <c r="AP56" i="6"/>
  <c r="AQ56" i="6"/>
  <c r="AR56" i="6"/>
  <c r="AS56" i="6"/>
  <c r="AT56" i="6"/>
  <c r="AU56" i="6"/>
  <c r="AV56" i="6"/>
  <c r="AM57" i="6"/>
  <c r="AN57" i="6"/>
  <c r="AO57" i="6"/>
  <c r="AP57" i="6"/>
  <c r="AQ57" i="6"/>
  <c r="AR57" i="6"/>
  <c r="AS57" i="6"/>
  <c r="AT57" i="6"/>
  <c r="AU57" i="6"/>
  <c r="AV57" i="6"/>
  <c r="AM58" i="6"/>
  <c r="AN58" i="6"/>
  <c r="AO58" i="6"/>
  <c r="AP58" i="6"/>
  <c r="AQ58" i="6"/>
  <c r="AR58" i="6"/>
  <c r="AS58" i="6"/>
  <c r="AT58" i="6"/>
  <c r="AU58" i="6"/>
  <c r="AV58" i="6"/>
  <c r="AM59" i="6"/>
  <c r="AN59" i="6"/>
  <c r="AO59" i="6"/>
  <c r="AP59" i="6"/>
  <c r="AQ59" i="6"/>
  <c r="AR59" i="6"/>
  <c r="AS59" i="6"/>
  <c r="AT59" i="6"/>
  <c r="AU59" i="6"/>
  <c r="AV59" i="6"/>
  <c r="AM60" i="6"/>
  <c r="AN60" i="6"/>
  <c r="AO60" i="6"/>
  <c r="AP60" i="6"/>
  <c r="AQ60" i="6"/>
  <c r="AR60" i="6"/>
  <c r="AS60" i="6"/>
  <c r="AT60" i="6"/>
  <c r="AU60" i="6"/>
  <c r="AV60" i="6"/>
  <c r="F22" i="8"/>
  <c r="AF22" i="8" a="1"/>
  <c r="AF22" i="8"/>
  <c r="AF20" i="8" a="1"/>
  <c r="N23" i="8"/>
  <c r="O23" i="8"/>
  <c r="R23" i="8"/>
  <c r="AT61" i="6"/>
  <c r="AU61" i="6"/>
  <c r="AV61" i="6"/>
  <c r="F25" i="8"/>
  <c r="AF25" i="8" a="1"/>
  <c r="AF25" i="8"/>
  <c r="AF23" i="8" a="1"/>
  <c r="AF16" i="8" a="1"/>
  <c r="AF16" i="8"/>
  <c r="AE19" i="8" a="1"/>
  <c r="AE19" i="8"/>
  <c r="AE22" i="8" a="1"/>
  <c r="AE22" i="8"/>
  <c r="AE17" i="8" a="1"/>
  <c r="AE20" i="8" a="1"/>
  <c r="AE25" i="8" a="1"/>
  <c r="AE25" i="8"/>
  <c r="AE23" i="8" a="1"/>
  <c r="AE16" i="8" a="1"/>
  <c r="AE16" i="8"/>
  <c r="AD19" i="8" a="1"/>
  <c r="AD19" i="8"/>
  <c r="AD22" i="8" a="1"/>
  <c r="AD22" i="8"/>
  <c r="AD17" i="8" a="1"/>
  <c r="AD20" i="8" a="1"/>
  <c r="AD25" i="8" a="1"/>
  <c r="AD25" i="8"/>
  <c r="AD23" i="8" a="1"/>
  <c r="AD16" i="8" a="1"/>
  <c r="AD16" i="8"/>
  <c r="AC19" i="8" a="1"/>
  <c r="AC19" i="8"/>
  <c r="AC22" i="8" a="1"/>
  <c r="AC22" i="8"/>
  <c r="AC17" i="8" a="1"/>
  <c r="AC20" i="8" a="1"/>
  <c r="AC25" i="8" a="1"/>
  <c r="AC25" i="8"/>
  <c r="AC23" i="8" a="1"/>
  <c r="AC16" i="8" a="1"/>
  <c r="AC16" i="8"/>
  <c r="AB19" i="8" a="1"/>
  <c r="AB19" i="8"/>
  <c r="AB22" i="8" a="1"/>
  <c r="AB22" i="8"/>
  <c r="AB17" i="8" a="1"/>
  <c r="AB20" i="8" a="1"/>
  <c r="AB25" i="8" a="1"/>
  <c r="AB25" i="8"/>
  <c r="AB23" i="8" a="1"/>
  <c r="AB16" i="8" a="1"/>
  <c r="AB16" i="8"/>
  <c r="AA19" i="8" a="1"/>
  <c r="AA19" i="8"/>
  <c r="AA22" i="8" a="1"/>
  <c r="AA22" i="8"/>
  <c r="AA17" i="8" a="1"/>
  <c r="AA20" i="8" a="1"/>
  <c r="AA25" i="8" a="1"/>
  <c r="AA25" i="8"/>
  <c r="AA23" i="8" a="1"/>
  <c r="AA16" i="8" a="1"/>
  <c r="AA16" i="8"/>
  <c r="Z19" i="8" a="1"/>
  <c r="Z19" i="8"/>
  <c r="Z22" i="8" a="1"/>
  <c r="Z22" i="8"/>
  <c r="Z17" i="8" a="1"/>
  <c r="Z20" i="8" a="1"/>
  <c r="Z25" i="8" a="1"/>
  <c r="Z25" i="8"/>
  <c r="Z23" i="8" a="1"/>
  <c r="Z16" i="8" a="1"/>
  <c r="Z16" i="8"/>
  <c r="Y19" i="8" a="1"/>
  <c r="Y19" i="8"/>
  <c r="Y22" i="8" a="1"/>
  <c r="Y22" i="8"/>
  <c r="Y17" i="8" a="1"/>
  <c r="Y20" i="8" a="1"/>
  <c r="Y25" i="8" a="1"/>
  <c r="Y25" i="8"/>
  <c r="Y23" i="8" a="1"/>
  <c r="Y16" i="8" a="1"/>
  <c r="Y16" i="8"/>
  <c r="X19" i="8" a="1"/>
  <c r="X19" i="8"/>
  <c r="X22" i="8" a="1"/>
  <c r="X22" i="8"/>
  <c r="X17" i="8" a="1"/>
  <c r="X20" i="8" a="1"/>
  <c r="X25" i="8" a="1"/>
  <c r="X25" i="8"/>
  <c r="X23" i="8" a="1"/>
  <c r="X16" i="8" a="1"/>
  <c r="X16" i="8"/>
  <c r="W19" i="8" a="1"/>
  <c r="W19" i="8"/>
  <c r="W22" i="8" a="1"/>
  <c r="W22" i="8"/>
  <c r="W17" i="8" a="1"/>
  <c r="W20" i="8" a="1"/>
  <c r="W25" i="8" a="1"/>
  <c r="W25" i="8"/>
  <c r="W23" i="8" a="1"/>
  <c r="W16" i="8" a="1"/>
  <c r="W16" i="8"/>
  <c r="V19" i="8" a="1"/>
  <c r="V19" i="8"/>
  <c r="V22" i="8" a="1"/>
  <c r="V22" i="8"/>
  <c r="V17" i="8" a="1"/>
  <c r="V20" i="8" a="1"/>
  <c r="V25" i="8" a="1"/>
  <c r="V25" i="8"/>
  <c r="V23" i="8" a="1"/>
  <c r="V16" i="8" a="1"/>
  <c r="V16" i="8"/>
  <c r="U19" i="8" a="1"/>
  <c r="U19" i="8"/>
  <c r="U22" i="8" a="1"/>
  <c r="U22" i="8"/>
  <c r="U17" i="8" a="1"/>
  <c r="U20" i="8" a="1"/>
  <c r="U25" i="8" a="1"/>
  <c r="U25" i="8"/>
  <c r="U23" i="8" a="1"/>
  <c r="U16" i="8" a="1"/>
  <c r="U16" i="8"/>
  <c r="U57" i="8"/>
  <c r="V57" i="8"/>
  <c r="W57" i="8"/>
  <c r="X57" i="8"/>
  <c r="Y57" i="8"/>
  <c r="Z57" i="8"/>
  <c r="AA57" i="8"/>
  <c r="AB57" i="8"/>
  <c r="AC57" i="8"/>
  <c r="AD57" i="8"/>
  <c r="AE57" i="8"/>
  <c r="AF57" i="8"/>
  <c r="R48" i="8"/>
  <c r="AF53" i="8"/>
  <c r="AE58" i="8"/>
  <c r="AE53" i="8"/>
  <c r="AD58" i="8"/>
  <c r="AD53" i="8"/>
  <c r="AC58" i="8"/>
  <c r="AC53" i="8"/>
  <c r="AB58" i="8"/>
  <c r="AB53" i="8"/>
  <c r="AA58" i="8"/>
  <c r="AA53" i="8"/>
  <c r="Z58" i="8"/>
  <c r="Z53" i="8"/>
  <c r="Y58" i="8"/>
  <c r="Y53" i="8"/>
  <c r="X58" i="8"/>
  <c r="X53" i="8"/>
  <c r="W58" i="8"/>
  <c r="W53" i="8"/>
  <c r="V58" i="8"/>
  <c r="V53" i="8"/>
  <c r="U58" i="8"/>
  <c r="U53" i="8"/>
  <c r="R83" i="5"/>
  <c r="R81" i="5"/>
  <c r="I81" i="5"/>
  <c r="H81" i="5"/>
  <c r="L92" i="12" a="1"/>
  <c r="L92" i="12"/>
  <c r="O92" i="12" a="1"/>
  <c r="O92" i="12"/>
  <c r="Y92" i="12"/>
  <c r="X92" i="12" a="1"/>
  <c r="X92" i="12"/>
  <c r="W92" i="12" a="1"/>
  <c r="W92" i="12"/>
  <c r="V92" i="12" a="1"/>
  <c r="V92" i="12"/>
  <c r="U92" i="12"/>
  <c r="T92" i="12"/>
  <c r="J92" i="12" a="1"/>
  <c r="J92" i="12"/>
  <c r="M92" i="12" a="1"/>
  <c r="M92" i="12"/>
  <c r="N92" i="12"/>
  <c r="K92" i="12"/>
  <c r="H92" i="12" a="1"/>
  <c r="H92" i="12"/>
  <c r="G92" i="12" a="1"/>
  <c r="G92" i="12"/>
  <c r="F92" i="12" a="1"/>
  <c r="F92" i="12"/>
  <c r="R92" i="5" a="1"/>
  <c r="R92" i="5"/>
  <c r="E92" i="12"/>
  <c r="L92" i="5"/>
  <c r="I89" i="5"/>
  <c r="I90" i="5"/>
  <c r="I91" i="5"/>
  <c r="I92" i="5"/>
  <c r="O92" i="5"/>
  <c r="D92" i="12"/>
  <c r="C92" i="12"/>
  <c r="D92" i="5"/>
  <c r="B92" i="12"/>
  <c r="L91" i="12" a="1"/>
  <c r="L91" i="12"/>
  <c r="O91" i="12" a="1"/>
  <c r="O91" i="12"/>
  <c r="Y91" i="12"/>
  <c r="X91" i="12" a="1"/>
  <c r="X91" i="12"/>
  <c r="W91" i="12" a="1"/>
  <c r="W91" i="12"/>
  <c r="V91" i="12" a="1"/>
  <c r="V91" i="12"/>
  <c r="U91" i="12"/>
  <c r="T91" i="12"/>
  <c r="J91" i="12" a="1"/>
  <c r="J91" i="12"/>
  <c r="M91" i="12" a="1"/>
  <c r="M91" i="12"/>
  <c r="N91" i="12"/>
  <c r="K91" i="12"/>
  <c r="H91" i="12" a="1"/>
  <c r="H91" i="12"/>
  <c r="G91" i="12" a="1"/>
  <c r="G91" i="12"/>
  <c r="F91" i="12" a="1"/>
  <c r="F91" i="12"/>
  <c r="R91" i="5" a="1"/>
  <c r="R91" i="5"/>
  <c r="E91" i="12"/>
  <c r="L91" i="5"/>
  <c r="O91" i="5"/>
  <c r="D91" i="12"/>
  <c r="C91" i="12"/>
  <c r="D91" i="5"/>
  <c r="B91" i="12"/>
  <c r="L90" i="12" a="1"/>
  <c r="L90" i="12"/>
  <c r="O90" i="12" a="1"/>
  <c r="O90" i="12"/>
  <c r="Y90" i="12"/>
  <c r="X90" i="12" a="1"/>
  <c r="X90" i="12"/>
  <c r="W90" i="12" a="1"/>
  <c r="W90" i="12"/>
  <c r="V90" i="12" a="1"/>
  <c r="V90" i="12"/>
  <c r="U90" i="12"/>
  <c r="T90" i="12"/>
  <c r="J90" i="12" a="1"/>
  <c r="J90" i="12"/>
  <c r="M90" i="12" a="1"/>
  <c r="M90" i="12"/>
  <c r="N90" i="12"/>
  <c r="K90" i="12"/>
  <c r="H90" i="12" a="1"/>
  <c r="H90" i="12"/>
  <c r="G90" i="12" a="1"/>
  <c r="G90" i="12"/>
  <c r="F90" i="12" a="1"/>
  <c r="F90" i="12"/>
  <c r="R90" i="5" a="1"/>
  <c r="R90" i="5"/>
  <c r="E90" i="12"/>
  <c r="L90" i="5"/>
  <c r="O90" i="5"/>
  <c r="D90" i="12"/>
  <c r="C90" i="12"/>
  <c r="D90" i="5"/>
  <c r="B90" i="12"/>
  <c r="I89" i="12"/>
  <c r="AO89" i="12"/>
  <c r="O89" i="12" a="1"/>
  <c r="O89" i="12"/>
  <c r="Y89" i="12"/>
  <c r="X89" i="12" a="1"/>
  <c r="X89" i="12"/>
  <c r="W89" i="12" a="1"/>
  <c r="W89" i="12"/>
  <c r="V89" i="12" a="1"/>
  <c r="V89" i="12"/>
  <c r="U89" i="12"/>
  <c r="T89" i="12"/>
  <c r="M89" i="12" a="1"/>
  <c r="M89" i="12"/>
  <c r="N89" i="12"/>
  <c r="L89" i="12" a="1"/>
  <c r="L89" i="12"/>
  <c r="J89" i="12" a="1"/>
  <c r="J89" i="12"/>
  <c r="K89" i="12"/>
  <c r="H89" i="12" a="1"/>
  <c r="H89" i="12"/>
  <c r="G89" i="12" a="1"/>
  <c r="G89" i="12"/>
  <c r="F89" i="12" a="1"/>
  <c r="F89" i="12"/>
  <c r="AF89" i="5" a="1"/>
  <c r="AF89" i="5"/>
  <c r="E89" i="12"/>
  <c r="D89" i="12"/>
  <c r="C89" i="12"/>
  <c r="L88" i="12" a="1"/>
  <c r="L88" i="12"/>
  <c r="O88" i="12" a="1"/>
  <c r="O88" i="12"/>
  <c r="Y88" i="12"/>
  <c r="X88" i="12" a="1"/>
  <c r="X88" i="12"/>
  <c r="W88" i="12" a="1"/>
  <c r="W88" i="12"/>
  <c r="V88" i="12" a="1"/>
  <c r="V88" i="12"/>
  <c r="U88" i="12"/>
  <c r="T88" i="12"/>
  <c r="J88" i="12" a="1"/>
  <c r="J88" i="12"/>
  <c r="M88" i="12" a="1"/>
  <c r="M88" i="12"/>
  <c r="N88" i="12"/>
  <c r="K88" i="12"/>
  <c r="H88" i="12" a="1"/>
  <c r="H88" i="12"/>
  <c r="G88" i="12" a="1"/>
  <c r="G88" i="12"/>
  <c r="F88" i="12" a="1"/>
  <c r="F88" i="12"/>
  <c r="R88" i="5" a="1"/>
  <c r="R88" i="5"/>
  <c r="E88" i="12"/>
  <c r="L88" i="5"/>
  <c r="I87" i="5"/>
  <c r="I88" i="5"/>
  <c r="O88" i="5"/>
  <c r="D88" i="12"/>
  <c r="C88" i="12"/>
  <c r="D88" i="5"/>
  <c r="B88" i="12"/>
  <c r="I87" i="12"/>
  <c r="AO87" i="12"/>
  <c r="O87" i="12" a="1"/>
  <c r="O87" i="12"/>
  <c r="Y87" i="12"/>
  <c r="X87" i="12" a="1"/>
  <c r="X87" i="12"/>
  <c r="W87" i="12" a="1"/>
  <c r="W87" i="12"/>
  <c r="V87" i="12" a="1"/>
  <c r="V87" i="12"/>
  <c r="U87" i="12"/>
  <c r="T87" i="12"/>
  <c r="M87" i="12" a="1"/>
  <c r="M87" i="12"/>
  <c r="N87" i="12"/>
  <c r="L87" i="12" a="1"/>
  <c r="L87" i="12"/>
  <c r="J87" i="12" a="1"/>
  <c r="J87" i="12"/>
  <c r="K87" i="12"/>
  <c r="H87" i="12" a="1"/>
  <c r="H87" i="12"/>
  <c r="G87" i="12" a="1"/>
  <c r="G87" i="12"/>
  <c r="F87" i="12" a="1"/>
  <c r="F87" i="12"/>
  <c r="AF87" i="5" a="1"/>
  <c r="AF87" i="5"/>
  <c r="E87" i="12"/>
  <c r="D87" i="12"/>
  <c r="C87" i="12"/>
  <c r="L86" i="12" a="1"/>
  <c r="L86" i="12"/>
  <c r="O86" i="12" a="1"/>
  <c r="O86" i="12"/>
  <c r="Y86" i="12"/>
  <c r="X86" i="12" a="1"/>
  <c r="X86" i="12"/>
  <c r="W86" i="12" a="1"/>
  <c r="W86" i="12"/>
  <c r="V86" i="12" a="1"/>
  <c r="V86" i="12"/>
  <c r="U86" i="12"/>
  <c r="T86" i="12"/>
  <c r="J86" i="12" a="1"/>
  <c r="J86" i="12"/>
  <c r="M86" i="12" a="1"/>
  <c r="M86" i="12"/>
  <c r="N86" i="12"/>
  <c r="K86" i="12"/>
  <c r="H86" i="12" a="1"/>
  <c r="H86" i="12"/>
  <c r="G86" i="12" a="1"/>
  <c r="G86" i="12"/>
  <c r="F86" i="12" a="1"/>
  <c r="F86" i="12"/>
  <c r="R86" i="5" a="1"/>
  <c r="R86" i="5"/>
  <c r="E86" i="12"/>
  <c r="L86" i="5"/>
  <c r="I85" i="5"/>
  <c r="I86" i="5"/>
  <c r="O86" i="5"/>
  <c r="D86" i="12"/>
  <c r="C86" i="12"/>
  <c r="D86" i="5"/>
  <c r="B86" i="12"/>
  <c r="I85" i="12"/>
  <c r="AO85" i="12"/>
  <c r="O85" i="12" a="1"/>
  <c r="O85" i="12"/>
  <c r="Y85" i="12"/>
  <c r="X85" i="12" a="1"/>
  <c r="X85" i="12"/>
  <c r="W85" i="12" a="1"/>
  <c r="W85" i="12"/>
  <c r="V85" i="12" a="1"/>
  <c r="V85" i="12"/>
  <c r="U85" i="12"/>
  <c r="T85" i="12"/>
  <c r="M85" i="12" a="1"/>
  <c r="M85" i="12"/>
  <c r="N85" i="12"/>
  <c r="L85" i="12" a="1"/>
  <c r="L85" i="12"/>
  <c r="J85" i="12" a="1"/>
  <c r="J85" i="12"/>
  <c r="K85" i="12"/>
  <c r="H85" i="12" a="1"/>
  <c r="H85" i="12"/>
  <c r="G85" i="12" a="1"/>
  <c r="G85" i="12"/>
  <c r="F85" i="12" a="1"/>
  <c r="F85" i="12"/>
  <c r="AF85" i="5" a="1"/>
  <c r="AF85" i="5"/>
  <c r="E85" i="12"/>
  <c r="D85" i="12"/>
  <c r="C85" i="12"/>
  <c r="N92" i="6"/>
  <c r="T92" i="5"/>
  <c r="S92" i="5" a="1"/>
  <c r="S92" i="5"/>
  <c r="AN92" i="5" a="1"/>
  <c r="AN92" i="5"/>
  <c r="AC92" i="5" a="1"/>
  <c r="AC92" i="5"/>
  <c r="G92" i="6"/>
  <c r="F92" i="6"/>
  <c r="E92" i="6"/>
  <c r="C92" i="6"/>
  <c r="N91" i="6"/>
  <c r="T91" i="5"/>
  <c r="AN91" i="5" a="1"/>
  <c r="AN91" i="5"/>
  <c r="AC91" i="5" a="1"/>
  <c r="AC91" i="5"/>
  <c r="G91" i="6"/>
  <c r="F91" i="6"/>
  <c r="E91" i="6"/>
  <c r="C91" i="6"/>
  <c r="T90" i="5"/>
  <c r="S90" i="5" a="1"/>
  <c r="S90" i="5"/>
  <c r="AN90" i="5" a="1"/>
  <c r="AN90" i="5"/>
  <c r="AC90" i="5" a="1"/>
  <c r="AC90" i="5"/>
  <c r="G90" i="6"/>
  <c r="F90" i="6"/>
  <c r="E90" i="6"/>
  <c r="C90" i="6"/>
  <c r="N89" i="6"/>
  <c r="T89" i="5"/>
  <c r="S89" i="5" a="1"/>
  <c r="S89" i="5"/>
  <c r="AH89" i="5"/>
  <c r="AN89" i="5" a="1"/>
  <c r="AN89" i="5"/>
  <c r="AG89" i="5" a="1"/>
  <c r="AG89" i="5"/>
  <c r="AC89" i="5" a="1"/>
  <c r="AC89" i="5"/>
  <c r="G89" i="6"/>
  <c r="E89" i="6"/>
  <c r="C89" i="6"/>
  <c r="T88" i="5"/>
  <c r="S88" i="5" a="1"/>
  <c r="S88" i="5"/>
  <c r="AN88" i="5" a="1"/>
  <c r="AN88" i="5"/>
  <c r="AC88" i="5" a="1"/>
  <c r="AC88" i="5"/>
  <c r="G88" i="6"/>
  <c r="F88" i="6"/>
  <c r="E88" i="6"/>
  <c r="C88" i="6"/>
  <c r="N87" i="6"/>
  <c r="T87" i="5"/>
  <c r="S87" i="5" a="1"/>
  <c r="S87" i="5"/>
  <c r="AH87" i="5"/>
  <c r="AN87" i="5" a="1"/>
  <c r="AN87" i="5"/>
  <c r="AG87" i="5" a="1"/>
  <c r="AG87" i="5"/>
  <c r="AC87" i="5" a="1"/>
  <c r="AC87" i="5"/>
  <c r="G87" i="6"/>
  <c r="E87" i="6"/>
  <c r="C87" i="6"/>
  <c r="F85" i="6"/>
  <c r="N86" i="6"/>
  <c r="T86" i="5"/>
  <c r="AN86" i="5" a="1"/>
  <c r="AN86" i="5"/>
  <c r="AC86" i="5" a="1"/>
  <c r="AC86" i="5"/>
  <c r="G86" i="6"/>
  <c r="F86" i="6"/>
  <c r="E86" i="6"/>
  <c r="C86" i="6"/>
  <c r="N85" i="6"/>
  <c r="T85" i="5"/>
  <c r="S85" i="5" a="1"/>
  <c r="S85" i="5"/>
  <c r="AH85" i="5"/>
  <c r="AN85" i="5" a="1"/>
  <c r="AN85" i="5"/>
  <c r="AG85" i="5" a="1"/>
  <c r="AG85" i="5"/>
  <c r="AC85" i="5" a="1"/>
  <c r="AC85" i="5"/>
  <c r="G85" i="6"/>
  <c r="E85" i="6"/>
  <c r="C85" i="6"/>
  <c r="I82" i="5"/>
  <c r="I83" i="5"/>
  <c r="I84" i="5"/>
  <c r="H82" i="5"/>
  <c r="H83" i="5"/>
  <c r="H84" i="5"/>
  <c r="H85" i="5"/>
  <c r="H86" i="5"/>
  <c r="H87" i="5"/>
  <c r="H88" i="5"/>
  <c r="H89" i="5"/>
  <c r="H90" i="5"/>
  <c r="H91" i="5"/>
  <c r="H92" i="5"/>
  <c r="B89" i="5"/>
  <c r="B90" i="5"/>
  <c r="B91" i="5"/>
  <c r="B92" i="5"/>
  <c r="AM92" i="5"/>
  <c r="K92" i="5"/>
  <c r="J92" i="5"/>
  <c r="AM91" i="5"/>
  <c r="K91" i="5"/>
  <c r="J91" i="5"/>
  <c r="AM90" i="5"/>
  <c r="K90" i="5"/>
  <c r="J90" i="5"/>
  <c r="AM89" i="5"/>
  <c r="AE89" i="5" a="1"/>
  <c r="AE89" i="5"/>
  <c r="W89" i="5" a="1"/>
  <c r="W89" i="5"/>
  <c r="AM88" i="5"/>
  <c r="K88" i="5"/>
  <c r="J88" i="5"/>
  <c r="AM87" i="5"/>
  <c r="AE87" i="5" a="1"/>
  <c r="AE87" i="5"/>
  <c r="W87" i="5" a="1"/>
  <c r="W87" i="5"/>
  <c r="AM86" i="5"/>
  <c r="K86" i="5"/>
  <c r="J86" i="5"/>
  <c r="AM85" i="5"/>
  <c r="AE85" i="5" a="1"/>
  <c r="AE85" i="5"/>
  <c r="W85" i="5" a="1"/>
  <c r="W85" i="5"/>
  <c r="R76" i="5"/>
  <c r="R71" i="5"/>
  <c r="Y84" i="12"/>
  <c r="X84" i="12" a="1"/>
  <c r="X84" i="12"/>
  <c r="W84" i="12" a="1"/>
  <c r="W84" i="12"/>
  <c r="V84" i="12" a="1"/>
  <c r="V84" i="12"/>
  <c r="U84" i="12"/>
  <c r="T84" i="12"/>
  <c r="N84" i="12"/>
  <c r="K84" i="12"/>
  <c r="H84" i="12" a="1"/>
  <c r="H84" i="12"/>
  <c r="G84" i="12" a="1"/>
  <c r="G84" i="12"/>
  <c r="F84" i="12" a="1"/>
  <c r="F84" i="12"/>
  <c r="R84" i="5" a="1"/>
  <c r="R84" i="5"/>
  <c r="E84" i="12"/>
  <c r="L84" i="5"/>
  <c r="O84" i="5"/>
  <c r="D84" i="12"/>
  <c r="C84" i="12"/>
  <c r="D84" i="5"/>
  <c r="B84" i="12"/>
  <c r="I83" i="12"/>
  <c r="AO83" i="12"/>
  <c r="O83" i="12" a="1"/>
  <c r="O83" i="12"/>
  <c r="Y83" i="12"/>
  <c r="X83" i="12" a="1"/>
  <c r="X83" i="12"/>
  <c r="W83" i="12" a="1"/>
  <c r="W83" i="12"/>
  <c r="V83" i="12" a="1"/>
  <c r="V83" i="12"/>
  <c r="U83" i="12"/>
  <c r="T83" i="12"/>
  <c r="M83" i="12" a="1"/>
  <c r="M83" i="12"/>
  <c r="N83" i="12"/>
  <c r="L83" i="12" a="1"/>
  <c r="L83" i="12"/>
  <c r="J83" i="12" a="1"/>
  <c r="J83" i="12"/>
  <c r="K83" i="12"/>
  <c r="H83" i="12" a="1"/>
  <c r="H83" i="12"/>
  <c r="G83" i="12" a="1"/>
  <c r="G83" i="12"/>
  <c r="F83" i="12" a="1"/>
  <c r="F83" i="12"/>
  <c r="AF83" i="5" a="1"/>
  <c r="AF83" i="5"/>
  <c r="E83" i="12"/>
  <c r="L83" i="5"/>
  <c r="O83" i="5"/>
  <c r="D83" i="12"/>
  <c r="C83" i="12"/>
  <c r="Y82" i="12"/>
  <c r="X82" i="12" a="1"/>
  <c r="X82" i="12"/>
  <c r="W82" i="12" a="1"/>
  <c r="W82" i="12"/>
  <c r="V82" i="12" a="1"/>
  <c r="V82" i="12"/>
  <c r="U82" i="12"/>
  <c r="T82" i="12"/>
  <c r="N82" i="12"/>
  <c r="K82" i="12"/>
  <c r="H82" i="12" a="1"/>
  <c r="H82" i="12"/>
  <c r="G82" i="12" a="1"/>
  <c r="G82" i="12"/>
  <c r="F82" i="12" a="1"/>
  <c r="F82" i="12"/>
  <c r="R82" i="5" a="1"/>
  <c r="R82" i="5"/>
  <c r="E82" i="12"/>
  <c r="L82" i="5"/>
  <c r="O82" i="5"/>
  <c r="D82" i="12"/>
  <c r="C82" i="12"/>
  <c r="D82" i="5"/>
  <c r="B82" i="12"/>
  <c r="I81" i="12"/>
  <c r="AO81" i="12"/>
  <c r="O81" i="12" a="1"/>
  <c r="O81" i="12"/>
  <c r="Y81" i="12"/>
  <c r="X81" i="12" a="1"/>
  <c r="X81" i="12"/>
  <c r="W81" i="12" a="1"/>
  <c r="W81" i="12"/>
  <c r="V81" i="12" a="1"/>
  <c r="V81" i="12"/>
  <c r="U81" i="12"/>
  <c r="T81" i="12"/>
  <c r="M81" i="12" a="1"/>
  <c r="M81" i="12"/>
  <c r="N81" i="12"/>
  <c r="L81" i="12" a="1"/>
  <c r="L81" i="12"/>
  <c r="J81" i="12" a="1"/>
  <c r="J81" i="12"/>
  <c r="K81" i="12"/>
  <c r="H81" i="12" a="1"/>
  <c r="H81" i="12"/>
  <c r="G81" i="12" a="1"/>
  <c r="G81" i="12"/>
  <c r="F81" i="12" a="1"/>
  <c r="F81" i="12"/>
  <c r="AF81" i="5" a="1"/>
  <c r="AF81" i="5"/>
  <c r="E81" i="12"/>
  <c r="L81" i="5"/>
  <c r="O81" i="5"/>
  <c r="D81" i="12"/>
  <c r="C81" i="12"/>
  <c r="I80" i="12"/>
  <c r="O80" i="12"/>
  <c r="Y80" i="12"/>
  <c r="X80" i="12" a="1"/>
  <c r="X80" i="12"/>
  <c r="W80" i="12" a="1"/>
  <c r="W80" i="12"/>
  <c r="V80" i="12" a="1"/>
  <c r="V80" i="12"/>
  <c r="U80" i="12"/>
  <c r="T80" i="12"/>
  <c r="M80" i="12"/>
  <c r="N80" i="12"/>
  <c r="L80" i="12" a="1"/>
  <c r="L80" i="12"/>
  <c r="J80" i="12" a="1"/>
  <c r="J80" i="12"/>
  <c r="K80" i="12"/>
  <c r="H80" i="12" a="1"/>
  <c r="H80" i="12"/>
  <c r="G80" i="12" a="1"/>
  <c r="G80" i="12"/>
  <c r="F80" i="12" a="1"/>
  <c r="F80" i="12"/>
  <c r="AF80" i="5" a="1"/>
  <c r="AF80" i="5"/>
  <c r="E80" i="12"/>
  <c r="D80" i="12"/>
  <c r="C80" i="12"/>
  <c r="Y79" i="12"/>
  <c r="X79" i="12" a="1"/>
  <c r="X79" i="12"/>
  <c r="W79" i="12" a="1"/>
  <c r="W79" i="12"/>
  <c r="V79" i="12" a="1"/>
  <c r="V79" i="12"/>
  <c r="U79" i="12"/>
  <c r="T79" i="12"/>
  <c r="N79" i="12"/>
  <c r="K79" i="12"/>
  <c r="H79" i="12" a="1"/>
  <c r="H79" i="12"/>
  <c r="G79" i="12" a="1"/>
  <c r="G79" i="12"/>
  <c r="F79" i="12" a="1"/>
  <c r="F79" i="12"/>
  <c r="R79" i="5" a="1"/>
  <c r="R79" i="5"/>
  <c r="E79" i="12"/>
  <c r="L79" i="5"/>
  <c r="I76" i="5"/>
  <c r="I77" i="5"/>
  <c r="I78" i="5"/>
  <c r="I79" i="5"/>
  <c r="O79" i="5"/>
  <c r="D79" i="12"/>
  <c r="C79" i="12"/>
  <c r="D79" i="5"/>
  <c r="B79" i="12"/>
  <c r="Y78" i="12"/>
  <c r="X78" i="12" a="1"/>
  <c r="X78" i="12"/>
  <c r="W78" i="12" a="1"/>
  <c r="W78" i="12"/>
  <c r="V78" i="12" a="1"/>
  <c r="V78" i="12"/>
  <c r="U78" i="12"/>
  <c r="T78" i="12"/>
  <c r="N78" i="12"/>
  <c r="K78" i="12"/>
  <c r="H78" i="12" a="1"/>
  <c r="H78" i="12"/>
  <c r="G78" i="12" a="1"/>
  <c r="G78" i="12"/>
  <c r="F78" i="12" a="1"/>
  <c r="F78" i="12"/>
  <c r="R78" i="5" a="1"/>
  <c r="R78" i="5"/>
  <c r="E78" i="12"/>
  <c r="L78" i="5"/>
  <c r="O78" i="5"/>
  <c r="D78" i="12"/>
  <c r="C78" i="12"/>
  <c r="D78" i="5"/>
  <c r="B78" i="12"/>
  <c r="Y77" i="12"/>
  <c r="X77" i="12" a="1"/>
  <c r="X77" i="12"/>
  <c r="W77" i="12" a="1"/>
  <c r="W77" i="12"/>
  <c r="V77" i="12" a="1"/>
  <c r="V77" i="12"/>
  <c r="U77" i="12"/>
  <c r="T77" i="12"/>
  <c r="N77" i="12"/>
  <c r="K77" i="12"/>
  <c r="H77" i="12" a="1"/>
  <c r="H77" i="12"/>
  <c r="G77" i="12" a="1"/>
  <c r="G77" i="12"/>
  <c r="F77" i="12" a="1"/>
  <c r="F77" i="12"/>
  <c r="R77" i="5" a="1"/>
  <c r="R77" i="5"/>
  <c r="E77" i="12"/>
  <c r="L77" i="5"/>
  <c r="O77" i="5"/>
  <c r="D77" i="12"/>
  <c r="C77" i="12"/>
  <c r="D77" i="5"/>
  <c r="B77" i="12"/>
  <c r="I76" i="12"/>
  <c r="AO76" i="12"/>
  <c r="O76" i="12"/>
  <c r="Y76" i="12"/>
  <c r="X76" i="12" a="1"/>
  <c r="X76" i="12"/>
  <c r="W76" i="12" a="1"/>
  <c r="W76" i="12"/>
  <c r="V76" i="12" a="1"/>
  <c r="V76" i="12"/>
  <c r="U76" i="12"/>
  <c r="T76" i="12"/>
  <c r="M76" i="12"/>
  <c r="N76" i="12"/>
  <c r="L76" i="12" a="1"/>
  <c r="L76" i="12"/>
  <c r="J76" i="12" a="1"/>
  <c r="J76" i="12"/>
  <c r="K76" i="12"/>
  <c r="H76" i="12" a="1"/>
  <c r="H76" i="12"/>
  <c r="G76" i="12" a="1"/>
  <c r="G76" i="12"/>
  <c r="F76" i="12" a="1"/>
  <c r="F76" i="12"/>
  <c r="AF76" i="5" a="1"/>
  <c r="AF76" i="5"/>
  <c r="E76" i="12"/>
  <c r="L76" i="5"/>
  <c r="O76" i="5"/>
  <c r="D76" i="12"/>
  <c r="C76" i="12"/>
  <c r="I75" i="12"/>
  <c r="O75" i="12"/>
  <c r="Y75" i="12"/>
  <c r="X75" i="12" a="1"/>
  <c r="X75" i="12"/>
  <c r="W75" i="12" a="1"/>
  <c r="W75" i="12"/>
  <c r="V75" i="12" a="1"/>
  <c r="V75" i="12"/>
  <c r="U75" i="12"/>
  <c r="T75" i="12"/>
  <c r="M75" i="12"/>
  <c r="N75" i="12"/>
  <c r="L75" i="12" a="1"/>
  <c r="L75" i="12"/>
  <c r="J75" i="12" a="1"/>
  <c r="J75" i="12"/>
  <c r="K75" i="12"/>
  <c r="H75" i="12" a="1"/>
  <c r="H75" i="12"/>
  <c r="G75" i="12" a="1"/>
  <c r="G75" i="12"/>
  <c r="F75" i="12" a="1"/>
  <c r="F75" i="12"/>
  <c r="AF75" i="5" a="1"/>
  <c r="AF75" i="5"/>
  <c r="E75" i="12"/>
  <c r="D75" i="12"/>
  <c r="C75" i="12"/>
  <c r="Y74" i="12"/>
  <c r="X74" i="12" a="1"/>
  <c r="X74" i="12"/>
  <c r="W74" i="12" a="1"/>
  <c r="W74" i="12"/>
  <c r="V74" i="12" a="1"/>
  <c r="V74" i="12"/>
  <c r="U74" i="12"/>
  <c r="T74" i="12"/>
  <c r="N74" i="12"/>
  <c r="K74" i="12"/>
  <c r="H74" i="12" a="1"/>
  <c r="H74" i="12"/>
  <c r="G74" i="12" a="1"/>
  <c r="G74" i="12"/>
  <c r="F74" i="12" a="1"/>
  <c r="F74" i="12"/>
  <c r="R74" i="5" a="1"/>
  <c r="R74" i="5"/>
  <c r="E74" i="12"/>
  <c r="L74" i="5"/>
  <c r="I71" i="5"/>
  <c r="I72" i="5"/>
  <c r="I73" i="5"/>
  <c r="I74" i="5"/>
  <c r="O74" i="5"/>
  <c r="D74" i="12"/>
  <c r="C74" i="12"/>
  <c r="D74" i="5"/>
  <c r="B74" i="12"/>
  <c r="Y73" i="12"/>
  <c r="X73" i="12" a="1"/>
  <c r="X73" i="12"/>
  <c r="W73" i="12" a="1"/>
  <c r="W73" i="12"/>
  <c r="V73" i="12" a="1"/>
  <c r="V73" i="12"/>
  <c r="U73" i="12"/>
  <c r="T73" i="12"/>
  <c r="N73" i="12"/>
  <c r="K73" i="12"/>
  <c r="H73" i="12" a="1"/>
  <c r="H73" i="12"/>
  <c r="G73" i="12" a="1"/>
  <c r="G73" i="12"/>
  <c r="F73" i="12" a="1"/>
  <c r="F73" i="12"/>
  <c r="R73" i="5" a="1"/>
  <c r="R73" i="5"/>
  <c r="E73" i="12"/>
  <c r="L73" i="5"/>
  <c r="O73" i="5"/>
  <c r="D73" i="12"/>
  <c r="C73" i="12"/>
  <c r="D73" i="5"/>
  <c r="B73" i="12"/>
  <c r="Y72" i="12"/>
  <c r="X72" i="12" a="1"/>
  <c r="X72" i="12"/>
  <c r="W72" i="12" a="1"/>
  <c r="W72" i="12"/>
  <c r="V72" i="12" a="1"/>
  <c r="V72" i="12"/>
  <c r="U72" i="12"/>
  <c r="T72" i="12"/>
  <c r="N72" i="12"/>
  <c r="K72" i="12"/>
  <c r="H72" i="12" a="1"/>
  <c r="H72" i="12"/>
  <c r="G72" i="12" a="1"/>
  <c r="G72" i="12"/>
  <c r="F72" i="12" a="1"/>
  <c r="F72" i="12"/>
  <c r="R72" i="5" a="1"/>
  <c r="R72" i="5"/>
  <c r="E72" i="12"/>
  <c r="L72" i="5"/>
  <c r="O72" i="5"/>
  <c r="D72" i="12"/>
  <c r="C72" i="12"/>
  <c r="D72" i="5"/>
  <c r="B72" i="12"/>
  <c r="I71" i="12"/>
  <c r="AO71" i="12"/>
  <c r="O71" i="12"/>
  <c r="Y71" i="12"/>
  <c r="X71" i="12" a="1"/>
  <c r="X71" i="12"/>
  <c r="W71" i="12" a="1"/>
  <c r="W71" i="12"/>
  <c r="V71" i="12" a="1"/>
  <c r="V71" i="12"/>
  <c r="U71" i="12"/>
  <c r="T71" i="12"/>
  <c r="M71" i="12"/>
  <c r="N71" i="12"/>
  <c r="L71" i="12" a="1"/>
  <c r="L71" i="12"/>
  <c r="J71" i="12" a="1"/>
  <c r="J71" i="12"/>
  <c r="K71" i="12"/>
  <c r="H71" i="12" a="1"/>
  <c r="H71" i="12"/>
  <c r="G71" i="12" a="1"/>
  <c r="G71" i="12"/>
  <c r="F71" i="12" a="1"/>
  <c r="F71" i="12"/>
  <c r="AF71" i="5" a="1"/>
  <c r="AF71" i="5"/>
  <c r="E71" i="12"/>
  <c r="L71" i="5"/>
  <c r="O71" i="5"/>
  <c r="D71" i="12"/>
  <c r="C71" i="12"/>
  <c r="I70" i="12"/>
  <c r="Y70" i="12"/>
  <c r="X70" i="12" a="1"/>
  <c r="X70" i="12"/>
  <c r="W70" i="12" a="1"/>
  <c r="W70" i="12"/>
  <c r="V70" i="12" a="1"/>
  <c r="V70" i="12"/>
  <c r="U70" i="12"/>
  <c r="T70" i="12"/>
  <c r="N70" i="12"/>
  <c r="L70" i="12" a="1"/>
  <c r="L70" i="12"/>
  <c r="J70" i="12" a="1"/>
  <c r="J70" i="12"/>
  <c r="K70" i="12"/>
  <c r="H70" i="12" a="1"/>
  <c r="H70" i="12"/>
  <c r="G70" i="12" a="1"/>
  <c r="G70" i="12"/>
  <c r="F70" i="12" a="1"/>
  <c r="F70" i="12"/>
  <c r="AF70" i="5" a="1"/>
  <c r="AF70" i="5"/>
  <c r="E70" i="12"/>
  <c r="D70" i="12"/>
  <c r="C70" i="12"/>
  <c r="Y69" i="12"/>
  <c r="X69" i="12" a="1"/>
  <c r="X69" i="12"/>
  <c r="W69" i="12" a="1"/>
  <c r="W69" i="12"/>
  <c r="V69" i="12" a="1"/>
  <c r="V69" i="12"/>
  <c r="U69" i="12"/>
  <c r="T69" i="12"/>
  <c r="N69" i="12"/>
  <c r="K69" i="12"/>
  <c r="H69" i="12" a="1"/>
  <c r="H69" i="12"/>
  <c r="G69" i="12" a="1"/>
  <c r="G69" i="12"/>
  <c r="F69" i="12" a="1"/>
  <c r="F69" i="12"/>
  <c r="R69" i="5" a="1"/>
  <c r="R69" i="5"/>
  <c r="E69" i="12"/>
  <c r="L69" i="5"/>
  <c r="I66" i="5"/>
  <c r="I67" i="5"/>
  <c r="I68" i="5"/>
  <c r="I69" i="5"/>
  <c r="O69" i="5"/>
  <c r="D69" i="12"/>
  <c r="C69" i="12"/>
  <c r="D69" i="5"/>
  <c r="B69" i="12"/>
  <c r="Y68" i="12"/>
  <c r="X68" i="12" a="1"/>
  <c r="X68" i="12"/>
  <c r="W68" i="12" a="1"/>
  <c r="W68" i="12"/>
  <c r="V68" i="12" a="1"/>
  <c r="V68" i="12"/>
  <c r="U68" i="12"/>
  <c r="T68" i="12"/>
  <c r="N68" i="12"/>
  <c r="K68" i="12"/>
  <c r="H68" i="12" a="1"/>
  <c r="H68" i="12"/>
  <c r="G68" i="12" a="1"/>
  <c r="G68" i="12"/>
  <c r="F68" i="12" a="1"/>
  <c r="F68" i="12"/>
  <c r="R68" i="5" a="1"/>
  <c r="R68" i="5"/>
  <c r="E68" i="12"/>
  <c r="L68" i="5"/>
  <c r="O68" i="5"/>
  <c r="D68" i="12"/>
  <c r="C68" i="12"/>
  <c r="D68" i="5"/>
  <c r="B68" i="12"/>
  <c r="Y67" i="12"/>
  <c r="X67" i="12" a="1"/>
  <c r="X67" i="12"/>
  <c r="W67" i="12" a="1"/>
  <c r="W67" i="12"/>
  <c r="V67" i="12" a="1"/>
  <c r="V67" i="12"/>
  <c r="U67" i="12"/>
  <c r="T67" i="12"/>
  <c r="N67" i="12"/>
  <c r="K67" i="12"/>
  <c r="H67" i="12" a="1"/>
  <c r="H67" i="12"/>
  <c r="G67" i="12" a="1"/>
  <c r="G67" i="12"/>
  <c r="F67" i="12" a="1"/>
  <c r="F67" i="12"/>
  <c r="R67" i="5" a="1"/>
  <c r="R67" i="5"/>
  <c r="E67" i="12"/>
  <c r="L67" i="5"/>
  <c r="O67" i="5"/>
  <c r="D67" i="12"/>
  <c r="C67" i="12"/>
  <c r="D67" i="5"/>
  <c r="B67" i="12"/>
  <c r="I66" i="12"/>
  <c r="Y66" i="12"/>
  <c r="X66" i="12" a="1"/>
  <c r="X66" i="12"/>
  <c r="W66" i="12" a="1"/>
  <c r="W66" i="12"/>
  <c r="V66" i="12" a="1"/>
  <c r="V66" i="12"/>
  <c r="U66" i="12"/>
  <c r="T66" i="12"/>
  <c r="N66" i="12"/>
  <c r="L66" i="12" a="1"/>
  <c r="L66" i="12"/>
  <c r="J66" i="12" a="1"/>
  <c r="J66" i="12"/>
  <c r="K66" i="12"/>
  <c r="H66" i="12" a="1"/>
  <c r="H66" i="12"/>
  <c r="G66" i="12" a="1"/>
  <c r="G66" i="12"/>
  <c r="F66" i="12" a="1"/>
  <c r="F66" i="12"/>
  <c r="AF66" i="5" a="1"/>
  <c r="AF66" i="5"/>
  <c r="E66" i="12"/>
  <c r="D66" i="12"/>
  <c r="C66" i="12"/>
  <c r="Y65" i="12"/>
  <c r="X65" i="12" a="1"/>
  <c r="X65" i="12"/>
  <c r="W65" i="12" a="1"/>
  <c r="W65" i="12"/>
  <c r="V65" i="12" a="1"/>
  <c r="V65" i="12"/>
  <c r="U65" i="12"/>
  <c r="T65" i="12"/>
  <c r="N65" i="12"/>
  <c r="K65" i="12"/>
  <c r="H65" i="12" a="1"/>
  <c r="H65" i="12"/>
  <c r="G65" i="12" a="1"/>
  <c r="G65" i="12"/>
  <c r="F65" i="12" a="1"/>
  <c r="F65" i="12"/>
  <c r="R65" i="5" a="1"/>
  <c r="R65" i="5"/>
  <c r="E65" i="12"/>
  <c r="L65" i="5"/>
  <c r="I63" i="5"/>
  <c r="I64" i="5"/>
  <c r="I65" i="5"/>
  <c r="O65" i="5"/>
  <c r="D65" i="12"/>
  <c r="C65" i="12"/>
  <c r="D65" i="5"/>
  <c r="B65" i="12"/>
  <c r="N84" i="6"/>
  <c r="T84" i="5"/>
  <c r="AN84" i="5" a="1"/>
  <c r="AN84" i="5"/>
  <c r="AC84" i="5" a="1"/>
  <c r="AC84" i="5"/>
  <c r="G84" i="6"/>
  <c r="F84" i="6"/>
  <c r="E84" i="6"/>
  <c r="C84" i="6"/>
  <c r="N83" i="6"/>
  <c r="T83" i="5"/>
  <c r="S83" i="5" a="1"/>
  <c r="S83" i="5"/>
  <c r="AH83" i="5"/>
  <c r="AN83" i="5" a="1"/>
  <c r="AN83" i="5"/>
  <c r="AG83" i="5" a="1"/>
  <c r="AG83" i="5"/>
  <c r="AC83" i="5" a="1"/>
  <c r="AC83" i="5"/>
  <c r="G83" i="6"/>
  <c r="F83" i="6"/>
  <c r="E83" i="6"/>
  <c r="C83" i="6"/>
  <c r="T82" i="5"/>
  <c r="AN82" i="5" a="1"/>
  <c r="AN82" i="5"/>
  <c r="AC82" i="5" a="1"/>
  <c r="AC82" i="5"/>
  <c r="G82" i="6"/>
  <c r="F82" i="6"/>
  <c r="E82" i="6"/>
  <c r="C82" i="6"/>
  <c r="N81" i="6"/>
  <c r="T81" i="5"/>
  <c r="S81" i="5" a="1"/>
  <c r="S81" i="5"/>
  <c r="AH81" i="5"/>
  <c r="AN81" i="5" a="1"/>
  <c r="AN81" i="5"/>
  <c r="AG81" i="5" a="1"/>
  <c r="AG81" i="5"/>
  <c r="AC81" i="5" a="1"/>
  <c r="AC81" i="5"/>
  <c r="G81" i="6"/>
  <c r="F81" i="6"/>
  <c r="E81" i="6"/>
  <c r="C81" i="6"/>
  <c r="N80" i="6"/>
  <c r="T80" i="5"/>
  <c r="S80" i="5" a="1"/>
  <c r="S80" i="5"/>
  <c r="AH80" i="5"/>
  <c r="AN80" i="5" a="1"/>
  <c r="AN80" i="5"/>
  <c r="AG80" i="5" a="1"/>
  <c r="AG80" i="5"/>
  <c r="AC80" i="5" a="1"/>
  <c r="AC80" i="5"/>
  <c r="G80" i="6"/>
  <c r="E80" i="6"/>
  <c r="C80" i="6"/>
  <c r="N79" i="6"/>
  <c r="T79" i="5"/>
  <c r="AN79" i="5" a="1"/>
  <c r="AN79" i="5"/>
  <c r="AC79" i="5" a="1"/>
  <c r="AC79" i="5"/>
  <c r="G79" i="6"/>
  <c r="F79" i="6"/>
  <c r="E79" i="6"/>
  <c r="C79" i="6"/>
  <c r="N78" i="6"/>
  <c r="T78" i="5"/>
  <c r="S78" i="5" a="1"/>
  <c r="S78" i="5"/>
  <c r="AN78" i="5" a="1"/>
  <c r="AN78" i="5"/>
  <c r="AC78" i="5" a="1"/>
  <c r="AC78" i="5"/>
  <c r="G78" i="6"/>
  <c r="F78" i="6"/>
  <c r="E78" i="6"/>
  <c r="C78" i="6"/>
  <c r="T77" i="5"/>
  <c r="S77" i="5" a="1"/>
  <c r="S77" i="5"/>
  <c r="AN77" i="5" a="1"/>
  <c r="AN77" i="5"/>
  <c r="AC77" i="5" a="1"/>
  <c r="AC77" i="5"/>
  <c r="G77" i="6"/>
  <c r="F77" i="6"/>
  <c r="E77" i="6"/>
  <c r="C77" i="6"/>
  <c r="N76" i="6"/>
  <c r="T76" i="5"/>
  <c r="S76" i="5" a="1"/>
  <c r="S76" i="5"/>
  <c r="AH76" i="5"/>
  <c r="AN76" i="5" a="1"/>
  <c r="AN76" i="5"/>
  <c r="AG76" i="5" a="1"/>
  <c r="AG76" i="5"/>
  <c r="AC76" i="5" a="1"/>
  <c r="AC76" i="5"/>
  <c r="G76" i="6"/>
  <c r="F76" i="6"/>
  <c r="E76" i="6"/>
  <c r="C76" i="6"/>
  <c r="N75" i="6"/>
  <c r="T75" i="5"/>
  <c r="S75" i="5" a="1"/>
  <c r="S75" i="5"/>
  <c r="AH75" i="5"/>
  <c r="AN75" i="5" a="1"/>
  <c r="AN75" i="5"/>
  <c r="AG75" i="5" a="1"/>
  <c r="AG75" i="5"/>
  <c r="AC75" i="5" a="1"/>
  <c r="AC75" i="5"/>
  <c r="G75" i="6"/>
  <c r="E75" i="6"/>
  <c r="C75" i="6"/>
  <c r="N74" i="6"/>
  <c r="T74" i="5"/>
  <c r="AN74" i="5" a="1"/>
  <c r="AN74" i="5"/>
  <c r="AC74" i="5" a="1"/>
  <c r="AC74" i="5"/>
  <c r="G74" i="6"/>
  <c r="F74" i="6"/>
  <c r="E74" i="6"/>
  <c r="C74" i="6"/>
  <c r="N73" i="6"/>
  <c r="T73" i="5"/>
  <c r="S73" i="5" a="1"/>
  <c r="S73" i="5"/>
  <c r="AN73" i="5" a="1"/>
  <c r="AN73" i="5"/>
  <c r="AC73" i="5" a="1"/>
  <c r="AC73" i="5"/>
  <c r="G73" i="6"/>
  <c r="F73" i="6"/>
  <c r="E73" i="6"/>
  <c r="C73" i="6"/>
  <c r="T72" i="5"/>
  <c r="S72" i="5" a="1"/>
  <c r="S72" i="5"/>
  <c r="AN72" i="5" a="1"/>
  <c r="AN72" i="5"/>
  <c r="AC72" i="5" a="1"/>
  <c r="AC72" i="5"/>
  <c r="G72" i="6"/>
  <c r="F72" i="6"/>
  <c r="E72" i="6"/>
  <c r="C72" i="6"/>
  <c r="N71" i="6"/>
  <c r="T71" i="5"/>
  <c r="S71" i="5" a="1"/>
  <c r="S71" i="5"/>
  <c r="AH71" i="5"/>
  <c r="AN71" i="5" a="1"/>
  <c r="AN71" i="5"/>
  <c r="AG71" i="5" a="1"/>
  <c r="AG71" i="5"/>
  <c r="AC71" i="5" a="1"/>
  <c r="AC71" i="5"/>
  <c r="G71" i="6"/>
  <c r="F71" i="6"/>
  <c r="E71" i="6"/>
  <c r="C71" i="6"/>
  <c r="N70" i="6"/>
  <c r="T70" i="5"/>
  <c r="S70" i="5" a="1"/>
  <c r="S70" i="5"/>
  <c r="AH70" i="5"/>
  <c r="AN70" i="5" a="1"/>
  <c r="AN70" i="5"/>
  <c r="AG70" i="5" a="1"/>
  <c r="AG70" i="5"/>
  <c r="AC70" i="5" a="1"/>
  <c r="AC70" i="5"/>
  <c r="G70" i="6"/>
  <c r="E70" i="6"/>
  <c r="C70" i="6"/>
  <c r="N69" i="6"/>
  <c r="T69" i="5"/>
  <c r="S69" i="5" a="1"/>
  <c r="S69" i="5"/>
  <c r="AN69" i="5" a="1"/>
  <c r="AN69" i="5"/>
  <c r="AC69" i="5" a="1"/>
  <c r="AC69" i="5"/>
  <c r="G69" i="6"/>
  <c r="F69" i="6"/>
  <c r="E69" i="6"/>
  <c r="C69" i="6"/>
  <c r="N68" i="6"/>
  <c r="T68" i="5"/>
  <c r="S68" i="5" a="1"/>
  <c r="S68" i="5"/>
  <c r="AN68" i="5" a="1"/>
  <c r="AN68" i="5"/>
  <c r="AC68" i="5" a="1"/>
  <c r="AC68" i="5"/>
  <c r="G68" i="6"/>
  <c r="F68" i="6"/>
  <c r="E68" i="6"/>
  <c r="C68" i="6"/>
  <c r="T67" i="5"/>
  <c r="S67" i="5" a="1"/>
  <c r="S67" i="5"/>
  <c r="AN67" i="5" a="1"/>
  <c r="AN67" i="5"/>
  <c r="AC67" i="5" a="1"/>
  <c r="AC67" i="5"/>
  <c r="G67" i="6"/>
  <c r="F67" i="6"/>
  <c r="E67" i="6"/>
  <c r="C67" i="6"/>
  <c r="N66" i="6"/>
  <c r="T66" i="5"/>
  <c r="S66" i="5" a="1"/>
  <c r="S66" i="5"/>
  <c r="AH66" i="5"/>
  <c r="AN66" i="5" a="1"/>
  <c r="AN66" i="5"/>
  <c r="AG66" i="5" a="1"/>
  <c r="AG66" i="5"/>
  <c r="AC66" i="5" a="1"/>
  <c r="AC66" i="5"/>
  <c r="G66" i="6"/>
  <c r="E66" i="6"/>
  <c r="C66" i="6"/>
  <c r="N65" i="6"/>
  <c r="T65" i="5"/>
  <c r="S65" i="5" a="1"/>
  <c r="S65" i="5"/>
  <c r="AN65" i="5" a="1"/>
  <c r="AN65" i="5"/>
  <c r="AC65" i="5" a="1"/>
  <c r="AC65" i="5"/>
  <c r="G65" i="6"/>
  <c r="F65" i="6"/>
  <c r="E65" i="6"/>
  <c r="C65" i="6"/>
  <c r="AM84" i="5"/>
  <c r="K84" i="5"/>
  <c r="J84" i="5"/>
  <c r="H63" i="5"/>
  <c r="H64" i="5"/>
  <c r="H65" i="5"/>
  <c r="H66" i="5"/>
  <c r="H67" i="5"/>
  <c r="H68" i="5"/>
  <c r="H69" i="5"/>
  <c r="H70" i="5"/>
  <c r="H71" i="5"/>
  <c r="H72" i="5"/>
  <c r="H73" i="5"/>
  <c r="H74" i="5"/>
  <c r="H75" i="5"/>
  <c r="H76" i="5"/>
  <c r="H77" i="5"/>
  <c r="H78" i="5"/>
  <c r="H79" i="5"/>
  <c r="H80" i="5"/>
  <c r="AM83" i="5"/>
  <c r="AE83" i="5" a="1"/>
  <c r="AE83" i="5"/>
  <c r="AB83" i="5"/>
  <c r="AA83" i="5" a="1"/>
  <c r="AA83" i="5"/>
  <c r="W83" i="5" a="1"/>
  <c r="W83" i="5"/>
  <c r="AM82" i="5"/>
  <c r="K82" i="5"/>
  <c r="J82" i="5"/>
  <c r="AM81" i="5"/>
  <c r="AE81" i="5" a="1"/>
  <c r="AE81" i="5"/>
  <c r="AB81" i="5"/>
  <c r="AA81" i="5" a="1"/>
  <c r="AA81" i="5"/>
  <c r="W81" i="5" a="1"/>
  <c r="W81" i="5"/>
  <c r="AM80" i="5"/>
  <c r="AE80" i="5" a="1"/>
  <c r="AE80" i="5"/>
  <c r="W80" i="5" a="1"/>
  <c r="W80" i="5"/>
  <c r="AM79" i="5"/>
  <c r="K79" i="5"/>
  <c r="J79" i="5"/>
  <c r="AM78" i="5"/>
  <c r="K78" i="5"/>
  <c r="J78" i="5"/>
  <c r="AM77" i="5"/>
  <c r="K77" i="5"/>
  <c r="J77" i="5"/>
  <c r="AM76" i="5"/>
  <c r="AE76" i="5" a="1"/>
  <c r="AE76" i="5"/>
  <c r="AA76" i="5"/>
  <c r="W76" i="5" a="1"/>
  <c r="W76" i="5"/>
  <c r="AM75" i="5"/>
  <c r="AE75" i="5" a="1"/>
  <c r="AE75" i="5"/>
  <c r="W75" i="5" a="1"/>
  <c r="W75" i="5"/>
  <c r="AM74" i="5"/>
  <c r="K74" i="5"/>
  <c r="J74" i="5"/>
  <c r="AM73" i="5"/>
  <c r="K73" i="5"/>
  <c r="J73" i="5"/>
  <c r="AM72" i="5"/>
  <c r="K72" i="5"/>
  <c r="J72" i="5"/>
  <c r="AM71" i="5"/>
  <c r="AE71" i="5" a="1"/>
  <c r="AE71" i="5"/>
  <c r="AA71" i="5"/>
  <c r="W71" i="5" a="1"/>
  <c r="W71" i="5"/>
  <c r="AM70" i="5"/>
  <c r="AE70" i="5" a="1"/>
  <c r="AE70" i="5"/>
  <c r="W70" i="5" a="1"/>
  <c r="W70" i="5"/>
  <c r="AM69" i="5"/>
  <c r="K69" i="5"/>
  <c r="J69" i="5"/>
  <c r="AM68" i="5"/>
  <c r="K68" i="5"/>
  <c r="J68" i="5"/>
  <c r="AM67" i="5"/>
  <c r="K67" i="5"/>
  <c r="J67" i="5"/>
  <c r="AM66" i="5"/>
  <c r="AE66" i="5" a="1"/>
  <c r="AE66" i="5"/>
  <c r="W66" i="5" a="1"/>
  <c r="W66" i="5"/>
  <c r="AM65" i="5"/>
  <c r="K65" i="5"/>
  <c r="J65" i="5"/>
  <c r="R55" i="5"/>
  <c r="R50" i="5"/>
  <c r="R44" i="5"/>
  <c r="Y60" i="12"/>
  <c r="X60" i="12" a="1"/>
  <c r="X60" i="12"/>
  <c r="W60" i="12" a="1"/>
  <c r="W60" i="12"/>
  <c r="V60" i="12" a="1"/>
  <c r="V60" i="12"/>
  <c r="U60" i="12"/>
  <c r="T60" i="12"/>
  <c r="N60" i="12"/>
  <c r="K60" i="12"/>
  <c r="H60" i="12" a="1"/>
  <c r="H60" i="12"/>
  <c r="G60" i="12" a="1"/>
  <c r="G60" i="12"/>
  <c r="F60" i="12" a="1"/>
  <c r="F60" i="12"/>
  <c r="R60" i="5" a="1"/>
  <c r="R60" i="5"/>
  <c r="E60" i="12"/>
  <c r="L60" i="5"/>
  <c r="I55" i="5"/>
  <c r="I56" i="5"/>
  <c r="I57" i="5"/>
  <c r="I58" i="5"/>
  <c r="I59" i="5"/>
  <c r="I60" i="5"/>
  <c r="O60" i="5"/>
  <c r="D60" i="12"/>
  <c r="C60" i="12"/>
  <c r="D60" i="5"/>
  <c r="B60" i="12"/>
  <c r="Y59" i="12"/>
  <c r="X59" i="12" a="1"/>
  <c r="X59" i="12"/>
  <c r="W59" i="12" a="1"/>
  <c r="W59" i="12"/>
  <c r="V59" i="12" a="1"/>
  <c r="V59" i="12"/>
  <c r="U59" i="12"/>
  <c r="T59" i="12"/>
  <c r="N59" i="12"/>
  <c r="K59" i="12"/>
  <c r="H59" i="12" a="1"/>
  <c r="H59" i="12"/>
  <c r="G59" i="12" a="1"/>
  <c r="G59" i="12"/>
  <c r="F59" i="12" a="1"/>
  <c r="F59" i="12"/>
  <c r="R59" i="5" a="1"/>
  <c r="R59" i="5"/>
  <c r="E59" i="12"/>
  <c r="L59" i="5"/>
  <c r="O59" i="5"/>
  <c r="D59" i="12"/>
  <c r="C59" i="12"/>
  <c r="D59" i="5"/>
  <c r="B59" i="12"/>
  <c r="Y58" i="12"/>
  <c r="X58" i="12" a="1"/>
  <c r="X58" i="12"/>
  <c r="W58" i="12" a="1"/>
  <c r="W58" i="12"/>
  <c r="V58" i="12" a="1"/>
  <c r="V58" i="12"/>
  <c r="U58" i="12"/>
  <c r="T58" i="12"/>
  <c r="N58" i="12"/>
  <c r="K58" i="12"/>
  <c r="H58" i="12" a="1"/>
  <c r="H58" i="12"/>
  <c r="G58" i="12" a="1"/>
  <c r="G58" i="12"/>
  <c r="F58" i="12" a="1"/>
  <c r="F58" i="12"/>
  <c r="R58" i="5" a="1"/>
  <c r="R58" i="5"/>
  <c r="E58" i="12"/>
  <c r="L58" i="5"/>
  <c r="O58" i="5"/>
  <c r="D58" i="12"/>
  <c r="C58" i="12"/>
  <c r="D58" i="5"/>
  <c r="B58" i="12"/>
  <c r="Y57" i="12"/>
  <c r="X57" i="12" a="1"/>
  <c r="X57" i="12"/>
  <c r="W57" i="12" a="1"/>
  <c r="W57" i="12"/>
  <c r="V57" i="12" a="1"/>
  <c r="V57" i="12"/>
  <c r="U57" i="12"/>
  <c r="T57" i="12"/>
  <c r="N57" i="12"/>
  <c r="K57" i="12"/>
  <c r="H57" i="12" a="1"/>
  <c r="H57" i="12"/>
  <c r="G57" i="12" a="1"/>
  <c r="G57" i="12"/>
  <c r="F57" i="12" a="1"/>
  <c r="F57" i="12"/>
  <c r="R57" i="5" a="1"/>
  <c r="R57" i="5"/>
  <c r="E57" i="12"/>
  <c r="L57" i="5"/>
  <c r="O57" i="5"/>
  <c r="D57" i="12"/>
  <c r="C57" i="12"/>
  <c r="D57" i="5"/>
  <c r="B57" i="12"/>
  <c r="Y56" i="12"/>
  <c r="X56" i="12" a="1"/>
  <c r="X56" i="12"/>
  <c r="W56" i="12" a="1"/>
  <c r="W56" i="12"/>
  <c r="V56" i="12" a="1"/>
  <c r="V56" i="12"/>
  <c r="U56" i="12"/>
  <c r="T56" i="12"/>
  <c r="N56" i="12"/>
  <c r="K56" i="12"/>
  <c r="H56" i="12" a="1"/>
  <c r="H56" i="12"/>
  <c r="G56" i="12" a="1"/>
  <c r="G56" i="12"/>
  <c r="F56" i="12" a="1"/>
  <c r="F56" i="12"/>
  <c r="R56" i="5" a="1"/>
  <c r="R56" i="5"/>
  <c r="E56" i="12"/>
  <c r="L56" i="5"/>
  <c r="O56" i="5"/>
  <c r="D56" i="12"/>
  <c r="C56" i="12"/>
  <c r="D56" i="5"/>
  <c r="B56" i="12"/>
  <c r="I55" i="12"/>
  <c r="Y55" i="12"/>
  <c r="X55" i="12" a="1"/>
  <c r="X55" i="12"/>
  <c r="W55" i="12" a="1"/>
  <c r="W55" i="12"/>
  <c r="V55" i="12" a="1"/>
  <c r="V55" i="12"/>
  <c r="U55" i="12"/>
  <c r="T55" i="12"/>
  <c r="N55" i="12"/>
  <c r="L55" i="12" a="1"/>
  <c r="L55" i="12"/>
  <c r="J55" i="12" a="1"/>
  <c r="J55" i="12"/>
  <c r="K55" i="12"/>
  <c r="H55" i="12" a="1"/>
  <c r="H55" i="12"/>
  <c r="G55" i="12" a="1"/>
  <c r="G55" i="12"/>
  <c r="F55" i="12" a="1"/>
  <c r="F55" i="12"/>
  <c r="AF55" i="5" a="1"/>
  <c r="AF55" i="5"/>
  <c r="E55" i="12"/>
  <c r="L55" i="5"/>
  <c r="O55" i="5"/>
  <c r="D55" i="12"/>
  <c r="C55" i="12"/>
  <c r="Y54" i="12"/>
  <c r="X54" i="12" a="1"/>
  <c r="X54" i="12"/>
  <c r="W54" i="12" a="1"/>
  <c r="W54" i="12"/>
  <c r="V54" i="12" a="1"/>
  <c r="V54" i="12"/>
  <c r="U54" i="12"/>
  <c r="T54" i="12"/>
  <c r="N54" i="12"/>
  <c r="K54" i="12"/>
  <c r="H54" i="12" a="1"/>
  <c r="H54" i="12"/>
  <c r="G54" i="12" a="1"/>
  <c r="G54" i="12"/>
  <c r="F54" i="12" a="1"/>
  <c r="F54" i="12"/>
  <c r="R54" i="5" a="1"/>
  <c r="R54" i="5"/>
  <c r="E54" i="12"/>
  <c r="L54" i="5"/>
  <c r="I50" i="5"/>
  <c r="I51" i="5"/>
  <c r="I52" i="5"/>
  <c r="I53" i="5"/>
  <c r="I54" i="5"/>
  <c r="O54" i="5"/>
  <c r="D54" i="12"/>
  <c r="C54" i="12"/>
  <c r="D54" i="5"/>
  <c r="B54" i="12"/>
  <c r="Y53" i="12"/>
  <c r="X53" i="12" a="1"/>
  <c r="X53" i="12"/>
  <c r="W53" i="12" a="1"/>
  <c r="W53" i="12"/>
  <c r="V53" i="12" a="1"/>
  <c r="V53" i="12"/>
  <c r="U53" i="12"/>
  <c r="T53" i="12"/>
  <c r="N53" i="12"/>
  <c r="K53" i="12"/>
  <c r="H53" i="12" a="1"/>
  <c r="H53" i="12"/>
  <c r="G53" i="12" a="1"/>
  <c r="G53" i="12"/>
  <c r="F53" i="12" a="1"/>
  <c r="F53" i="12"/>
  <c r="R53" i="5" a="1"/>
  <c r="R53" i="5"/>
  <c r="E53" i="12"/>
  <c r="L53" i="5"/>
  <c r="O53" i="5"/>
  <c r="D53" i="12"/>
  <c r="C53" i="12"/>
  <c r="D53" i="5"/>
  <c r="B53" i="12"/>
  <c r="Y52" i="12"/>
  <c r="X52" i="12" a="1"/>
  <c r="X52" i="12"/>
  <c r="W52" i="12" a="1"/>
  <c r="W52" i="12"/>
  <c r="V52" i="12" a="1"/>
  <c r="V52" i="12"/>
  <c r="U52" i="12"/>
  <c r="T52" i="12"/>
  <c r="N52" i="12"/>
  <c r="K52" i="12"/>
  <c r="H52" i="12" a="1"/>
  <c r="H52" i="12"/>
  <c r="G52" i="12" a="1"/>
  <c r="G52" i="12"/>
  <c r="F52" i="12" a="1"/>
  <c r="F52" i="12"/>
  <c r="R52" i="5" a="1"/>
  <c r="R52" i="5"/>
  <c r="E52" i="12"/>
  <c r="L52" i="5"/>
  <c r="O52" i="5"/>
  <c r="D52" i="12"/>
  <c r="C52" i="12"/>
  <c r="D52" i="5"/>
  <c r="B52" i="12"/>
  <c r="Y51" i="12"/>
  <c r="X51" i="12" a="1"/>
  <c r="X51" i="12"/>
  <c r="W51" i="12" a="1"/>
  <c r="W51" i="12"/>
  <c r="V51" i="12" a="1"/>
  <c r="V51" i="12"/>
  <c r="U51" i="12"/>
  <c r="T51" i="12"/>
  <c r="N51" i="12"/>
  <c r="K51" i="12"/>
  <c r="H51" i="12" a="1"/>
  <c r="H51" i="12"/>
  <c r="G51" i="12" a="1"/>
  <c r="G51" i="12"/>
  <c r="F51" i="12" a="1"/>
  <c r="F51" i="12"/>
  <c r="R51" i="5" a="1"/>
  <c r="R51" i="5"/>
  <c r="E51" i="12"/>
  <c r="L51" i="5"/>
  <c r="O51" i="5"/>
  <c r="D51" i="12"/>
  <c r="C51" i="12"/>
  <c r="D51" i="5"/>
  <c r="B51" i="12"/>
  <c r="I50" i="12"/>
  <c r="Y50" i="12"/>
  <c r="X50" i="12" a="1"/>
  <c r="X50" i="12"/>
  <c r="W50" i="12" a="1"/>
  <c r="W50" i="12"/>
  <c r="V50" i="12" a="1"/>
  <c r="V50" i="12"/>
  <c r="U50" i="12"/>
  <c r="T50" i="12"/>
  <c r="N50" i="12"/>
  <c r="L50" i="12" a="1"/>
  <c r="L50" i="12"/>
  <c r="J50" i="12" a="1"/>
  <c r="J50" i="12"/>
  <c r="K50" i="12"/>
  <c r="H50" i="12" a="1"/>
  <c r="H50" i="12"/>
  <c r="G50" i="12" a="1"/>
  <c r="G50" i="12"/>
  <c r="F50" i="12" a="1"/>
  <c r="F50" i="12"/>
  <c r="AF50" i="5" a="1"/>
  <c r="AF50" i="5"/>
  <c r="E50" i="12"/>
  <c r="L50" i="5"/>
  <c r="O50" i="5"/>
  <c r="D50" i="12"/>
  <c r="C50" i="12"/>
  <c r="Y49" i="12"/>
  <c r="X49" i="12" a="1"/>
  <c r="X49" i="12"/>
  <c r="W49" i="12" a="1"/>
  <c r="W49" i="12"/>
  <c r="V49" i="12" a="1"/>
  <c r="V49" i="12"/>
  <c r="U49" i="12"/>
  <c r="T49" i="12"/>
  <c r="N49" i="12"/>
  <c r="K49" i="12"/>
  <c r="H49" i="12" a="1"/>
  <c r="H49" i="12"/>
  <c r="G49" i="12" a="1"/>
  <c r="G49" i="12"/>
  <c r="F49" i="12" a="1"/>
  <c r="F49" i="12"/>
  <c r="R49" i="5" a="1"/>
  <c r="R49" i="5"/>
  <c r="E49" i="12"/>
  <c r="L49" i="5"/>
  <c r="I44" i="5"/>
  <c r="I45" i="5"/>
  <c r="I46" i="5"/>
  <c r="I47" i="5"/>
  <c r="I48" i="5"/>
  <c r="I49" i="5"/>
  <c r="O49" i="5"/>
  <c r="D49" i="12"/>
  <c r="C49" i="12"/>
  <c r="D49" i="5"/>
  <c r="B49" i="12"/>
  <c r="Y48" i="12"/>
  <c r="X48" i="12" a="1"/>
  <c r="X48" i="12"/>
  <c r="W48" i="12" a="1"/>
  <c r="W48" i="12"/>
  <c r="V48" i="12" a="1"/>
  <c r="V48" i="12"/>
  <c r="U48" i="12"/>
  <c r="T48" i="12"/>
  <c r="N48" i="12"/>
  <c r="K48" i="12"/>
  <c r="H48" i="12" a="1"/>
  <c r="H48" i="12"/>
  <c r="G48" i="12" a="1"/>
  <c r="G48" i="12"/>
  <c r="F48" i="12" a="1"/>
  <c r="F48" i="12"/>
  <c r="R48" i="5" a="1"/>
  <c r="R48" i="5"/>
  <c r="E48" i="12"/>
  <c r="L48" i="5"/>
  <c r="O48" i="5"/>
  <c r="D48" i="12"/>
  <c r="C48" i="12"/>
  <c r="D48" i="5"/>
  <c r="B48" i="12"/>
  <c r="Y47" i="12"/>
  <c r="X47" i="12" a="1"/>
  <c r="X47" i="12"/>
  <c r="W47" i="12" a="1"/>
  <c r="W47" i="12"/>
  <c r="V47" i="12" a="1"/>
  <c r="V47" i="12"/>
  <c r="U47" i="12"/>
  <c r="T47" i="12"/>
  <c r="N47" i="12"/>
  <c r="K47" i="12"/>
  <c r="H47" i="12" a="1"/>
  <c r="H47" i="12"/>
  <c r="G47" i="12" a="1"/>
  <c r="G47" i="12"/>
  <c r="F47" i="12" a="1"/>
  <c r="F47" i="12"/>
  <c r="R47" i="5" a="1"/>
  <c r="R47" i="5"/>
  <c r="E47" i="12"/>
  <c r="L47" i="5"/>
  <c r="O47" i="5"/>
  <c r="D47" i="12"/>
  <c r="C47" i="12"/>
  <c r="D47" i="5"/>
  <c r="B47" i="12"/>
  <c r="Y46" i="12"/>
  <c r="X46" i="12" a="1"/>
  <c r="X46" i="12"/>
  <c r="W46" i="12" a="1"/>
  <c r="W46" i="12"/>
  <c r="V46" i="12" a="1"/>
  <c r="V46" i="12"/>
  <c r="U46" i="12"/>
  <c r="T46" i="12"/>
  <c r="N46" i="12"/>
  <c r="K46" i="12"/>
  <c r="H46" i="12" a="1"/>
  <c r="H46" i="12"/>
  <c r="G46" i="12" a="1"/>
  <c r="G46" i="12"/>
  <c r="F46" i="12" a="1"/>
  <c r="F46" i="12"/>
  <c r="R46" i="5" a="1"/>
  <c r="R46" i="5"/>
  <c r="E46" i="12"/>
  <c r="L46" i="5"/>
  <c r="O46" i="5"/>
  <c r="D46" i="12"/>
  <c r="C46" i="12"/>
  <c r="D46" i="5"/>
  <c r="B46" i="12"/>
  <c r="Y45" i="12"/>
  <c r="X45" i="12" a="1"/>
  <c r="X45" i="12"/>
  <c r="W45" i="12" a="1"/>
  <c r="W45" i="12"/>
  <c r="V45" i="12" a="1"/>
  <c r="V45" i="12"/>
  <c r="U45" i="12"/>
  <c r="T45" i="12"/>
  <c r="N45" i="12"/>
  <c r="K45" i="12"/>
  <c r="H45" i="12" a="1"/>
  <c r="H45" i="12"/>
  <c r="G45" i="12" a="1"/>
  <c r="G45" i="12"/>
  <c r="F45" i="12" a="1"/>
  <c r="F45" i="12"/>
  <c r="R45" i="5" a="1"/>
  <c r="R45" i="5"/>
  <c r="E45" i="12"/>
  <c r="L45" i="5"/>
  <c r="O45" i="5"/>
  <c r="D45" i="12"/>
  <c r="C45" i="12"/>
  <c r="D45" i="5"/>
  <c r="B45" i="12"/>
  <c r="I44" i="12"/>
  <c r="Y44" i="12"/>
  <c r="X44" i="12" a="1"/>
  <c r="X44" i="12"/>
  <c r="W44" i="12" a="1"/>
  <c r="W44" i="12"/>
  <c r="V44" i="12" a="1"/>
  <c r="V44" i="12"/>
  <c r="U44" i="12"/>
  <c r="T44" i="12"/>
  <c r="N44" i="12"/>
  <c r="L44" i="12" a="1"/>
  <c r="L44" i="12"/>
  <c r="J44" i="12" a="1"/>
  <c r="J44" i="12"/>
  <c r="K44" i="12"/>
  <c r="H44" i="12" a="1"/>
  <c r="H44" i="12"/>
  <c r="G44" i="12" a="1"/>
  <c r="G44" i="12"/>
  <c r="F44" i="12" a="1"/>
  <c r="F44" i="12"/>
  <c r="AF44" i="5" a="1"/>
  <c r="AF44" i="5"/>
  <c r="E44" i="12"/>
  <c r="L44" i="5"/>
  <c r="O44" i="5"/>
  <c r="D44" i="12"/>
  <c r="C44" i="12"/>
  <c r="N60" i="6"/>
  <c r="T60" i="5"/>
  <c r="AN60" i="5" a="1"/>
  <c r="AN60" i="5"/>
  <c r="AC60" i="5" a="1"/>
  <c r="AC60" i="5"/>
  <c r="G60" i="6"/>
  <c r="F60" i="6"/>
  <c r="E60" i="6"/>
  <c r="C60" i="6"/>
  <c r="N59" i="6"/>
  <c r="T59" i="5"/>
  <c r="AN59" i="5" a="1"/>
  <c r="AN59" i="5"/>
  <c r="AC59" i="5" a="1"/>
  <c r="AC59" i="5"/>
  <c r="G59" i="6"/>
  <c r="F59" i="6"/>
  <c r="E59" i="6"/>
  <c r="C59" i="6"/>
  <c r="N58" i="6"/>
  <c r="T58" i="5"/>
  <c r="AN58" i="5" a="1"/>
  <c r="AN58" i="5"/>
  <c r="AC58" i="5" a="1"/>
  <c r="AC58" i="5"/>
  <c r="G58" i="6"/>
  <c r="F58" i="6"/>
  <c r="E58" i="6"/>
  <c r="C58" i="6"/>
  <c r="N57" i="6"/>
  <c r="T57" i="5"/>
  <c r="AN57" i="5" a="1"/>
  <c r="AN57" i="5"/>
  <c r="AC57" i="5" a="1"/>
  <c r="AC57" i="5"/>
  <c r="G57" i="6"/>
  <c r="F57" i="6"/>
  <c r="E57" i="6"/>
  <c r="C57" i="6"/>
  <c r="N56" i="6"/>
  <c r="T56" i="5"/>
  <c r="AN56" i="5" a="1"/>
  <c r="AN56" i="5"/>
  <c r="AC56" i="5" a="1"/>
  <c r="AC56" i="5"/>
  <c r="G56" i="6"/>
  <c r="F56" i="6"/>
  <c r="E56" i="6"/>
  <c r="C56" i="6"/>
  <c r="N55" i="6"/>
  <c r="T55" i="5"/>
  <c r="S55" i="5" a="1"/>
  <c r="S55" i="5"/>
  <c r="AH55" i="5"/>
  <c r="AN55" i="5" a="1"/>
  <c r="AN55" i="5"/>
  <c r="AG55" i="5" a="1"/>
  <c r="AG55" i="5"/>
  <c r="AC55" i="5" a="1"/>
  <c r="AC55" i="5"/>
  <c r="G55" i="6"/>
  <c r="F55" i="6"/>
  <c r="E55" i="6"/>
  <c r="C55" i="6"/>
  <c r="N54" i="6"/>
  <c r="T54" i="5"/>
  <c r="S54" i="5" a="1"/>
  <c r="S54" i="5"/>
  <c r="AN54" i="5" a="1"/>
  <c r="AN54" i="5"/>
  <c r="AC54" i="5" a="1"/>
  <c r="AC54" i="5"/>
  <c r="G54" i="6"/>
  <c r="F54" i="6"/>
  <c r="E54" i="6"/>
  <c r="C54" i="6"/>
  <c r="N53" i="6"/>
  <c r="T53" i="5"/>
  <c r="S53" i="5" a="1"/>
  <c r="S53" i="5"/>
  <c r="AN53" i="5" a="1"/>
  <c r="AN53" i="5"/>
  <c r="AC53" i="5" a="1"/>
  <c r="AC53" i="5"/>
  <c r="G53" i="6"/>
  <c r="F53" i="6"/>
  <c r="E53" i="6"/>
  <c r="C53" i="6"/>
  <c r="N52" i="6"/>
  <c r="T52" i="5"/>
  <c r="S52" i="5" a="1"/>
  <c r="S52" i="5"/>
  <c r="AN52" i="5" a="1"/>
  <c r="AN52" i="5"/>
  <c r="AC52" i="5" a="1"/>
  <c r="AC52" i="5"/>
  <c r="G52" i="6"/>
  <c r="F52" i="6"/>
  <c r="E52" i="6"/>
  <c r="C52" i="6"/>
  <c r="N51" i="6"/>
  <c r="T51" i="5"/>
  <c r="S51" i="5" a="1"/>
  <c r="S51" i="5"/>
  <c r="AN51" i="5" a="1"/>
  <c r="AN51" i="5"/>
  <c r="AC51" i="5" a="1"/>
  <c r="AC51" i="5"/>
  <c r="G51" i="6"/>
  <c r="F51" i="6"/>
  <c r="E51" i="6"/>
  <c r="C51" i="6"/>
  <c r="N50" i="6"/>
  <c r="T50" i="5"/>
  <c r="S50" i="5" a="1"/>
  <c r="S50" i="5"/>
  <c r="AH50" i="5"/>
  <c r="AN50" i="5" a="1"/>
  <c r="AN50" i="5"/>
  <c r="AG50" i="5" a="1"/>
  <c r="AG50" i="5"/>
  <c r="AC50" i="5" a="1"/>
  <c r="AC50" i="5"/>
  <c r="G50" i="6"/>
  <c r="F50" i="6"/>
  <c r="E50" i="6"/>
  <c r="C50" i="6"/>
  <c r="N49" i="6"/>
  <c r="T49" i="5"/>
  <c r="S49" i="5" a="1"/>
  <c r="S49" i="5"/>
  <c r="AN49" i="5" a="1"/>
  <c r="AN49" i="5"/>
  <c r="AC49" i="5" a="1"/>
  <c r="AC49" i="5"/>
  <c r="G49" i="6"/>
  <c r="F49" i="6"/>
  <c r="E49" i="6"/>
  <c r="C49" i="6"/>
  <c r="N48" i="6"/>
  <c r="T48" i="5"/>
  <c r="S48" i="5" a="1"/>
  <c r="S48" i="5"/>
  <c r="AN48" i="5" a="1"/>
  <c r="AN48" i="5"/>
  <c r="AC48" i="5" a="1"/>
  <c r="AC48" i="5"/>
  <c r="G48" i="6"/>
  <c r="F48" i="6"/>
  <c r="E48" i="6"/>
  <c r="C48" i="6"/>
  <c r="N47" i="6"/>
  <c r="T47" i="5"/>
  <c r="S47" i="5" a="1"/>
  <c r="S47" i="5"/>
  <c r="AN47" i="5" a="1"/>
  <c r="AN47" i="5"/>
  <c r="AC47" i="5" a="1"/>
  <c r="AC47" i="5"/>
  <c r="G47" i="6"/>
  <c r="F47" i="6"/>
  <c r="E47" i="6"/>
  <c r="C47" i="6"/>
  <c r="N46" i="6"/>
  <c r="T46" i="5"/>
  <c r="S46" i="5" a="1"/>
  <c r="S46" i="5"/>
  <c r="AN46" i="5" a="1"/>
  <c r="AN46" i="5"/>
  <c r="AC46" i="5" a="1"/>
  <c r="AC46" i="5"/>
  <c r="G46" i="6"/>
  <c r="F46" i="6"/>
  <c r="E46" i="6"/>
  <c r="C46" i="6"/>
  <c r="N45" i="6"/>
  <c r="T45" i="5"/>
  <c r="AN45" i="5" a="1"/>
  <c r="AN45" i="5"/>
  <c r="AC45" i="5" a="1"/>
  <c r="AC45" i="5"/>
  <c r="G45" i="6"/>
  <c r="F45" i="6"/>
  <c r="E45" i="6"/>
  <c r="C45" i="6"/>
  <c r="N44" i="6"/>
  <c r="T44" i="5"/>
  <c r="S44" i="5" a="1"/>
  <c r="S44" i="5"/>
  <c r="AH44" i="5"/>
  <c r="AN44" i="5" a="1"/>
  <c r="AN44" i="5"/>
  <c r="AG44" i="5" a="1"/>
  <c r="AG44" i="5"/>
  <c r="AC44" i="5" a="1"/>
  <c r="AC44" i="5"/>
  <c r="G44" i="6"/>
  <c r="F44" i="6"/>
  <c r="E44" i="6"/>
  <c r="C44" i="6"/>
  <c r="H41" i="5"/>
  <c r="H42" i="5"/>
  <c r="H43" i="5"/>
  <c r="H44" i="5"/>
  <c r="H45" i="5"/>
  <c r="H46" i="5"/>
  <c r="H47" i="5"/>
  <c r="H48" i="5"/>
  <c r="H49" i="5"/>
  <c r="H50" i="5"/>
  <c r="H51" i="5"/>
  <c r="H52" i="5"/>
  <c r="H53" i="5"/>
  <c r="H54" i="5"/>
  <c r="H55" i="5"/>
  <c r="H56" i="5"/>
  <c r="H57" i="5"/>
  <c r="H58" i="5"/>
  <c r="H59" i="5"/>
  <c r="H60" i="5"/>
  <c r="AM60" i="5"/>
  <c r="K60" i="5"/>
  <c r="J60" i="5"/>
  <c r="AM59" i="5"/>
  <c r="K59" i="5"/>
  <c r="J59" i="5"/>
  <c r="AM58" i="5"/>
  <c r="K58" i="5"/>
  <c r="J58" i="5"/>
  <c r="AM57" i="5"/>
  <c r="K57" i="5"/>
  <c r="J57" i="5"/>
  <c r="AM56" i="5"/>
  <c r="K56" i="5"/>
  <c r="J56" i="5"/>
  <c r="AM55" i="5"/>
  <c r="AE55" i="5" a="1"/>
  <c r="AE55" i="5"/>
  <c r="W55" i="5" a="1"/>
  <c r="W55" i="5"/>
  <c r="AM54" i="5"/>
  <c r="K54" i="5"/>
  <c r="J54" i="5"/>
  <c r="AM53" i="5"/>
  <c r="K53" i="5"/>
  <c r="J53" i="5"/>
  <c r="AM52" i="5"/>
  <c r="K52" i="5"/>
  <c r="J52" i="5"/>
  <c r="AM51" i="5"/>
  <c r="K51" i="5"/>
  <c r="J51" i="5"/>
  <c r="AM50" i="5"/>
  <c r="AE50" i="5" a="1"/>
  <c r="AE50" i="5"/>
  <c r="W50" i="5" a="1"/>
  <c r="W50" i="5"/>
  <c r="AM49" i="5"/>
  <c r="K49" i="5"/>
  <c r="J49" i="5"/>
  <c r="AM48" i="5"/>
  <c r="K48" i="5"/>
  <c r="J48" i="5"/>
  <c r="AM47" i="5"/>
  <c r="K47" i="5"/>
  <c r="J47" i="5"/>
  <c r="AM46" i="5"/>
  <c r="K46" i="5"/>
  <c r="J46" i="5"/>
  <c r="AM45" i="5"/>
  <c r="K45" i="5"/>
  <c r="J45" i="5"/>
  <c r="AM44" i="5"/>
  <c r="AE44" i="5" a="1"/>
  <c r="AE44" i="5"/>
  <c r="W44" i="5" a="1"/>
  <c r="W44" i="5"/>
  <c r="A38" i="12"/>
  <c r="I38" i="12"/>
  <c r="AO38" i="12" a="1"/>
  <c r="AO38" i="12"/>
  <c r="L38" i="12" a="1"/>
  <c r="L38" i="12"/>
  <c r="O38" i="12" a="1"/>
  <c r="O38" i="12"/>
  <c r="Y38" i="12"/>
  <c r="X38" i="12" a="1"/>
  <c r="X38" i="12"/>
  <c r="W38" i="12" a="1"/>
  <c r="W38" i="12"/>
  <c r="V38" i="12" a="1"/>
  <c r="V38" i="12"/>
  <c r="U38" i="12"/>
  <c r="T38" i="12"/>
  <c r="J38" i="12" a="1"/>
  <c r="J38" i="12"/>
  <c r="M38" i="12" a="1"/>
  <c r="M38" i="12"/>
  <c r="N38" i="12"/>
  <c r="K38" i="12"/>
  <c r="H38" i="12" a="1"/>
  <c r="H38" i="12"/>
  <c r="G38" i="12" a="1"/>
  <c r="G38" i="12"/>
  <c r="F38" i="12" a="1"/>
  <c r="F38" i="12"/>
  <c r="R38" i="5" a="1"/>
  <c r="R38" i="5"/>
  <c r="E38" i="12"/>
  <c r="L38" i="5"/>
  <c r="I18" i="5"/>
  <c r="I19" i="5"/>
  <c r="I20" i="5"/>
  <c r="I21" i="5"/>
  <c r="I22" i="5"/>
  <c r="I23" i="5"/>
  <c r="I24" i="5"/>
  <c r="I25" i="5"/>
  <c r="I26" i="5"/>
  <c r="I27" i="5"/>
  <c r="I28" i="5"/>
  <c r="I29" i="5"/>
  <c r="I30" i="5"/>
  <c r="I31" i="5"/>
  <c r="I32" i="5"/>
  <c r="I33" i="5"/>
  <c r="I34" i="5"/>
  <c r="I35" i="5"/>
  <c r="I36" i="5"/>
  <c r="I37" i="5"/>
  <c r="I38" i="5"/>
  <c r="O38" i="5"/>
  <c r="D38" i="12"/>
  <c r="C38" i="12"/>
  <c r="D38" i="5"/>
  <c r="B38" i="12"/>
  <c r="A37" i="12"/>
  <c r="I37" i="12"/>
  <c r="AO37" i="12" a="1"/>
  <c r="AO37" i="12"/>
  <c r="L37" i="12" a="1"/>
  <c r="L37" i="12"/>
  <c r="O37" i="12" a="1"/>
  <c r="O37" i="12"/>
  <c r="Y37" i="12"/>
  <c r="X37" i="12" a="1"/>
  <c r="X37" i="12"/>
  <c r="W37" i="12" a="1"/>
  <c r="W37" i="12"/>
  <c r="V37" i="12" a="1"/>
  <c r="V37" i="12"/>
  <c r="U37" i="12"/>
  <c r="T37" i="12"/>
  <c r="J37" i="12" a="1"/>
  <c r="J37" i="12"/>
  <c r="M37" i="12" a="1"/>
  <c r="M37" i="12"/>
  <c r="N37" i="12"/>
  <c r="K37" i="12"/>
  <c r="H37" i="12" a="1"/>
  <c r="H37" i="12"/>
  <c r="G37" i="12" a="1"/>
  <c r="G37" i="12"/>
  <c r="F37" i="12" a="1"/>
  <c r="F37" i="12"/>
  <c r="R37" i="5" a="1"/>
  <c r="R37" i="5"/>
  <c r="E37" i="12"/>
  <c r="L37" i="5"/>
  <c r="O37" i="5"/>
  <c r="D37" i="12"/>
  <c r="C37" i="12"/>
  <c r="D37" i="5"/>
  <c r="B37" i="12"/>
  <c r="A36" i="12"/>
  <c r="I36" i="12"/>
  <c r="AO36" i="12" a="1"/>
  <c r="AO36" i="12"/>
  <c r="L36" i="12" a="1"/>
  <c r="L36" i="12"/>
  <c r="O36" i="12" a="1"/>
  <c r="O36" i="12"/>
  <c r="Y36" i="12"/>
  <c r="X36" i="12" a="1"/>
  <c r="X36" i="12"/>
  <c r="W36" i="12" a="1"/>
  <c r="W36" i="12"/>
  <c r="V36" i="12" a="1"/>
  <c r="V36" i="12"/>
  <c r="U36" i="12"/>
  <c r="T36" i="12"/>
  <c r="J36" i="12" a="1"/>
  <c r="J36" i="12"/>
  <c r="M36" i="12" a="1"/>
  <c r="M36" i="12"/>
  <c r="N36" i="12"/>
  <c r="K36" i="12"/>
  <c r="H36" i="12" a="1"/>
  <c r="H36" i="12"/>
  <c r="G36" i="12" a="1"/>
  <c r="G36" i="12"/>
  <c r="F36" i="12" a="1"/>
  <c r="F36" i="12"/>
  <c r="R36" i="5" a="1"/>
  <c r="R36" i="5"/>
  <c r="E36" i="12"/>
  <c r="L36" i="5"/>
  <c r="O36" i="5"/>
  <c r="D36" i="12"/>
  <c r="C36" i="12"/>
  <c r="D36" i="5"/>
  <c r="B36" i="12"/>
  <c r="A35" i="12"/>
  <c r="I35" i="12"/>
  <c r="AO35" i="12" a="1"/>
  <c r="AO35" i="12"/>
  <c r="L35" i="12" a="1"/>
  <c r="L35" i="12"/>
  <c r="O35" i="12" a="1"/>
  <c r="O35" i="12"/>
  <c r="Y35" i="12"/>
  <c r="X35" i="12" a="1"/>
  <c r="X35" i="12"/>
  <c r="W35" i="12" a="1"/>
  <c r="W35" i="12"/>
  <c r="V35" i="12" a="1"/>
  <c r="V35" i="12"/>
  <c r="U35" i="12"/>
  <c r="T35" i="12"/>
  <c r="J35" i="12" a="1"/>
  <c r="J35" i="12"/>
  <c r="M35" i="12" a="1"/>
  <c r="M35" i="12"/>
  <c r="N35" i="12"/>
  <c r="K35" i="12"/>
  <c r="H35" i="12" a="1"/>
  <c r="H35" i="12"/>
  <c r="G35" i="12" a="1"/>
  <c r="G35" i="12"/>
  <c r="F35" i="12" a="1"/>
  <c r="F35" i="12"/>
  <c r="R35" i="5" a="1"/>
  <c r="R35" i="5"/>
  <c r="E35" i="12"/>
  <c r="L35" i="5"/>
  <c r="O35" i="5"/>
  <c r="D35" i="12"/>
  <c r="C35" i="12"/>
  <c r="D35" i="5"/>
  <c r="B35" i="12"/>
  <c r="A34" i="12"/>
  <c r="I34" i="12"/>
  <c r="AO34" i="12" a="1"/>
  <c r="AO34" i="12"/>
  <c r="L34" i="12" a="1"/>
  <c r="L34" i="12"/>
  <c r="O34" i="12" a="1"/>
  <c r="O34" i="12"/>
  <c r="Y34" i="12"/>
  <c r="X34" i="12" a="1"/>
  <c r="X34" i="12"/>
  <c r="W34" i="12" a="1"/>
  <c r="W34" i="12"/>
  <c r="V34" i="12" a="1"/>
  <c r="V34" i="12"/>
  <c r="U34" i="12"/>
  <c r="T34" i="12"/>
  <c r="J34" i="12" a="1"/>
  <c r="J34" i="12"/>
  <c r="M34" i="12" a="1"/>
  <c r="M34" i="12"/>
  <c r="N34" i="12"/>
  <c r="K34" i="12"/>
  <c r="H34" i="12" a="1"/>
  <c r="H34" i="12"/>
  <c r="G34" i="12" a="1"/>
  <c r="G34" i="12"/>
  <c r="F34" i="12" a="1"/>
  <c r="F34" i="12"/>
  <c r="R34" i="5" a="1"/>
  <c r="R34" i="5"/>
  <c r="E34" i="12"/>
  <c r="L34" i="5"/>
  <c r="O34" i="5"/>
  <c r="D34" i="12"/>
  <c r="C34" i="12"/>
  <c r="D34" i="5"/>
  <c r="B34" i="12"/>
  <c r="A33" i="12"/>
  <c r="I33" i="12"/>
  <c r="AO33" i="12" a="1"/>
  <c r="AO33" i="12"/>
  <c r="L33" i="12" a="1"/>
  <c r="L33" i="12"/>
  <c r="O33" i="12" a="1"/>
  <c r="O33" i="12"/>
  <c r="Y33" i="12"/>
  <c r="X33" i="12" a="1"/>
  <c r="X33" i="12"/>
  <c r="W33" i="12" a="1"/>
  <c r="W33" i="12"/>
  <c r="V33" i="12" a="1"/>
  <c r="V33" i="12"/>
  <c r="U33" i="12"/>
  <c r="T33" i="12"/>
  <c r="J33" i="12" a="1"/>
  <c r="J33" i="12"/>
  <c r="M33" i="12" a="1"/>
  <c r="M33" i="12"/>
  <c r="N33" i="12"/>
  <c r="K33" i="12"/>
  <c r="H33" i="12" a="1"/>
  <c r="H33" i="12"/>
  <c r="G33" i="12" a="1"/>
  <c r="G33" i="12"/>
  <c r="F33" i="12" a="1"/>
  <c r="F33" i="12"/>
  <c r="R33" i="5" a="1"/>
  <c r="R33" i="5"/>
  <c r="E33" i="12"/>
  <c r="L33" i="5"/>
  <c r="O33" i="5"/>
  <c r="D33" i="12"/>
  <c r="C33" i="12"/>
  <c r="D33" i="5"/>
  <c r="B33" i="12"/>
  <c r="A32" i="12"/>
  <c r="I32" i="12"/>
  <c r="AO32" i="12" a="1"/>
  <c r="AO32" i="12"/>
  <c r="L32" i="12" a="1"/>
  <c r="L32" i="12"/>
  <c r="O32" i="12" a="1"/>
  <c r="O32" i="12"/>
  <c r="Y32" i="12"/>
  <c r="X32" i="12" a="1"/>
  <c r="X32" i="12"/>
  <c r="W32" i="12" a="1"/>
  <c r="W32" i="12"/>
  <c r="V32" i="12" a="1"/>
  <c r="V32" i="12"/>
  <c r="U32" i="12"/>
  <c r="T32" i="12"/>
  <c r="J32" i="12" a="1"/>
  <c r="J32" i="12"/>
  <c r="M32" i="12" a="1"/>
  <c r="M32" i="12"/>
  <c r="N32" i="12"/>
  <c r="K32" i="12"/>
  <c r="H32" i="12" a="1"/>
  <c r="H32" i="12"/>
  <c r="G32" i="12" a="1"/>
  <c r="G32" i="12"/>
  <c r="F32" i="12" a="1"/>
  <c r="F32" i="12"/>
  <c r="R32" i="5" a="1"/>
  <c r="R32" i="5"/>
  <c r="E32" i="12"/>
  <c r="L32" i="5"/>
  <c r="O32" i="5"/>
  <c r="D32" i="12"/>
  <c r="C32" i="12"/>
  <c r="D32" i="5"/>
  <c r="B32" i="12"/>
  <c r="A31" i="12"/>
  <c r="I31" i="12"/>
  <c r="AO31" i="12" a="1"/>
  <c r="AO31" i="12"/>
  <c r="L31" i="12" a="1"/>
  <c r="L31" i="12"/>
  <c r="O31" i="12" a="1"/>
  <c r="O31" i="12"/>
  <c r="Y31" i="12"/>
  <c r="X31" i="12" a="1"/>
  <c r="X31" i="12"/>
  <c r="W31" i="12" a="1"/>
  <c r="W31" i="12"/>
  <c r="V31" i="12" a="1"/>
  <c r="V31" i="12"/>
  <c r="U31" i="12"/>
  <c r="T31" i="12"/>
  <c r="J31" i="12" a="1"/>
  <c r="J31" i="12"/>
  <c r="M31" i="12" a="1"/>
  <c r="M31" i="12"/>
  <c r="N31" i="12"/>
  <c r="K31" i="12"/>
  <c r="H31" i="12" a="1"/>
  <c r="H31" i="12"/>
  <c r="G31" i="12" a="1"/>
  <c r="G31" i="12"/>
  <c r="F31" i="12" a="1"/>
  <c r="F31" i="12"/>
  <c r="R31" i="5" a="1"/>
  <c r="R31" i="5"/>
  <c r="E31" i="12"/>
  <c r="L31" i="5"/>
  <c r="O31" i="5"/>
  <c r="D31" i="12"/>
  <c r="C31" i="12"/>
  <c r="D31" i="5"/>
  <c r="B31" i="12"/>
  <c r="A30" i="12"/>
  <c r="I30" i="12"/>
  <c r="AO30" i="12" a="1"/>
  <c r="AO30" i="12"/>
  <c r="L30" i="12" a="1"/>
  <c r="L30" i="12"/>
  <c r="O30" i="12" a="1"/>
  <c r="O30" i="12"/>
  <c r="Y30" i="12"/>
  <c r="X30" i="12" a="1"/>
  <c r="X30" i="12"/>
  <c r="W30" i="12" a="1"/>
  <c r="W30" i="12"/>
  <c r="V30" i="12" a="1"/>
  <c r="V30" i="12"/>
  <c r="U30" i="12"/>
  <c r="T30" i="12"/>
  <c r="J30" i="12" a="1"/>
  <c r="J30" i="12"/>
  <c r="M30" i="12" a="1"/>
  <c r="M30" i="12"/>
  <c r="N30" i="12"/>
  <c r="K30" i="12"/>
  <c r="H30" i="12" a="1"/>
  <c r="H30" i="12"/>
  <c r="G30" i="12" a="1"/>
  <c r="G30" i="12"/>
  <c r="F30" i="12" a="1"/>
  <c r="F30" i="12"/>
  <c r="R30" i="5" a="1"/>
  <c r="R30" i="5"/>
  <c r="E30" i="12"/>
  <c r="L30" i="5"/>
  <c r="O30" i="5"/>
  <c r="D30" i="12"/>
  <c r="C30" i="12"/>
  <c r="D30" i="5"/>
  <c r="B30" i="12"/>
  <c r="A29" i="12"/>
  <c r="I29" i="12"/>
  <c r="AO29" i="12" a="1"/>
  <c r="AO29" i="12"/>
  <c r="L29" i="12" a="1"/>
  <c r="L29" i="12"/>
  <c r="O29" i="12" a="1"/>
  <c r="O29" i="12"/>
  <c r="Y29" i="12"/>
  <c r="X29" i="12" a="1"/>
  <c r="X29" i="12"/>
  <c r="W29" i="12" a="1"/>
  <c r="W29" i="12"/>
  <c r="V29" i="12" a="1"/>
  <c r="V29" i="12"/>
  <c r="U29" i="12"/>
  <c r="T29" i="12"/>
  <c r="J29" i="12" a="1"/>
  <c r="J29" i="12"/>
  <c r="M29" i="12" a="1"/>
  <c r="M29" i="12"/>
  <c r="N29" i="12"/>
  <c r="K29" i="12"/>
  <c r="H29" i="12" a="1"/>
  <c r="H29" i="12"/>
  <c r="G29" i="12" a="1"/>
  <c r="G29" i="12"/>
  <c r="F29" i="12" a="1"/>
  <c r="F29" i="12"/>
  <c r="R29" i="5" a="1"/>
  <c r="R29" i="5"/>
  <c r="E29" i="12"/>
  <c r="L29" i="5"/>
  <c r="O29" i="5"/>
  <c r="D29" i="12"/>
  <c r="C29" i="12"/>
  <c r="D29" i="5"/>
  <c r="B29" i="12"/>
  <c r="A28" i="12"/>
  <c r="I28" i="12"/>
  <c r="AO28" i="12" a="1"/>
  <c r="AO28" i="12"/>
  <c r="L28" i="12" a="1"/>
  <c r="L28" i="12"/>
  <c r="O28" i="12" a="1"/>
  <c r="O28" i="12"/>
  <c r="Y28" i="12"/>
  <c r="X28" i="12" a="1"/>
  <c r="X28" i="12"/>
  <c r="W28" i="12" a="1"/>
  <c r="W28" i="12"/>
  <c r="V28" i="12" a="1"/>
  <c r="V28" i="12"/>
  <c r="U28" i="12"/>
  <c r="T28" i="12"/>
  <c r="J28" i="12" a="1"/>
  <c r="J28" i="12"/>
  <c r="M28" i="12" a="1"/>
  <c r="M28" i="12"/>
  <c r="N28" i="12"/>
  <c r="K28" i="12"/>
  <c r="H28" i="12" a="1"/>
  <c r="H28" i="12"/>
  <c r="G28" i="12" a="1"/>
  <c r="G28" i="12"/>
  <c r="F28" i="12" a="1"/>
  <c r="F28" i="12"/>
  <c r="R28" i="5" a="1"/>
  <c r="R28" i="5"/>
  <c r="E28" i="12"/>
  <c r="L28" i="5"/>
  <c r="O28" i="5"/>
  <c r="D28" i="12"/>
  <c r="C28" i="12"/>
  <c r="D28" i="5"/>
  <c r="B28" i="12"/>
  <c r="A27" i="12"/>
  <c r="I27" i="12"/>
  <c r="AO27" i="12" a="1"/>
  <c r="AO27" i="12"/>
  <c r="L27" i="12" a="1"/>
  <c r="L27" i="12"/>
  <c r="O27" i="12" a="1"/>
  <c r="O27" i="12"/>
  <c r="Y27" i="12"/>
  <c r="X27" i="12" a="1"/>
  <c r="X27" i="12"/>
  <c r="W27" i="12" a="1"/>
  <c r="W27" i="12"/>
  <c r="V27" i="12" a="1"/>
  <c r="V27" i="12"/>
  <c r="U27" i="12"/>
  <c r="T27" i="12"/>
  <c r="J27" i="12" a="1"/>
  <c r="J27" i="12"/>
  <c r="M27" i="12" a="1"/>
  <c r="M27" i="12"/>
  <c r="N27" i="12"/>
  <c r="K27" i="12"/>
  <c r="H27" i="12" a="1"/>
  <c r="H27" i="12"/>
  <c r="G27" i="12" a="1"/>
  <c r="G27" i="12"/>
  <c r="F27" i="12" a="1"/>
  <c r="F27" i="12"/>
  <c r="R27" i="5" a="1"/>
  <c r="R27" i="5"/>
  <c r="E27" i="12"/>
  <c r="L27" i="5"/>
  <c r="O27" i="5"/>
  <c r="D27" i="12"/>
  <c r="C27" i="12"/>
  <c r="D27" i="5"/>
  <c r="B27" i="12"/>
  <c r="A26" i="12"/>
  <c r="I26" i="12"/>
  <c r="AO26" i="12" a="1"/>
  <c r="AO26" i="12"/>
  <c r="L26" i="12" a="1"/>
  <c r="L26" i="12"/>
  <c r="O26" i="12" a="1"/>
  <c r="O26" i="12"/>
  <c r="Y26" i="12"/>
  <c r="X26" i="12" a="1"/>
  <c r="X26" i="12"/>
  <c r="W26" i="12" a="1"/>
  <c r="W26" i="12"/>
  <c r="V26" i="12" a="1"/>
  <c r="V26" i="12"/>
  <c r="U26" i="12"/>
  <c r="T26" i="12"/>
  <c r="J26" i="12" a="1"/>
  <c r="J26" i="12"/>
  <c r="M26" i="12" a="1"/>
  <c r="M26" i="12"/>
  <c r="N26" i="12"/>
  <c r="K26" i="12"/>
  <c r="H26" i="12" a="1"/>
  <c r="H26" i="12"/>
  <c r="G26" i="12" a="1"/>
  <c r="G26" i="12"/>
  <c r="F26" i="12" a="1"/>
  <c r="F26" i="12"/>
  <c r="R26" i="5" a="1"/>
  <c r="R26" i="5"/>
  <c r="E26" i="12"/>
  <c r="L26" i="5"/>
  <c r="O26" i="5"/>
  <c r="D26" i="12"/>
  <c r="C26" i="12"/>
  <c r="D26" i="5"/>
  <c r="B26" i="12"/>
  <c r="A25" i="12"/>
  <c r="I25" i="12"/>
  <c r="AO25" i="12" a="1"/>
  <c r="AO25" i="12"/>
  <c r="L25" i="12" a="1"/>
  <c r="L25" i="12"/>
  <c r="O25" i="12" a="1"/>
  <c r="O25" i="12"/>
  <c r="Y25" i="12"/>
  <c r="X25" i="12" a="1"/>
  <c r="X25" i="12"/>
  <c r="W25" i="12" a="1"/>
  <c r="W25" i="12"/>
  <c r="V25" i="12" a="1"/>
  <c r="V25" i="12"/>
  <c r="U25" i="12"/>
  <c r="T25" i="12"/>
  <c r="J25" i="12" a="1"/>
  <c r="J25" i="12"/>
  <c r="M25" i="12" a="1"/>
  <c r="M25" i="12"/>
  <c r="N25" i="12"/>
  <c r="K25" i="12"/>
  <c r="H25" i="12" a="1"/>
  <c r="H25" i="12"/>
  <c r="G25" i="12" a="1"/>
  <c r="G25" i="12"/>
  <c r="F25" i="12" a="1"/>
  <c r="F25" i="12"/>
  <c r="R25" i="5" a="1"/>
  <c r="R25" i="5"/>
  <c r="E25" i="12"/>
  <c r="L25" i="5"/>
  <c r="O25" i="5"/>
  <c r="D25" i="12"/>
  <c r="C25" i="12"/>
  <c r="D25" i="5"/>
  <c r="B25" i="12"/>
  <c r="A24" i="12"/>
  <c r="I24" i="12"/>
  <c r="AO24" i="12" a="1"/>
  <c r="AO24" i="12"/>
  <c r="L24" i="12" a="1"/>
  <c r="L24" i="12"/>
  <c r="O24" i="12" a="1"/>
  <c r="O24" i="12"/>
  <c r="Y24" i="12"/>
  <c r="X24" i="12" a="1"/>
  <c r="X24" i="12"/>
  <c r="W24" i="12" a="1"/>
  <c r="W24" i="12"/>
  <c r="V24" i="12" a="1"/>
  <c r="V24" i="12"/>
  <c r="U24" i="12"/>
  <c r="T24" i="12"/>
  <c r="J24" i="12" a="1"/>
  <c r="J24" i="12"/>
  <c r="M24" i="12" a="1"/>
  <c r="M24" i="12"/>
  <c r="N24" i="12"/>
  <c r="K24" i="12"/>
  <c r="H24" i="12" a="1"/>
  <c r="H24" i="12"/>
  <c r="G24" i="12" a="1"/>
  <c r="G24" i="12"/>
  <c r="F24" i="12" a="1"/>
  <c r="F24" i="12"/>
  <c r="R24" i="5" a="1"/>
  <c r="R24" i="5"/>
  <c r="E24" i="12"/>
  <c r="L24" i="5"/>
  <c r="O24" i="5"/>
  <c r="D24" i="12"/>
  <c r="C24" i="12"/>
  <c r="D24" i="5"/>
  <c r="B24" i="12"/>
  <c r="A23" i="12"/>
  <c r="I23" i="12"/>
  <c r="AO23" i="12" a="1"/>
  <c r="AO23" i="12"/>
  <c r="L23" i="12" a="1"/>
  <c r="L23" i="12"/>
  <c r="O23" i="12" a="1"/>
  <c r="O23" i="12"/>
  <c r="Y23" i="12"/>
  <c r="X23" i="12" a="1"/>
  <c r="X23" i="12"/>
  <c r="W23" i="12" a="1"/>
  <c r="W23" i="12"/>
  <c r="V23" i="12" a="1"/>
  <c r="V23" i="12"/>
  <c r="U23" i="12"/>
  <c r="T23" i="12"/>
  <c r="J23" i="12" a="1"/>
  <c r="J23" i="12"/>
  <c r="M23" i="12" a="1"/>
  <c r="M23" i="12"/>
  <c r="N23" i="12"/>
  <c r="K23" i="12"/>
  <c r="H23" i="12" a="1"/>
  <c r="H23" i="12"/>
  <c r="G23" i="12" a="1"/>
  <c r="G23" i="12"/>
  <c r="F23" i="12" a="1"/>
  <c r="F23" i="12"/>
  <c r="R23" i="5" a="1"/>
  <c r="R23" i="5"/>
  <c r="E23" i="12"/>
  <c r="L23" i="5"/>
  <c r="O23" i="5"/>
  <c r="D23" i="12"/>
  <c r="C23" i="12"/>
  <c r="D23" i="5"/>
  <c r="B23" i="12"/>
  <c r="A22" i="12"/>
  <c r="I22" i="12"/>
  <c r="AO22" i="12" a="1"/>
  <c r="AO22" i="12"/>
  <c r="L22" i="12" a="1"/>
  <c r="L22" i="12"/>
  <c r="O22" i="12" a="1"/>
  <c r="O22" i="12"/>
  <c r="Y22" i="12"/>
  <c r="X22" i="12" a="1"/>
  <c r="X22" i="12"/>
  <c r="W22" i="12" a="1"/>
  <c r="W22" i="12"/>
  <c r="V22" i="12" a="1"/>
  <c r="V22" i="12"/>
  <c r="U22" i="12"/>
  <c r="T22" i="12"/>
  <c r="J22" i="12" a="1"/>
  <c r="J22" i="12"/>
  <c r="M22" i="12" a="1"/>
  <c r="M22" i="12"/>
  <c r="N22" i="12"/>
  <c r="K22" i="12"/>
  <c r="H22" i="12" a="1"/>
  <c r="H22" i="12"/>
  <c r="G22" i="12" a="1"/>
  <c r="G22" i="12"/>
  <c r="F22" i="12" a="1"/>
  <c r="F22" i="12"/>
  <c r="R22" i="5" a="1"/>
  <c r="R22" i="5"/>
  <c r="E22" i="12"/>
  <c r="L22" i="5"/>
  <c r="O22" i="5"/>
  <c r="D22" i="12"/>
  <c r="C22" i="12"/>
  <c r="D22" i="5"/>
  <c r="B22" i="12"/>
  <c r="A21" i="12"/>
  <c r="I21" i="12"/>
  <c r="AO21" i="12" a="1"/>
  <c r="AO21" i="12"/>
  <c r="L21" i="12" a="1"/>
  <c r="L21" i="12"/>
  <c r="O21" i="12" a="1"/>
  <c r="O21" i="12"/>
  <c r="Y21" i="12"/>
  <c r="X21" i="12" a="1"/>
  <c r="X21" i="12"/>
  <c r="W21" i="12" a="1"/>
  <c r="W21" i="12"/>
  <c r="V21" i="12" a="1"/>
  <c r="V21" i="12"/>
  <c r="U21" i="12"/>
  <c r="T21" i="12"/>
  <c r="J21" i="12" a="1"/>
  <c r="J21" i="12"/>
  <c r="M21" i="12" a="1"/>
  <c r="M21" i="12"/>
  <c r="N21" i="12"/>
  <c r="K21" i="12"/>
  <c r="H21" i="12" a="1"/>
  <c r="H21" i="12"/>
  <c r="G21" i="12" a="1"/>
  <c r="G21" i="12"/>
  <c r="F21" i="12" a="1"/>
  <c r="F21" i="12"/>
  <c r="R21" i="5" a="1"/>
  <c r="R21" i="5"/>
  <c r="E21" i="12"/>
  <c r="L21" i="5"/>
  <c r="O21" i="5"/>
  <c r="D21" i="12"/>
  <c r="C21" i="12"/>
  <c r="D21" i="5"/>
  <c r="B21" i="12"/>
  <c r="A20" i="12"/>
  <c r="I20" i="12"/>
  <c r="AO20" i="12" a="1"/>
  <c r="AO20" i="12"/>
  <c r="L20" i="12" a="1"/>
  <c r="L20" i="12"/>
  <c r="O20" i="12" a="1"/>
  <c r="O20" i="12"/>
  <c r="Y20" i="12"/>
  <c r="X20" i="12" a="1"/>
  <c r="X20" i="12"/>
  <c r="W20" i="12" a="1"/>
  <c r="W20" i="12"/>
  <c r="V20" i="12" a="1"/>
  <c r="V20" i="12"/>
  <c r="U20" i="12"/>
  <c r="T20" i="12"/>
  <c r="J20" i="12" a="1"/>
  <c r="J20" i="12"/>
  <c r="M20" i="12" a="1"/>
  <c r="M20" i="12"/>
  <c r="N20" i="12"/>
  <c r="K20" i="12"/>
  <c r="H20" i="12" a="1"/>
  <c r="H20" i="12"/>
  <c r="G20" i="12" a="1"/>
  <c r="G20" i="12"/>
  <c r="F20" i="12" a="1"/>
  <c r="F20" i="12"/>
  <c r="R20" i="5" a="1"/>
  <c r="R20" i="5"/>
  <c r="E20" i="12"/>
  <c r="L20" i="5"/>
  <c r="O20" i="5"/>
  <c r="D20" i="12"/>
  <c r="C20" i="12"/>
  <c r="D20" i="5"/>
  <c r="B20" i="12"/>
  <c r="N38" i="6"/>
  <c r="T38" i="5"/>
  <c r="AN38" i="5" a="1"/>
  <c r="AN38" i="5"/>
  <c r="AC38" i="5" a="1"/>
  <c r="AC38" i="5"/>
  <c r="G38" i="6"/>
  <c r="F38" i="6"/>
  <c r="E38" i="6"/>
  <c r="C38" i="6"/>
  <c r="N37" i="6"/>
  <c r="T37" i="5"/>
  <c r="AN37" i="5" a="1"/>
  <c r="AN37" i="5"/>
  <c r="AC37" i="5" a="1"/>
  <c r="AC37" i="5"/>
  <c r="G37" i="6"/>
  <c r="F37" i="6"/>
  <c r="E37" i="6"/>
  <c r="C37" i="6"/>
  <c r="N36" i="6"/>
  <c r="T36" i="5"/>
  <c r="AN36" i="5" a="1"/>
  <c r="AN36" i="5"/>
  <c r="AC36" i="5" a="1"/>
  <c r="AC36" i="5"/>
  <c r="G36" i="6"/>
  <c r="F36" i="6"/>
  <c r="E36" i="6"/>
  <c r="C36" i="6"/>
  <c r="N35" i="6"/>
  <c r="T35" i="5"/>
  <c r="AN35" i="5" a="1"/>
  <c r="AN35" i="5"/>
  <c r="AC35" i="5" a="1"/>
  <c r="AC35" i="5"/>
  <c r="G35" i="6"/>
  <c r="F35" i="6"/>
  <c r="E35" i="6"/>
  <c r="C35" i="6"/>
  <c r="N34" i="6"/>
  <c r="T34" i="5"/>
  <c r="AN34" i="5" a="1"/>
  <c r="AN34" i="5"/>
  <c r="AC34" i="5" a="1"/>
  <c r="AC34" i="5"/>
  <c r="G34" i="6"/>
  <c r="F34" i="6"/>
  <c r="E34" i="6"/>
  <c r="C34" i="6"/>
  <c r="N33" i="6"/>
  <c r="T33" i="5"/>
  <c r="AN33" i="5" a="1"/>
  <c r="AN33" i="5"/>
  <c r="AC33" i="5" a="1"/>
  <c r="AC33" i="5"/>
  <c r="G33" i="6"/>
  <c r="F33" i="6"/>
  <c r="E33" i="6"/>
  <c r="C33" i="6"/>
  <c r="N32" i="6"/>
  <c r="T32" i="5"/>
  <c r="AN32" i="5" a="1"/>
  <c r="AN32" i="5"/>
  <c r="AC32" i="5" a="1"/>
  <c r="AC32" i="5"/>
  <c r="G32" i="6"/>
  <c r="F32" i="6"/>
  <c r="E32" i="6"/>
  <c r="C32" i="6"/>
  <c r="N31" i="6"/>
  <c r="T31" i="5"/>
  <c r="AN31" i="5" a="1"/>
  <c r="AN31" i="5"/>
  <c r="AC31" i="5" a="1"/>
  <c r="AC31" i="5"/>
  <c r="G31" i="6"/>
  <c r="F31" i="6"/>
  <c r="E31" i="6"/>
  <c r="C31" i="6"/>
  <c r="N30" i="6"/>
  <c r="T30" i="5"/>
  <c r="AN30" i="5" a="1"/>
  <c r="AN30" i="5"/>
  <c r="AC30" i="5" a="1"/>
  <c r="AC30" i="5"/>
  <c r="G30" i="6"/>
  <c r="F30" i="6"/>
  <c r="E30" i="6"/>
  <c r="C30" i="6"/>
  <c r="N29" i="6"/>
  <c r="T29" i="5"/>
  <c r="AN29" i="5" a="1"/>
  <c r="AN29" i="5"/>
  <c r="AC29" i="5" a="1"/>
  <c r="AC29" i="5"/>
  <c r="G29" i="6"/>
  <c r="F29" i="6"/>
  <c r="E29" i="6"/>
  <c r="C29" i="6"/>
  <c r="N28" i="6"/>
  <c r="T28" i="5"/>
  <c r="AN28" i="5" a="1"/>
  <c r="AN28" i="5"/>
  <c r="AC28" i="5" a="1"/>
  <c r="AC28" i="5"/>
  <c r="G28" i="6"/>
  <c r="F28" i="6"/>
  <c r="E28" i="6"/>
  <c r="C28" i="6"/>
  <c r="N27" i="6"/>
  <c r="T27" i="5"/>
  <c r="AN27" i="5" a="1"/>
  <c r="AN27" i="5"/>
  <c r="AC27" i="5" a="1"/>
  <c r="AC27" i="5"/>
  <c r="G27" i="6"/>
  <c r="F27" i="6"/>
  <c r="E27" i="6"/>
  <c r="C27" i="6"/>
  <c r="N26" i="6"/>
  <c r="T26" i="5"/>
  <c r="AN26" i="5" a="1"/>
  <c r="AN26" i="5"/>
  <c r="AC26" i="5" a="1"/>
  <c r="AC26" i="5"/>
  <c r="G26" i="6"/>
  <c r="F26" i="6"/>
  <c r="E26" i="6"/>
  <c r="C26" i="6"/>
  <c r="N25" i="6"/>
  <c r="T25" i="5"/>
  <c r="AN25" i="5" a="1"/>
  <c r="AN25" i="5"/>
  <c r="AC25" i="5" a="1"/>
  <c r="AC25" i="5"/>
  <c r="G25" i="6"/>
  <c r="F25" i="6"/>
  <c r="E25" i="6"/>
  <c r="C25" i="6"/>
  <c r="N24" i="6"/>
  <c r="T24" i="5"/>
  <c r="AN24" i="5" a="1"/>
  <c r="AN24" i="5"/>
  <c r="AC24" i="5" a="1"/>
  <c r="AC24" i="5"/>
  <c r="G24" i="6"/>
  <c r="F24" i="6"/>
  <c r="E24" i="6"/>
  <c r="C24" i="6"/>
  <c r="N23" i="6"/>
  <c r="T23" i="5"/>
  <c r="AN23" i="5" a="1"/>
  <c r="AN23" i="5"/>
  <c r="AC23" i="5" a="1"/>
  <c r="AC23" i="5"/>
  <c r="G23" i="6"/>
  <c r="F23" i="6"/>
  <c r="E23" i="6"/>
  <c r="C23" i="6"/>
  <c r="N22" i="6"/>
  <c r="T22" i="5"/>
  <c r="AN22" i="5" a="1"/>
  <c r="AN22" i="5"/>
  <c r="AC22" i="5" a="1"/>
  <c r="AC22" i="5"/>
  <c r="G22" i="6"/>
  <c r="F22" i="6"/>
  <c r="E22" i="6"/>
  <c r="C22" i="6"/>
  <c r="N21" i="6"/>
  <c r="T21" i="5"/>
  <c r="AN21" i="5" a="1"/>
  <c r="AN21" i="5"/>
  <c r="AC21" i="5" a="1"/>
  <c r="AC21" i="5"/>
  <c r="G21" i="6"/>
  <c r="F21" i="6"/>
  <c r="E21" i="6"/>
  <c r="C21" i="6"/>
  <c r="N20" i="6"/>
  <c r="T20" i="5"/>
  <c r="AN20" i="5" a="1"/>
  <c r="AN20" i="5"/>
  <c r="AC20" i="5" a="1"/>
  <c r="AC20" i="5"/>
  <c r="G20" i="6"/>
  <c r="F20" i="6"/>
  <c r="E20" i="6"/>
  <c r="C20" i="6"/>
  <c r="H18" i="5"/>
  <c r="H19" i="5"/>
  <c r="H20" i="5"/>
  <c r="H21" i="5"/>
  <c r="H22" i="5"/>
  <c r="H23" i="5"/>
  <c r="H24" i="5"/>
  <c r="H25" i="5"/>
  <c r="H26" i="5"/>
  <c r="H27" i="5"/>
  <c r="H28" i="5"/>
  <c r="H29" i="5"/>
  <c r="H30" i="5"/>
  <c r="H31" i="5"/>
  <c r="H32" i="5"/>
  <c r="H33" i="5"/>
  <c r="H34" i="5"/>
  <c r="H35" i="5"/>
  <c r="H36" i="5"/>
  <c r="H37" i="5"/>
  <c r="H38" i="5"/>
  <c r="AM38" i="5"/>
  <c r="K38" i="5"/>
  <c r="J38" i="5"/>
  <c r="AM37" i="5"/>
  <c r="K37" i="5"/>
  <c r="J37" i="5"/>
  <c r="AM36" i="5"/>
  <c r="K36" i="5"/>
  <c r="J36" i="5"/>
  <c r="AM35" i="5"/>
  <c r="K35" i="5"/>
  <c r="J35" i="5"/>
  <c r="AM34" i="5"/>
  <c r="K34" i="5"/>
  <c r="J34" i="5"/>
  <c r="AM33" i="5"/>
  <c r="K33" i="5"/>
  <c r="J33" i="5"/>
  <c r="AM32" i="5"/>
  <c r="K32" i="5"/>
  <c r="J32" i="5"/>
  <c r="AM31" i="5"/>
  <c r="K31" i="5"/>
  <c r="J31" i="5"/>
  <c r="AM30" i="5"/>
  <c r="K30" i="5"/>
  <c r="J30" i="5"/>
  <c r="AM29" i="5"/>
  <c r="K29" i="5"/>
  <c r="J29" i="5"/>
  <c r="AM28" i="5"/>
  <c r="K28" i="5"/>
  <c r="J28" i="5"/>
  <c r="AM27" i="5"/>
  <c r="K27" i="5"/>
  <c r="J27" i="5"/>
  <c r="AM26" i="5"/>
  <c r="K26" i="5"/>
  <c r="J26" i="5"/>
  <c r="AM25" i="5"/>
  <c r="K25" i="5"/>
  <c r="J25" i="5"/>
  <c r="AM24" i="5"/>
  <c r="K24" i="5"/>
  <c r="J24" i="5"/>
  <c r="AM23" i="5"/>
  <c r="K23" i="5"/>
  <c r="J23" i="5"/>
  <c r="AM22" i="5"/>
  <c r="K22" i="5"/>
  <c r="J22" i="5"/>
  <c r="AM21" i="5"/>
  <c r="K21" i="5"/>
  <c r="J21" i="5"/>
  <c r="AM20" i="5"/>
  <c r="K20" i="5"/>
  <c r="J20" i="5"/>
  <c r="R18" i="5"/>
  <c r="A18" i="12"/>
  <c r="I18" i="12"/>
  <c r="B18" i="12"/>
  <c r="A19" i="12"/>
  <c r="I19" i="12"/>
  <c r="AO19" i="12" a="1"/>
  <c r="AO19" i="12"/>
  <c r="A39" i="12"/>
  <c r="B39" i="12"/>
  <c r="AO18" i="12" a="1"/>
  <c r="AO18" i="12"/>
  <c r="L19" i="12" a="1"/>
  <c r="L19" i="12"/>
  <c r="O19" i="12" a="1"/>
  <c r="O19" i="12"/>
  <c r="O18" i="12" a="1"/>
  <c r="O18" i="12"/>
  <c r="Y18" i="12"/>
  <c r="X18" i="12" a="1"/>
  <c r="X18" i="12"/>
  <c r="W18" i="12" a="1"/>
  <c r="W18" i="12"/>
  <c r="V18" i="12" a="1"/>
  <c r="V18" i="12"/>
  <c r="U18" i="12"/>
  <c r="T18" i="12"/>
  <c r="J19" i="12" a="1"/>
  <c r="J19" i="12"/>
  <c r="M19" i="12" a="1"/>
  <c r="M19" i="12"/>
  <c r="M18" i="12" a="1"/>
  <c r="M18" i="12"/>
  <c r="N18" i="12"/>
  <c r="L18" i="12" a="1"/>
  <c r="L18" i="12"/>
  <c r="J18" i="12" a="1"/>
  <c r="J18" i="12"/>
  <c r="K18" i="12"/>
  <c r="H18" i="12" a="1"/>
  <c r="H18" i="12"/>
  <c r="G18" i="12" a="1"/>
  <c r="G18" i="12"/>
  <c r="F18" i="12" a="1"/>
  <c r="F18" i="12"/>
  <c r="AF18" i="5" a="1"/>
  <c r="AF18" i="5"/>
  <c r="E18" i="12"/>
  <c r="L18" i="5"/>
  <c r="O18" i="5"/>
  <c r="D18" i="12"/>
  <c r="C18" i="12"/>
  <c r="N18" i="6"/>
  <c r="T18" i="5"/>
  <c r="S18" i="5" a="1"/>
  <c r="S18" i="5"/>
  <c r="AH18" i="5"/>
  <c r="AN18" i="5" a="1"/>
  <c r="AN18" i="5"/>
  <c r="AG18" i="5" a="1"/>
  <c r="AG18" i="5"/>
  <c r="AC18" i="5" a="1"/>
  <c r="AC18" i="5"/>
  <c r="G18" i="6"/>
  <c r="F18" i="6"/>
  <c r="E18" i="6"/>
  <c r="C18" i="6"/>
  <c r="AM18" i="5"/>
  <c r="AE18" i="5" a="1"/>
  <c r="AE18" i="5"/>
  <c r="AB18" i="5"/>
  <c r="W18" i="5" a="1"/>
  <c r="W18" i="5"/>
  <c r="I17" i="5"/>
  <c r="H17" i="5"/>
  <c r="C23" i="10"/>
  <c r="A23" i="10"/>
  <c r="C23" i="9"/>
  <c r="F23" i="9"/>
  <c r="Y23" i="7" a="1"/>
  <c r="Y23" i="7"/>
  <c r="X23" i="7" a="1"/>
  <c r="X23" i="7"/>
  <c r="W23" i="7" a="1"/>
  <c r="W23" i="7"/>
  <c r="A23" i="7"/>
  <c r="B23" i="7"/>
  <c r="Y42" i="12"/>
  <c r="X42" i="12" a="1"/>
  <c r="X42" i="12"/>
  <c r="W42" i="12" a="1"/>
  <c r="W42" i="12"/>
  <c r="V42" i="12" a="1"/>
  <c r="V42" i="12"/>
  <c r="U42" i="12"/>
  <c r="T42" i="12"/>
  <c r="N42" i="12"/>
  <c r="K42" i="12"/>
  <c r="H42" i="12" a="1"/>
  <c r="H42" i="12"/>
  <c r="G42" i="12" a="1"/>
  <c r="G42" i="12"/>
  <c r="F42" i="12" a="1"/>
  <c r="F42" i="12"/>
  <c r="R42" i="5" a="1"/>
  <c r="R42" i="5"/>
  <c r="E42" i="12"/>
  <c r="L42" i="5"/>
  <c r="I41" i="5"/>
  <c r="I42" i="5"/>
  <c r="O42" i="5"/>
  <c r="D42" i="12"/>
  <c r="C42" i="12"/>
  <c r="D42" i="5"/>
  <c r="B42" i="12"/>
  <c r="N42" i="6"/>
  <c r="T42" i="5"/>
  <c r="S42" i="5" a="1"/>
  <c r="S42" i="5"/>
  <c r="AN42" i="5" a="1"/>
  <c r="AN42" i="5"/>
  <c r="AC42" i="5" a="1"/>
  <c r="AC42" i="5"/>
  <c r="G42" i="6"/>
  <c r="F42" i="6"/>
  <c r="E42" i="6"/>
  <c r="C42" i="6"/>
  <c r="AM42" i="5"/>
  <c r="K42" i="5"/>
  <c r="J42" i="5"/>
  <c r="K41" i="12"/>
  <c r="H41" i="12" a="1"/>
  <c r="H41" i="12"/>
  <c r="G41" i="12" a="1"/>
  <c r="G41" i="12"/>
  <c r="F41" i="12" a="1"/>
  <c r="F41" i="12"/>
  <c r="R41" i="5" a="1"/>
  <c r="R41" i="5"/>
  <c r="E41" i="12"/>
  <c r="D41" i="5"/>
  <c r="B41" i="12"/>
  <c r="S41" i="5" a="1"/>
  <c r="S41" i="5"/>
  <c r="AN41" i="5" a="1"/>
  <c r="AN41" i="5"/>
  <c r="G41" i="6"/>
  <c r="F41" i="6"/>
  <c r="K41" i="5"/>
  <c r="J41" i="5"/>
  <c r="Y43" i="12"/>
  <c r="X43" i="12" a="1"/>
  <c r="X43" i="12"/>
  <c r="W43" i="12" a="1"/>
  <c r="W43" i="12"/>
  <c r="V43" i="12" a="1"/>
  <c r="V43" i="12"/>
  <c r="U43" i="12"/>
  <c r="T43" i="12"/>
  <c r="N43" i="12"/>
  <c r="K43" i="12"/>
  <c r="H43" i="12" a="1"/>
  <c r="H43" i="12"/>
  <c r="G43" i="12" a="1"/>
  <c r="G43" i="12"/>
  <c r="F43" i="12" a="1"/>
  <c r="F43" i="12"/>
  <c r="R43" i="5" a="1"/>
  <c r="R43" i="5"/>
  <c r="E43" i="12"/>
  <c r="L43" i="5"/>
  <c r="I43" i="5"/>
  <c r="O43" i="5"/>
  <c r="D43" i="12"/>
  <c r="C43" i="12"/>
  <c r="D43" i="5"/>
  <c r="B43" i="12"/>
  <c r="N43" i="6"/>
  <c r="T43" i="5"/>
  <c r="S43" i="5" a="1"/>
  <c r="S43" i="5"/>
  <c r="AN43" i="5" a="1"/>
  <c r="AN43" i="5"/>
  <c r="AC43" i="5" a="1"/>
  <c r="AC43" i="5"/>
  <c r="G43" i="6"/>
  <c r="F43" i="6"/>
  <c r="E43" i="6"/>
  <c r="C43" i="6"/>
  <c r="AM43" i="5"/>
  <c r="K43" i="5"/>
  <c r="J43" i="5"/>
  <c r="C192" i="3"/>
  <c r="H14" i="13"/>
  <c r="G14" i="13"/>
  <c r="S14" i="11"/>
  <c r="J14" i="11"/>
  <c r="I14" i="13"/>
  <c r="A18" i="7"/>
  <c r="A17" i="7"/>
  <c r="A16" i="7"/>
  <c r="A17" i="5"/>
  <c r="A16" i="5"/>
  <c r="R101" i="4"/>
  <c r="J105" i="4"/>
  <c r="J102" i="4"/>
  <c r="J101" i="4"/>
  <c r="J65" i="4"/>
  <c r="J62" i="4"/>
  <c r="J61" i="4"/>
  <c r="C188" i="3"/>
  <c r="G16" i="5"/>
  <c r="I16" i="5"/>
  <c r="B16" i="5"/>
  <c r="A16" i="12"/>
  <c r="E16" i="12"/>
  <c r="H16" i="5"/>
  <c r="W16" i="5" a="1"/>
  <c r="W16" i="5"/>
  <c r="H16" i="12" a="1"/>
  <c r="H16" i="12"/>
  <c r="AE16" i="5" a="1"/>
  <c r="AE16" i="5"/>
  <c r="C184" i="3"/>
  <c r="C183" i="3"/>
  <c r="C181" i="3"/>
  <c r="A17" i="12"/>
  <c r="E17" i="12"/>
  <c r="W17" i="5" a="1"/>
  <c r="W17" i="5"/>
  <c r="H17" i="12" a="1"/>
  <c r="H17" i="12"/>
  <c r="AE17" i="5" a="1"/>
  <c r="AE17" i="5"/>
  <c r="T16" i="5"/>
  <c r="G16" i="12" a="1"/>
  <c r="G16" i="12"/>
  <c r="G16" i="6"/>
  <c r="N16" i="6"/>
  <c r="F16" i="6"/>
  <c r="AC93" i="5" a="1"/>
  <c r="AC93" i="5"/>
  <c r="J19" i="5"/>
  <c r="D19" i="5"/>
  <c r="B19" i="12"/>
  <c r="K19" i="5"/>
  <c r="AE7" i="10" a="1"/>
  <c r="AE7" i="10"/>
  <c r="AE6" i="10" a="1"/>
  <c r="AE6" i="10"/>
  <c r="V7" i="10" a="1"/>
  <c r="V7" i="10"/>
  <c r="V6" i="10" a="1"/>
  <c r="V6" i="10"/>
  <c r="D100" i="12" a="1"/>
  <c r="D100" i="12"/>
  <c r="AB15" i="12" a="1"/>
  <c r="AB15" i="12"/>
  <c r="Q12" i="12" a="1"/>
  <c r="Q12" i="12"/>
  <c r="X13" i="12" a="1"/>
  <c r="X13" i="12"/>
  <c r="W13" i="12" a="1"/>
  <c r="W13" i="12"/>
  <c r="V13" i="12" a="1"/>
  <c r="V13" i="12"/>
  <c r="J12" i="12" a="1"/>
  <c r="J12" i="12"/>
  <c r="I8" i="12" a="1"/>
  <c r="I8" i="12"/>
  <c r="I7" i="12" a="1"/>
  <c r="I7" i="12"/>
  <c r="A7" i="12" a="1"/>
  <c r="A7" i="12"/>
  <c r="E2" i="12" a="1"/>
  <c r="E2" i="12"/>
  <c r="AF8" i="8" a="1"/>
  <c r="AF8" i="8"/>
  <c r="AF7" i="8" a="1"/>
  <c r="AF7" i="8"/>
  <c r="S4" i="8" a="1"/>
  <c r="S4" i="8"/>
  <c r="Z8" i="8" a="1"/>
  <c r="Z8" i="8"/>
  <c r="Z7" i="8" a="1"/>
  <c r="Z7" i="8"/>
  <c r="D15" i="6" a="1"/>
  <c r="D15" i="6"/>
  <c r="J120" i="4" a="1"/>
  <c r="J120" i="4"/>
  <c r="J80" i="4" a="1"/>
  <c r="J80" i="4"/>
  <c r="J40" i="4" a="1"/>
  <c r="J40" i="4"/>
  <c r="D36" i="2" a="1"/>
  <c r="D36" i="2"/>
  <c r="D41" i="2" a="1"/>
  <c r="D41" i="2"/>
  <c r="D40" i="2" a="1"/>
  <c r="D40" i="2"/>
  <c r="D39" i="2" a="1"/>
  <c r="D39" i="2"/>
  <c r="D38" i="2" a="1"/>
  <c r="D38" i="2"/>
  <c r="D37" i="2" a="1"/>
  <c r="D37" i="2"/>
  <c r="G18" i="15" a="1"/>
  <c r="G18" i="15"/>
  <c r="G10" i="15" a="1"/>
  <c r="G10" i="15"/>
  <c r="E22" i="15" a="1"/>
  <c r="E22" i="15"/>
  <c r="E18" i="15" a="1"/>
  <c r="E18" i="15"/>
  <c r="E12" i="15" a="1"/>
  <c r="E12" i="15"/>
  <c r="E10" i="15" a="1"/>
  <c r="E10" i="15"/>
  <c r="E24" i="15" a="1"/>
  <c r="E24" i="15"/>
  <c r="C18" i="15" a="1"/>
  <c r="C18" i="15"/>
  <c r="C14" i="15" a="1"/>
  <c r="C14" i="15"/>
  <c r="C12" i="15" a="1"/>
  <c r="C12" i="15"/>
  <c r="C10" i="15" a="1"/>
  <c r="C10" i="15"/>
  <c r="N15" i="5" a="1"/>
  <c r="N15" i="5"/>
  <c r="M15" i="5" a="1"/>
  <c r="M15" i="5"/>
  <c r="F10" i="5" a="1"/>
  <c r="F10" i="5"/>
  <c r="A14" i="5"/>
  <c r="C165" i="3"/>
  <c r="G11" i="5" a="1"/>
  <c r="G11" i="5"/>
  <c r="F11" i="5" a="1"/>
  <c r="G14" i="11"/>
  <c r="F14" i="13"/>
  <c r="G17" i="6"/>
  <c r="T17" i="5"/>
  <c r="N17" i="6"/>
  <c r="AF17" i="5" a="1"/>
  <c r="AF17" i="5"/>
  <c r="AF16" i="5" a="1"/>
  <c r="AF16" i="5"/>
  <c r="AF39" i="5" a="1"/>
  <c r="AF39" i="5"/>
  <c r="E39" i="12"/>
  <c r="AE39" i="5" a="1"/>
  <c r="AE39" i="5"/>
  <c r="B14" i="6"/>
  <c r="F11" i="5"/>
  <c r="G17" i="12" a="1"/>
  <c r="G17" i="12"/>
  <c r="AG16" i="5" a="1"/>
  <c r="AG16" i="5"/>
  <c r="S16" i="5" a="1"/>
  <c r="S16" i="5"/>
  <c r="AG17" i="5" a="1"/>
  <c r="AG17" i="5"/>
  <c r="S17" i="5" a="1"/>
  <c r="S17" i="5"/>
  <c r="F17" i="12" a="1"/>
  <c r="F17" i="12"/>
  <c r="S39" i="5" a="1"/>
  <c r="S39" i="5"/>
  <c r="F39" i="12" a="1"/>
  <c r="F39" i="12"/>
  <c r="AG39" i="5" a="1"/>
  <c r="AG39" i="5"/>
  <c r="F14" i="6"/>
  <c r="C171" i="3"/>
  <c r="C170" i="3"/>
  <c r="C169" i="3"/>
  <c r="C166" i="3"/>
  <c r="C160" i="3"/>
  <c r="C159" i="3"/>
  <c r="F16" i="12" a="1"/>
  <c r="F16" i="12"/>
  <c r="G39" i="6"/>
  <c r="AE61" i="5" a="1"/>
  <c r="AE61" i="5"/>
  <c r="AF61" i="5" a="1"/>
  <c r="AF61" i="5"/>
  <c r="G14" i="6"/>
  <c r="X9" i="5"/>
  <c r="W9" i="5"/>
  <c r="V9" i="5"/>
  <c r="U9" i="5"/>
  <c r="T9" i="5"/>
  <c r="AG61" i="5" a="1"/>
  <c r="AG61" i="5"/>
  <c r="S61" i="5" a="1"/>
  <c r="S61" i="5"/>
  <c r="F61" i="12" a="1"/>
  <c r="F61" i="12"/>
  <c r="C177" i="3"/>
  <c r="C175" i="3"/>
  <c r="E61" i="12"/>
  <c r="D63" i="5"/>
  <c r="B63" i="12"/>
  <c r="K63" i="5"/>
  <c r="J63" i="5"/>
  <c r="G61" i="6"/>
  <c r="C157" i="3"/>
  <c r="C173" i="3"/>
  <c r="C167" i="3"/>
  <c r="C164" i="3"/>
  <c r="C163" i="3"/>
  <c r="C161" i="3"/>
  <c r="D64" i="5"/>
  <c r="B64" i="12"/>
  <c r="K64" i="5"/>
  <c r="J64" i="5"/>
  <c r="C153" i="3"/>
  <c r="C151" i="3"/>
  <c r="X17" i="7" a="1"/>
  <c r="X17" i="7"/>
  <c r="W17" i="7" a="1"/>
  <c r="W17" i="7"/>
  <c r="X16" i="7" a="1"/>
  <c r="X16" i="7"/>
  <c r="W16" i="7" a="1"/>
  <c r="W16" i="7"/>
  <c r="Y17" i="7" a="1"/>
  <c r="Y17" i="7"/>
  <c r="Y16" i="7" a="1"/>
  <c r="Y16" i="7"/>
  <c r="A14" i="6"/>
  <c r="C147" i="3"/>
  <c r="C149" i="3"/>
  <c r="C145" i="3"/>
  <c r="C143" i="3"/>
  <c r="C141" i="3"/>
  <c r="U11" i="4"/>
  <c r="U10" i="4"/>
  <c r="Y26" i="4"/>
  <c r="Z26" i="4"/>
  <c r="Y106" i="4"/>
  <c r="Z106" i="4"/>
  <c r="Z66" i="4"/>
  <c r="R64" i="4"/>
  <c r="R63" i="4"/>
  <c r="R23" i="4"/>
  <c r="R24" i="4"/>
  <c r="C133" i="3"/>
  <c r="X26" i="4"/>
  <c r="X106" i="4"/>
  <c r="C137" i="3"/>
  <c r="C135" i="3"/>
  <c r="C132" i="3"/>
  <c r="N39" i="6"/>
  <c r="C128" i="3"/>
  <c r="R2" i="5" a="1"/>
  <c r="R2" i="5"/>
  <c r="AH13" i="5" a="1"/>
  <c r="AH13" i="5"/>
  <c r="V13" i="5" a="1"/>
  <c r="V13" i="5"/>
  <c r="U13" i="5" a="1"/>
  <c r="U13" i="5"/>
  <c r="X7" i="5" a="1"/>
  <c r="X7" i="5"/>
  <c r="W7" i="5" a="1"/>
  <c r="W7" i="5"/>
  <c r="V7" i="5" a="1"/>
  <c r="V7" i="5"/>
  <c r="S7" i="5" a="1"/>
  <c r="S7" i="5"/>
  <c r="R7" i="5" a="1"/>
  <c r="R7" i="5"/>
  <c r="S8" i="5" a="1"/>
  <c r="S8" i="5"/>
  <c r="R8" i="5" a="1"/>
  <c r="R8" i="5"/>
  <c r="Q8" i="5" a="1"/>
  <c r="Q8" i="5"/>
  <c r="J4" i="15"/>
  <c r="N61" i="6"/>
  <c r="AK14" i="13" a="1"/>
  <c r="AK14" i="13"/>
  <c r="AJ14" i="13" a="1"/>
  <c r="AJ14" i="13"/>
  <c r="AN14" i="13" a="1"/>
  <c r="AN14" i="13"/>
  <c r="AM14" i="13" a="1"/>
  <c r="AM14" i="13"/>
  <c r="AL14" i="13"/>
  <c r="G24" i="8" a="1"/>
  <c r="G24" i="8"/>
  <c r="G18" i="8" a="1"/>
  <c r="G18" i="8"/>
  <c r="G21" i="8" a="1"/>
  <c r="G21" i="8"/>
  <c r="G15" i="8" a="1"/>
  <c r="G15" i="8"/>
  <c r="P7" i="13"/>
  <c r="K14" i="13" a="1"/>
  <c r="K14" i="13"/>
  <c r="G22" i="15" a="1"/>
  <c r="G22" i="15"/>
  <c r="C22" i="15" a="1"/>
  <c r="C22" i="15"/>
  <c r="F10" i="12" a="1"/>
  <c r="F10" i="12"/>
  <c r="F8" i="7"/>
  <c r="M8" i="12" a="1"/>
  <c r="M8" i="12"/>
  <c r="H59" i="8" a="1"/>
  <c r="H59" i="8"/>
  <c r="H57" i="8" a="1"/>
  <c r="H57" i="8"/>
  <c r="F7" i="6" a="1"/>
  <c r="F7" i="6"/>
  <c r="F6" i="6" a="1"/>
  <c r="F6" i="6"/>
  <c r="O1" i="6" a="1"/>
  <c r="O1" i="6"/>
  <c r="C11" i="7" a="1"/>
  <c r="C11" i="7"/>
  <c r="C122" i="3"/>
  <c r="C120" i="3"/>
  <c r="C14" i="14" a="1"/>
  <c r="C14" i="14"/>
  <c r="B39" i="14" a="1"/>
  <c r="B39" i="14"/>
  <c r="B37" i="14" a="1"/>
  <c r="B37" i="14"/>
  <c r="E28" i="14" a="1"/>
  <c r="E28" i="14"/>
  <c r="U67" i="4"/>
  <c r="S107" i="4"/>
  <c r="U107" i="4"/>
  <c r="U27" i="4"/>
  <c r="C124" i="3"/>
  <c r="H28" i="9"/>
  <c r="N64" i="6"/>
  <c r="C94" i="3"/>
  <c r="C92" i="3"/>
  <c r="C98" i="3"/>
  <c r="C5" i="14"/>
  <c r="S12" i="11"/>
  <c r="B1" i="7"/>
  <c r="D31" i="2"/>
  <c r="D29" i="2"/>
  <c r="D28" i="2"/>
  <c r="D24" i="2"/>
  <c r="D23" i="2"/>
  <c r="D22" i="2"/>
  <c r="D19" i="2"/>
  <c r="D18" i="2"/>
  <c r="D17" i="2"/>
  <c r="D16" i="2"/>
  <c r="D11" i="2"/>
  <c r="D10" i="2"/>
  <c r="D9" i="2"/>
  <c r="D8" i="2"/>
  <c r="D7" i="2"/>
  <c r="D6" i="2"/>
  <c r="D5" i="2"/>
  <c r="D4" i="2"/>
  <c r="C116" i="3"/>
  <c r="C114" i="3"/>
  <c r="C110" i="3"/>
  <c r="C109" i="3"/>
  <c r="C106" i="3"/>
  <c r="C105" i="3"/>
  <c r="C101" i="3"/>
  <c r="C90" i="3"/>
  <c r="D27" i="2"/>
  <c r="D15" i="2"/>
  <c r="D35" i="2"/>
  <c r="D3" i="2"/>
  <c r="H10" i="7"/>
  <c r="AG59" i="8"/>
  <c r="C103" i="3"/>
  <c r="C100" i="3"/>
  <c r="C96" i="3"/>
  <c r="C93" i="3"/>
  <c r="C112" i="3"/>
  <c r="C108" i="3"/>
  <c r="C70" i="3"/>
  <c r="L26" i="13"/>
  <c r="L25" i="13"/>
  <c r="C84" i="3"/>
  <c r="C56" i="3"/>
  <c r="A1" i="7"/>
  <c r="V31" i="7" a="1"/>
  <c r="V31" i="7"/>
  <c r="Y5" i="7"/>
  <c r="X5" i="7"/>
  <c r="P5" i="7"/>
  <c r="C60" i="3"/>
  <c r="F5" i="7"/>
  <c r="V32" i="7"/>
  <c r="V33" i="7"/>
  <c r="N5" i="7"/>
  <c r="O5" i="7"/>
  <c r="E10" i="7"/>
  <c r="C57" i="3"/>
  <c r="C82" i="3"/>
  <c r="C77" i="3"/>
  <c r="B39" i="9"/>
  <c r="D32" i="7"/>
  <c r="V38" i="9" a="1"/>
  <c r="V40" i="9"/>
  <c r="B36" i="9"/>
  <c r="J28" i="9"/>
  <c r="L28" i="9"/>
  <c r="N28" i="9"/>
  <c r="P28" i="9"/>
  <c r="R28" i="9"/>
  <c r="T28" i="9"/>
  <c r="V28" i="9"/>
  <c r="X28" i="9"/>
  <c r="Z28" i="9"/>
  <c r="AB28" i="9"/>
  <c r="AD28" i="9"/>
  <c r="M5" i="9"/>
  <c r="J5" i="9"/>
  <c r="G5" i="9"/>
  <c r="B5" i="9"/>
  <c r="V38" i="9"/>
  <c r="V39" i="9"/>
  <c r="L31" i="7" a="1"/>
  <c r="L33" i="7"/>
  <c r="D29" i="7"/>
  <c r="C5" i="7"/>
  <c r="L31" i="7"/>
  <c r="L32" i="7"/>
  <c r="C69" i="3"/>
  <c r="C86" i="3"/>
  <c r="C81" i="3"/>
  <c r="C80" i="3"/>
  <c r="C79" i="3"/>
  <c r="C76" i="3"/>
  <c r="C75" i="3"/>
  <c r="C74" i="3"/>
  <c r="C67" i="3"/>
  <c r="C65" i="3"/>
  <c r="C64" i="3"/>
  <c r="C61" i="3"/>
  <c r="C62" i="3"/>
  <c r="C59" i="3"/>
  <c r="C58" i="3"/>
  <c r="C72" i="3"/>
  <c r="S108" i="4" a="1"/>
  <c r="S108" i="4"/>
  <c r="S68" i="4" a="1"/>
  <c r="S68" i="4"/>
  <c r="S28" i="4" a="1"/>
  <c r="S28" i="4"/>
  <c r="X108" i="4"/>
  <c r="Y28" i="4"/>
  <c r="X68" i="4"/>
  <c r="X28" i="4"/>
  <c r="Z108" i="4"/>
  <c r="Y108" i="4"/>
  <c r="Z68" i="4"/>
  <c r="Y68" i="4"/>
  <c r="Z28" i="4"/>
  <c r="C15" i="14"/>
  <c r="L4" i="13"/>
  <c r="I5" i="12"/>
  <c r="F4" i="11"/>
  <c r="D7" i="10"/>
  <c r="K8" i="8"/>
  <c r="L5" i="4"/>
  <c r="C52" i="3"/>
  <c r="G10" i="6" a="1"/>
  <c r="G10" i="6"/>
  <c r="Q5" i="5" a="1"/>
  <c r="Q5" i="5"/>
  <c r="P85" i="4"/>
  <c r="C51" i="3"/>
  <c r="C47" i="3"/>
  <c r="C43" i="3"/>
  <c r="C41" i="3"/>
  <c r="C39" i="3"/>
  <c r="E2" i="15"/>
  <c r="C34" i="3"/>
  <c r="C32" i="3"/>
  <c r="H11" i="10" a="1"/>
  <c r="H11" i="10"/>
  <c r="C20" i="3"/>
  <c r="C22" i="3"/>
  <c r="C24" i="3"/>
  <c r="C26" i="3"/>
  <c r="C28" i="3"/>
  <c r="C19" i="3"/>
  <c r="C15" i="3"/>
  <c r="C14" i="3"/>
  <c r="C12" i="3"/>
  <c r="I27" i="11"/>
  <c r="I26" i="11"/>
  <c r="AA62" i="8" a="1"/>
  <c r="T99" i="6" a="1"/>
  <c r="T101" i="6"/>
  <c r="I99" i="6" a="1"/>
  <c r="I100" i="6"/>
  <c r="C14" i="5"/>
  <c r="AF14" i="5" a="1"/>
  <c r="AF14" i="5"/>
  <c r="AV15" i="6"/>
  <c r="AU15" i="6"/>
  <c r="AT15" i="6"/>
  <c r="AS15" i="6"/>
  <c r="AR15" i="6"/>
  <c r="AQ15" i="6"/>
  <c r="AP15" i="6"/>
  <c r="AO15" i="6"/>
  <c r="AN15" i="6"/>
  <c r="AM15" i="6"/>
  <c r="D12" i="11"/>
  <c r="A12" i="11"/>
  <c r="L30" i="13"/>
  <c r="L37" i="13"/>
  <c r="B1" i="8"/>
  <c r="B20" i="15"/>
  <c r="B16" i="15"/>
  <c r="B8" i="15"/>
  <c r="O1" i="4"/>
  <c r="A3" i="4"/>
  <c r="J5" i="4"/>
  <c r="N5" i="4"/>
  <c r="J8" i="4"/>
  <c r="J21" i="4"/>
  <c r="R21" i="4"/>
  <c r="J22" i="4"/>
  <c r="R22" i="4"/>
  <c r="J25" i="4"/>
  <c r="R25" i="4"/>
  <c r="N35" i="4"/>
  <c r="J38" i="4"/>
  <c r="J45" i="4"/>
  <c r="K50" i="4" a="1"/>
  <c r="K52" i="4"/>
  <c r="R65" i="4"/>
  <c r="N75" i="4"/>
  <c r="J78" i="4"/>
  <c r="J85" i="4"/>
  <c r="K90" i="4" a="1"/>
  <c r="K92" i="4"/>
  <c r="R102" i="4"/>
  <c r="R103" i="4"/>
  <c r="R104" i="4"/>
  <c r="R105" i="4"/>
  <c r="N115" i="4"/>
  <c r="J118" i="4"/>
  <c r="J125" i="4"/>
  <c r="K130" i="4" a="1"/>
  <c r="K131" i="4"/>
  <c r="E1" i="12"/>
  <c r="D5" i="12"/>
  <c r="F5" i="12"/>
  <c r="J5" i="12"/>
  <c r="O5" i="12"/>
  <c r="D8" i="12"/>
  <c r="E8" i="12"/>
  <c r="F8" i="12"/>
  <c r="D15" i="12"/>
  <c r="D102" i="12"/>
  <c r="E103" i="12"/>
  <c r="K105" i="12" a="1"/>
  <c r="K107" i="12"/>
  <c r="E10" i="6"/>
  <c r="I10" i="6"/>
  <c r="K10" i="6"/>
  <c r="S10" i="6"/>
  <c r="U10" i="6"/>
  <c r="O13" i="6"/>
  <c r="O15" i="6"/>
  <c r="O11" i="6"/>
  <c r="B15" i="6"/>
  <c r="C15" i="6"/>
  <c r="E15" i="6"/>
  <c r="B93" i="6"/>
  <c r="C93" i="6"/>
  <c r="F97" i="6"/>
  <c r="S5" i="8"/>
  <c r="I8" i="8"/>
  <c r="L8" i="8"/>
  <c r="U8" i="8"/>
  <c r="E13" i="8"/>
  <c r="V13" i="8"/>
  <c r="W13" i="8"/>
  <c r="X13" i="8"/>
  <c r="Y13" i="8"/>
  <c r="Z13" i="8"/>
  <c r="AA13" i="8"/>
  <c r="AB13" i="8"/>
  <c r="AC13" i="8"/>
  <c r="AD13" i="8"/>
  <c r="AE13" i="8"/>
  <c r="AF13" i="8"/>
  <c r="T49" i="8"/>
  <c r="T54" i="8"/>
  <c r="I60"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103" i="5"/>
  <c r="O15" i="5"/>
  <c r="O106" i="5"/>
  <c r="T108" i="5" a="1"/>
  <c r="T108" i="5"/>
  <c r="B1" i="10"/>
  <c r="H4" i="10"/>
  <c r="B7" i="10"/>
  <c r="H7" i="10"/>
  <c r="O7" i="10"/>
  <c r="F12" i="10"/>
  <c r="F11" i="10" a="1"/>
  <c r="F11" i="10"/>
  <c r="B38" i="10"/>
  <c r="W40" i="10" a="1"/>
  <c r="W41" i="10"/>
  <c r="D4" i="11"/>
  <c r="G4" i="11"/>
  <c r="J4" i="11"/>
  <c r="M6" i="11"/>
  <c r="D7" i="11"/>
  <c r="L7" i="11"/>
  <c r="M7" i="11"/>
  <c r="N7" i="11"/>
  <c r="J12" i="11"/>
  <c r="I12" i="13"/>
  <c r="L13" i="11"/>
  <c r="L9" i="11"/>
  <c r="D24" i="11"/>
  <c r="F1" i="13"/>
  <c r="E4" i="13"/>
  <c r="I4" i="13"/>
  <c r="P4" i="13"/>
  <c r="M6" i="13"/>
  <c r="E7" i="13"/>
  <c r="I7" i="13"/>
  <c r="M7" i="13"/>
  <c r="N7" i="13"/>
  <c r="M11" i="13"/>
  <c r="Y11" i="13"/>
  <c r="G12" i="13"/>
  <c r="H12" i="13"/>
  <c r="J16" i="13"/>
  <c r="AC2" i="13"/>
  <c r="E26" i="13"/>
  <c r="E30" i="13"/>
  <c r="F31" i="13"/>
  <c r="M31" i="13"/>
  <c r="E32" i="13"/>
  <c r="F32" i="13"/>
  <c r="L32" i="13"/>
  <c r="M32" i="13"/>
  <c r="M33" i="13"/>
  <c r="L34" i="13"/>
  <c r="M34" i="13"/>
  <c r="E37" i="13"/>
  <c r="E39" i="13"/>
  <c r="L39" i="13"/>
  <c r="E40" i="13"/>
  <c r="L40" i="13"/>
  <c r="R14" i="5" a="1"/>
  <c r="R14" i="5"/>
  <c r="AE14" i="5" a="1"/>
  <c r="AE14" i="5"/>
  <c r="AM12" i="6"/>
  <c r="AX12" i="6"/>
  <c r="K130" i="4"/>
  <c r="U108" i="4"/>
  <c r="U68" i="4"/>
  <c r="U28" i="4"/>
  <c r="S109" i="4"/>
  <c r="K50" i="4"/>
  <c r="N9" i="10"/>
  <c r="O7" i="11"/>
  <c r="K30" i="10"/>
  <c r="K35" i="10"/>
  <c r="W43" i="10"/>
  <c r="E12" i="13"/>
  <c r="K108" i="12"/>
  <c r="K132" i="4"/>
  <c r="W42" i="10"/>
  <c r="K105" i="12"/>
  <c r="T110" i="5"/>
  <c r="O7" i="13"/>
  <c r="T100" i="6"/>
  <c r="P125" i="4"/>
  <c r="I63" i="8"/>
  <c r="I101" i="6"/>
  <c r="I99" i="6"/>
  <c r="B14" i="5"/>
  <c r="F14" i="5"/>
  <c r="G15" i="9"/>
  <c r="H15" i="10"/>
  <c r="S110" i="4"/>
  <c r="I11" i="10" a="1"/>
  <c r="I11" i="10"/>
  <c r="S30" i="4"/>
  <c r="AA63" i="8"/>
  <c r="AA64" i="8"/>
  <c r="AA62" i="8"/>
  <c r="P45" i="4"/>
  <c r="K14" i="5"/>
  <c r="J14" i="5"/>
  <c r="H14" i="5"/>
  <c r="A14" i="12"/>
  <c r="D14" i="5"/>
  <c r="B14" i="12"/>
  <c r="AD14" i="5"/>
  <c r="E14" i="5"/>
  <c r="G14" i="5"/>
  <c r="N14" i="5"/>
  <c r="E106" i="12"/>
  <c r="B41" i="10"/>
  <c r="F100" i="6"/>
  <c r="O109" i="5"/>
  <c r="D27" i="11"/>
  <c r="W40" i="10"/>
  <c r="A4" i="4"/>
  <c r="K51" i="4"/>
  <c r="K106" i="12"/>
  <c r="S70" i="4"/>
  <c r="K91" i="4"/>
  <c r="T99" i="6"/>
  <c r="K90" i="4"/>
  <c r="T109" i="5"/>
  <c r="AU16" i="6"/>
  <c r="AV16" i="6"/>
  <c r="AT16" i="6"/>
  <c r="AN12" i="6"/>
  <c r="AY12" i="6"/>
  <c r="U97" i="4"/>
  <c r="U57" i="4"/>
  <c r="B10" i="9"/>
  <c r="M30" i="10"/>
  <c r="M35" i="10"/>
  <c r="U17" i="4"/>
  <c r="U14" i="4"/>
  <c r="T21" i="4"/>
  <c r="H5" i="5"/>
  <c r="X8" i="5" a="1"/>
  <c r="X8" i="5"/>
  <c r="W8" i="5" a="1"/>
  <c r="W8" i="5"/>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B42" i="14"/>
  <c r="B8" i="14"/>
  <c r="I10" i="13"/>
  <c r="J11" i="10" a="1"/>
  <c r="J11" i="10"/>
  <c r="A5" i="4"/>
  <c r="AH17" i="5"/>
  <c r="AN17" i="5" a="1"/>
  <c r="AN17" i="5"/>
  <c r="AH61" i="5"/>
  <c r="AH16" i="5"/>
  <c r="AN16" i="5" a="1"/>
  <c r="AN16" i="5"/>
  <c r="AH39" i="5"/>
  <c r="AZ12" i="6"/>
  <c r="AO12" i="6"/>
  <c r="U94" i="4"/>
  <c r="T101" i="4"/>
  <c r="U54" i="4"/>
  <c r="T61" i="4"/>
  <c r="T57" i="4"/>
  <c r="T97" i="4"/>
  <c r="T22" i="4"/>
  <c r="T23" i="4"/>
  <c r="T24" i="4"/>
  <c r="T25" i="4"/>
  <c r="T26" i="4"/>
  <c r="U26" i="4"/>
  <c r="T17" i="4"/>
  <c r="V8" i="5" a="1"/>
  <c r="V8" i="5"/>
  <c r="O30" i="10"/>
  <c r="O35" i="10"/>
  <c r="AH14" i="5"/>
  <c r="W14" i="5" a="1"/>
  <c r="W14" i="5"/>
  <c r="K11" i="10" a="1"/>
  <c r="K11" i="10"/>
  <c r="A6" i="4"/>
  <c r="AN61" i="5" a="1"/>
  <c r="AN61" i="5"/>
  <c r="W61" i="5" a="1"/>
  <c r="W61" i="5"/>
  <c r="H61" i="12" a="1"/>
  <c r="H61" i="12"/>
  <c r="AN64" i="5" a="1"/>
  <c r="AN64" i="5"/>
  <c r="H64" i="12" a="1"/>
  <c r="H64" i="12"/>
  <c r="AN63" i="5" a="1"/>
  <c r="AN63" i="5"/>
  <c r="H63" i="12" a="1"/>
  <c r="H63" i="12"/>
  <c r="AN19" i="5" a="1"/>
  <c r="AN19" i="5"/>
  <c r="H19" i="12" a="1"/>
  <c r="H19" i="12"/>
  <c r="AN39" i="5" a="1"/>
  <c r="AN39" i="5"/>
  <c r="W39" i="5" a="1"/>
  <c r="W39" i="5"/>
  <c r="H39" i="12" a="1"/>
  <c r="H39" i="12"/>
  <c r="BA12" i="6"/>
  <c r="AP12" i="6"/>
  <c r="H14" i="12" a="1"/>
  <c r="H14" i="12"/>
  <c r="AN14" i="5" a="1"/>
  <c r="AN14" i="5"/>
  <c r="T62" i="4"/>
  <c r="T63" i="4"/>
  <c r="T64" i="4"/>
  <c r="T66" i="4"/>
  <c r="U66" i="4"/>
  <c r="T65" i="4"/>
  <c r="T102" i="4"/>
  <c r="T104" i="4"/>
  <c r="T103" i="4"/>
  <c r="T106" i="4"/>
  <c r="U106" i="4"/>
  <c r="T105" i="4"/>
  <c r="U7" i="4"/>
  <c r="H29" i="10"/>
  <c r="Q30" i="10"/>
  <c r="Q35" i="10"/>
  <c r="L11" i="10" a="1"/>
  <c r="L11" i="10"/>
  <c r="A7" i="4"/>
  <c r="X29" i="4"/>
  <c r="S30" i="10"/>
  <c r="S35" i="10"/>
  <c r="BB12" i="6"/>
  <c r="AQ12" i="6"/>
  <c r="M11" i="10" a="1"/>
  <c r="M11" i="10"/>
  <c r="Z69" i="4"/>
  <c r="Y29" i="4"/>
  <c r="Z21" i="4"/>
  <c r="Y64" i="4"/>
  <c r="X21" i="4"/>
  <c r="Y24" i="4"/>
  <c r="X103" i="4"/>
  <c r="Y102" i="4"/>
  <c r="Y101" i="4"/>
  <c r="Y21" i="4"/>
  <c r="X105" i="4"/>
  <c r="Y103" i="4"/>
  <c r="Z62" i="4"/>
  <c r="X109" i="4"/>
  <c r="X101" i="4"/>
  <c r="Z23" i="4"/>
  <c r="Y62" i="4"/>
  <c r="Z109" i="4"/>
  <c r="Z103" i="4"/>
  <c r="Z102" i="4"/>
  <c r="Z24"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U29" i="4"/>
  <c r="U69" i="4"/>
  <c r="U65" i="4"/>
  <c r="U103" i="4"/>
  <c r="U61" i="4"/>
  <c r="U105" i="4"/>
  <c r="U64" i="4"/>
  <c r="U102" i="4"/>
  <c r="U62" i="4"/>
  <c r="U21" i="4"/>
  <c r="U23" i="4"/>
  <c r="U104" i="4"/>
  <c r="U101" i="4"/>
  <c r="U24" i="4"/>
  <c r="U25" i="4"/>
  <c r="U22" i="4"/>
  <c r="U63" i="4"/>
  <c r="U109" i="4"/>
  <c r="K112" i="4"/>
  <c r="U30" i="10"/>
  <c r="U35" i="10"/>
  <c r="BC12" i="6"/>
  <c r="AR12" i="6"/>
  <c r="N11" i="10" a="1"/>
  <c r="N11" i="10"/>
  <c r="AB10" i="12"/>
  <c r="W30" i="10"/>
  <c r="W35" i="10"/>
  <c r="J72" i="4"/>
  <c r="U8" i="4"/>
  <c r="BD12" i="6"/>
  <c r="AS12" i="6"/>
  <c r="K72" i="4"/>
  <c r="J112" i="4"/>
  <c r="O11" i="10" a="1"/>
  <c r="O11" i="10"/>
  <c r="K32" i="4"/>
  <c r="J32" i="4"/>
  <c r="Y30" i="10"/>
  <c r="Y35" i="10"/>
  <c r="T11" i="11"/>
  <c r="BE12" i="6"/>
  <c r="AT12" i="6"/>
  <c r="P11" i="10" a="1"/>
  <c r="P11" i="10"/>
  <c r="AA30" i="10"/>
  <c r="AA35" i="10"/>
  <c r="BF12" i="6"/>
  <c r="AU12" i="6"/>
  <c r="Q11" i="10" a="1"/>
  <c r="Q11" i="10"/>
  <c r="AC30" i="10"/>
  <c r="AC35" i="10"/>
  <c r="BG12" i="6"/>
  <c r="AV12" i="6"/>
  <c r="R11" i="10" a="1"/>
  <c r="R11" i="10"/>
  <c r="AE30" i="10"/>
  <c r="AE35" i="10"/>
  <c r="S11" i="10" a="1"/>
  <c r="S11" i="10"/>
  <c r="AO7" i="12" a="1"/>
  <c r="AO7" i="12"/>
  <c r="L14" i="12" a="1"/>
  <c r="L14" i="12"/>
  <c r="J14" i="12" a="1"/>
  <c r="J14" i="12"/>
  <c r="T11" i="10" a="1"/>
  <c r="T11" i="10"/>
  <c r="K19" i="12"/>
  <c r="K63" i="12"/>
  <c r="K64" i="12"/>
  <c r="K14" i="12"/>
  <c r="U11" i="10" a="1"/>
  <c r="U11" i="10"/>
  <c r="V11" i="10" a="1"/>
  <c r="V11" i="10"/>
  <c r="W11" i="10" a="1"/>
  <c r="W11" i="10"/>
  <c r="X11" i="10" a="1"/>
  <c r="X11" i="10"/>
  <c r="Y11" i="10" a="1"/>
  <c r="Y11" i="10"/>
  <c r="Z11" i="10" a="1"/>
  <c r="Z11" i="10"/>
  <c r="AA11" i="10" a="1"/>
  <c r="AA11" i="10"/>
  <c r="AB11" i="10" a="1"/>
  <c r="AB11" i="10"/>
  <c r="AC11" i="10" a="1"/>
  <c r="AC11" i="10"/>
  <c r="AD11" i="10" a="1"/>
  <c r="AD11" i="10"/>
  <c r="AE11" i="10" a="1"/>
  <c r="AE11" i="10"/>
  <c r="AF11" i="10" a="1"/>
  <c r="AF11" i="10"/>
  <c r="J16" i="6" a="1"/>
  <c r="J16" i="6"/>
  <c r="J17" i="6" a="1"/>
  <c r="J17" i="6"/>
  <c r="J39" i="6" a="1"/>
  <c r="J39" i="6"/>
  <c r="J61" i="6" a="1"/>
  <c r="J61" i="6"/>
  <c r="N12" i="6"/>
  <c r="E11" i="9"/>
  <c r="G11" i="9"/>
  <c r="T11" i="9"/>
  <c r="S11" i="9"/>
  <c r="V11" i="9"/>
  <c r="J11" i="9"/>
  <c r="Z11" i="9"/>
  <c r="X11" i="9"/>
  <c r="R11" i="9"/>
  <c r="Q11" i="9"/>
  <c r="AD11" i="9"/>
  <c r="O11" i="9"/>
  <c r="P11" i="9"/>
  <c r="M11" i="9"/>
  <c r="AE11" i="9"/>
  <c r="AC11" i="9"/>
  <c r="AB11" i="9"/>
  <c r="L11" i="9"/>
  <c r="Y11" i="9"/>
  <c r="I11" i="9"/>
  <c r="AA11" i="9"/>
  <c r="N11" i="9"/>
  <c r="U11" i="9"/>
  <c r="H11" i="9"/>
  <c r="W11" i="9"/>
  <c r="K11" i="9"/>
  <c r="T61" i="5"/>
  <c r="T19" i="5"/>
  <c r="T39" i="5"/>
  <c r="I10" i="7"/>
  <c r="J10" i="7"/>
  <c r="G39" i="12" a="1"/>
  <c r="G39" i="12"/>
  <c r="G61" i="12" a="1"/>
  <c r="G61" i="12"/>
  <c r="G19" i="12" a="1"/>
  <c r="G19" i="12"/>
  <c r="G64" i="12" a="1"/>
  <c r="G64" i="12"/>
  <c r="G63" i="12" a="1"/>
  <c r="G63" i="12"/>
  <c r="L10" i="7"/>
  <c r="AM19" i="5"/>
  <c r="L19" i="5"/>
  <c r="M10" i="7"/>
  <c r="C19" i="6"/>
  <c r="C19" i="12"/>
  <c r="N10" i="7"/>
  <c r="Y19" i="12"/>
  <c r="X19" i="12" a="1"/>
  <c r="X19" i="12"/>
  <c r="N19" i="12"/>
  <c r="O10" i="7"/>
  <c r="W19" i="12" a="1"/>
  <c r="W19" i="12"/>
  <c r="V19" i="12" a="1"/>
  <c r="V19" i="12"/>
  <c r="P10" i="7"/>
  <c r="U19" i="12"/>
  <c r="T19" i="12"/>
  <c r="Q10" i="7"/>
  <c r="R10" i="7"/>
  <c r="S10" i="7"/>
  <c r="T10" i="7"/>
  <c r="U10" i="7"/>
  <c r="K10" i="7"/>
  <c r="V10" i="7"/>
  <c r="T14" i="5"/>
  <c r="G14" i="12" a="1"/>
  <c r="G14" i="12"/>
  <c r="W10" i="7"/>
  <c r="X10" i="7"/>
  <c r="Y10" i="7"/>
  <c r="A15" i="10"/>
  <c r="C15" i="10"/>
  <c r="A15" i="7"/>
  <c r="D21" i="2"/>
  <c r="N14" i="6"/>
  <c r="W1" i="7" a="1"/>
  <c r="W1" i="7"/>
  <c r="Y1" i="7" a="1"/>
  <c r="Y1" i="7"/>
  <c r="X1" i="7" a="1"/>
  <c r="X1" i="7"/>
  <c r="I15" i="7"/>
  <c r="J15" i="7"/>
  <c r="Q15" i="7"/>
  <c r="L15" i="7"/>
  <c r="K15" i="7"/>
  <c r="P15" i="7"/>
  <c r="S15" i="7"/>
  <c r="N15" i="7"/>
  <c r="X15" i="7"/>
  <c r="X14" i="7"/>
  <c r="R15" i="7"/>
  <c r="O15" i="7"/>
  <c r="T15" i="7"/>
  <c r="Y15" i="7"/>
  <c r="Y14" i="7"/>
  <c r="U15" i="7"/>
  <c r="M15" i="7"/>
  <c r="V15" i="7"/>
  <c r="W15" i="7"/>
  <c r="W14" i="7"/>
  <c r="H15" i="7"/>
  <c r="E15" i="7"/>
  <c r="A11" i="12"/>
  <c r="AO12" i="13"/>
  <c r="AL12" i="13"/>
  <c r="AN12" i="13" a="1"/>
  <c r="AN12" i="13"/>
  <c r="AK12" i="13" a="1"/>
  <c r="AK12" i="13"/>
  <c r="AJ12" i="13" a="1"/>
  <c r="AJ12" i="13"/>
  <c r="O15" i="12" a="1"/>
  <c r="O15" i="12"/>
  <c r="M15" i="12" a="1"/>
  <c r="M15" i="12"/>
  <c r="J14" i="6" a="1"/>
  <c r="J14" i="6"/>
  <c r="I15" i="12" a="1"/>
  <c r="I15" i="12"/>
  <c r="B17" i="12"/>
  <c r="O17" i="12" a="1"/>
  <c r="O17" i="12"/>
  <c r="I17" i="12"/>
  <c r="P11" i="12"/>
  <c r="O11" i="12"/>
  <c r="J15" i="12" a="1"/>
  <c r="J15" i="12"/>
  <c r="L15" i="12" a="1"/>
  <c r="L15" i="12"/>
  <c r="K15" i="12"/>
  <c r="N15" i="12"/>
  <c r="P10" i="12"/>
  <c r="O10" i="12"/>
  <c r="AX14" i="6" a="1"/>
  <c r="AX14" i="6"/>
  <c r="AT14" i="6"/>
  <c r="BC14" i="6" a="1"/>
  <c r="BC14" i="6"/>
  <c r="AB14" i="6"/>
  <c r="AM14" i="6"/>
  <c r="AN14" i="6"/>
  <c r="AD14" i="6"/>
  <c r="BF14" i="6" a="1"/>
  <c r="BF14" i="6"/>
  <c r="BG14" i="6" a="1"/>
  <c r="BG14" i="6"/>
  <c r="AO14" i="6"/>
  <c r="BE14" i="6" a="1"/>
  <c r="BE14" i="6"/>
  <c r="AE14" i="6"/>
  <c r="BA14" i="6" a="1"/>
  <c r="BA14" i="6"/>
  <c r="BB14" i="6" a="1"/>
  <c r="BB14" i="6"/>
  <c r="AP14" i="6"/>
  <c r="AQ14" i="6"/>
  <c r="AH14" i="6"/>
  <c r="AY14" i="6" a="1"/>
  <c r="AY14" i="6"/>
  <c r="AR14" i="6"/>
  <c r="AU14" i="6"/>
  <c r="AK14" i="6"/>
  <c r="BD14" i="6" a="1"/>
  <c r="BD14" i="6"/>
  <c r="AI14" i="6"/>
  <c r="AG14" i="6"/>
  <c r="AS14" i="6"/>
  <c r="AJ14" i="6"/>
  <c r="AV14" i="6"/>
  <c r="AC14" i="6"/>
  <c r="AZ14" i="6" a="1"/>
  <c r="AZ14" i="6"/>
  <c r="AF14" i="6"/>
  <c r="X14" i="5" a="1"/>
  <c r="X14" i="5"/>
  <c r="I14" i="5"/>
  <c r="I14" i="12"/>
  <c r="L14" i="5"/>
  <c r="AM14" i="5"/>
  <c r="Z14" i="5"/>
  <c r="O14" i="5"/>
  <c r="AA14" i="5" a="1"/>
  <c r="AA14" i="5"/>
  <c r="AB14" i="5" a="1"/>
  <c r="AB14" i="5"/>
  <c r="AO14" i="12" a="1"/>
  <c r="AO14" i="12"/>
  <c r="C14" i="12"/>
  <c r="M14" i="12" a="1"/>
  <c r="M14" i="12"/>
  <c r="O14" i="12" a="1"/>
  <c r="O14" i="12"/>
  <c r="N14" i="12"/>
  <c r="Y14" i="12"/>
  <c r="D14" i="12"/>
  <c r="W14" i="12" a="1"/>
  <c r="W14" i="12"/>
  <c r="X14" i="12" a="1"/>
  <c r="X14" i="12"/>
  <c r="U14" i="12"/>
  <c r="V14" i="12" a="1"/>
  <c r="V14" i="12"/>
  <c r="T14" i="12"/>
  <c r="AG14" i="5" a="1"/>
  <c r="AG14" i="5"/>
  <c r="S14" i="5" a="1"/>
  <c r="S14" i="5"/>
  <c r="F14" i="12" a="1"/>
  <c r="F14" i="12"/>
  <c r="E14" i="12"/>
  <c r="AC14" i="5" a="1"/>
  <c r="AC14" i="5"/>
  <c r="I35" i="10"/>
  <c r="I36" i="10"/>
  <c r="V33" i="9"/>
  <c r="R33" i="9"/>
  <c r="J33" i="9"/>
  <c r="H33" i="9"/>
  <c r="X33" i="9"/>
  <c r="Z33" i="9"/>
  <c r="N33" i="9"/>
  <c r="AB33" i="9"/>
  <c r="L33" i="9"/>
  <c r="P33" i="9"/>
  <c r="T33" i="9"/>
  <c r="AD33" i="9"/>
  <c r="J10" i="13"/>
  <c r="U17" i="8"/>
  <c r="U59" i="8"/>
  <c r="V17" i="8"/>
  <c r="V59" i="8"/>
  <c r="X17" i="8"/>
  <c r="W17" i="8"/>
  <c r="X59" i="8"/>
  <c r="W59" i="8"/>
  <c r="Y17" i="8"/>
  <c r="Y59" i="8"/>
  <c r="Z17" i="8"/>
  <c r="Z59" i="8"/>
  <c r="AB17" i="8"/>
  <c r="AA17" i="8"/>
  <c r="AB59" i="8"/>
  <c r="AC17" i="8"/>
  <c r="AC59" i="8"/>
  <c r="AD17" i="8"/>
  <c r="AD59" i="8"/>
  <c r="AE17" i="8"/>
  <c r="AE59" i="8"/>
  <c r="C10" i="7"/>
  <c r="AA59" i="8"/>
  <c r="AF17" i="8"/>
  <c r="AF59" i="8"/>
  <c r="T59" i="8"/>
  <c r="L93" i="6"/>
  <c r="O19" i="5"/>
  <c r="D19" i="12"/>
  <c r="F1" i="8" a="1"/>
  <c r="F1" i="8"/>
  <c r="F2" i="8"/>
  <c r="B12" i="11"/>
  <c r="A12" i="13"/>
  <c r="E19" i="6"/>
  <c r="J14" i="8"/>
  <c r="Q14" i="8"/>
  <c r="B12" i="13"/>
  <c r="AM12" i="13" a="1"/>
  <c r="AM12" i="13"/>
  <c r="C12" i="13"/>
  <c r="O12" i="11" a="1"/>
  <c r="O12" i="11"/>
  <c r="AA12" i="11" a="1"/>
  <c r="AA12" i="11"/>
  <c r="AB12" i="11" a="1"/>
  <c r="AB12" i="11"/>
  <c r="N12" i="11"/>
  <c r="K12" i="11" a="1"/>
  <c r="K12" i="11"/>
  <c r="J12" i="13"/>
  <c r="G12" i="11"/>
  <c r="F12" i="13"/>
  <c r="J17" i="8"/>
  <c r="P17" i="8"/>
  <c r="N1" i="8"/>
  <c r="M1" i="8"/>
  <c r="O1" i="8"/>
  <c r="Q1" i="8"/>
  <c r="J1" i="8"/>
  <c r="P1" i="8"/>
  <c r="I1" i="8"/>
  <c r="S1" i="8"/>
  <c r="F10" i="8" a="1"/>
  <c r="F10" i="8"/>
  <c r="AH12" i="13"/>
  <c r="Q17" i="8"/>
  <c r="O12" i="13"/>
  <c r="K12" i="13" a="1"/>
  <c r="K12" i="13"/>
  <c r="R12" i="13"/>
  <c r="S12" i="13"/>
  <c r="M12" i="13"/>
  <c r="U12" i="13"/>
  <c r="T12" i="13"/>
  <c r="O14" i="8"/>
  <c r="S3" i="8"/>
  <c r="A1" i="8"/>
  <c r="R1" i="8"/>
  <c r="G1" i="8"/>
  <c r="G2" i="8" a="1"/>
  <c r="G2" i="8"/>
  <c r="H1" i="8" a="1"/>
  <c r="H1" i="8"/>
  <c r="J2" i="8"/>
  <c r="H2" i="8" a="1"/>
  <c r="H2" i="8"/>
  <c r="A14" i="8"/>
  <c r="B16" i="12"/>
  <c r="D15" i="5"/>
  <c r="C12" i="11"/>
  <c r="P12" i="11"/>
  <c r="Z12" i="11"/>
  <c r="L12" i="13"/>
  <c r="AE12" i="13"/>
  <c r="P14" i="8"/>
  <c r="W1" i="8" a="1"/>
  <c r="W1" i="8"/>
  <c r="AD1" i="8" a="1"/>
  <c r="AD1" i="8"/>
  <c r="AC1" i="8" a="1"/>
  <c r="AC1" i="8"/>
  <c r="U3" i="8" a="1"/>
  <c r="U3" i="8"/>
  <c r="AE3" i="8" a="1"/>
  <c r="AE3" i="8"/>
  <c r="V1" i="8" a="1"/>
  <c r="V1" i="8"/>
  <c r="X3" i="8" a="1"/>
  <c r="X3" i="8"/>
  <c r="V3" i="8" a="1"/>
  <c r="V3" i="8"/>
  <c r="D1" i="8"/>
  <c r="E1" i="8" a="1"/>
  <c r="E1" i="8"/>
  <c r="Z1" i="8" a="1"/>
  <c r="Z1" i="8"/>
  <c r="U1" i="8" a="1"/>
  <c r="U1" i="8"/>
  <c r="X1" i="8" a="1"/>
  <c r="X1" i="8"/>
  <c r="AB3" i="8" a="1"/>
  <c r="AB3" i="8"/>
  <c r="AB1" i="8" a="1"/>
  <c r="AB1" i="8"/>
  <c r="E3" i="8" a="1"/>
  <c r="E3" i="8"/>
  <c r="AD3" i="8" a="1"/>
  <c r="AD3" i="8"/>
  <c r="AE1" i="8" a="1"/>
  <c r="AE1" i="8"/>
  <c r="Y1" i="8" a="1"/>
  <c r="Y1" i="8"/>
  <c r="F3" i="8"/>
  <c r="Z3" i="8" a="1"/>
  <c r="Z3" i="8"/>
  <c r="AF1" i="8" a="1"/>
  <c r="AF1" i="8"/>
  <c r="AA3" i="8" a="1"/>
  <c r="AA3" i="8"/>
  <c r="Y3" i="8" a="1"/>
  <c r="Y3" i="8"/>
  <c r="C1" i="8"/>
  <c r="AF3" i="8" a="1"/>
  <c r="AF3" i="8"/>
  <c r="W3" i="8" a="1"/>
  <c r="W3" i="8"/>
  <c r="AA1" i="8" a="1"/>
  <c r="AA1" i="8"/>
  <c r="AC3" i="8" a="1"/>
  <c r="AC3" i="8"/>
  <c r="P12" i="13"/>
  <c r="N12" i="13"/>
  <c r="J20" i="8"/>
  <c r="D12" i="13"/>
  <c r="V12" i="13"/>
  <c r="Q20" i="8"/>
  <c r="P20" i="8"/>
  <c r="J23" i="8"/>
  <c r="Q23" i="8"/>
  <c r="P23" i="8"/>
  <c r="C16" i="10"/>
  <c r="A16" i="10"/>
  <c r="C18" i="10"/>
  <c r="A18" i="10"/>
  <c r="C17" i="10"/>
  <c r="A17" i="10"/>
  <c r="A15" i="9"/>
  <c r="M12" i="6" a="1"/>
  <c r="M12" i="6"/>
  <c r="C1" i="9"/>
  <c r="F1" i="9"/>
  <c r="C1" i="10"/>
  <c r="A1" i="10"/>
  <c r="AE14" i="13"/>
  <c r="M14" i="13"/>
  <c r="M19" i="13"/>
  <c r="U34" i="10" a="1"/>
  <c r="U34" i="10"/>
  <c r="M34" i="10" a="1"/>
  <c r="M34" i="10"/>
  <c r="Y34" i="10" a="1"/>
  <c r="Y34" i="10"/>
  <c r="AC34" i="10" a="1"/>
  <c r="AC34" i="10"/>
  <c r="O34" i="10" a="1"/>
  <c r="O34" i="10"/>
  <c r="S34" i="10" a="1"/>
  <c r="S34" i="10"/>
  <c r="Q34" i="10" a="1"/>
  <c r="Q34" i="10"/>
  <c r="W34" i="10" a="1"/>
  <c r="W34" i="10"/>
  <c r="AA34" i="10" a="1"/>
  <c r="AA34" i="10"/>
  <c r="AE34" i="10" a="1"/>
  <c r="AE34" i="10"/>
  <c r="K34" i="10" a="1"/>
  <c r="K34" i="10"/>
  <c r="N14" i="13"/>
  <c r="AA32" i="10"/>
  <c r="AE32" i="10"/>
  <c r="K32" i="10"/>
  <c r="W32" i="10"/>
  <c r="Q32" i="10"/>
  <c r="S32" i="10"/>
  <c r="AC32" i="10"/>
  <c r="Y32" i="10"/>
  <c r="O32" i="10"/>
  <c r="M32" i="10"/>
  <c r="U32" i="10"/>
  <c r="F33" i="14"/>
  <c r="D47" i="2" a="1"/>
  <c r="D47" i="2"/>
  <c r="N19" i="13"/>
  <c r="E33" i="14"/>
  <c r="D48" i="2" a="1"/>
  <c r="D48" i="2"/>
  <c r="AD6" i="13"/>
  <c r="AE6" i="13"/>
  <c r="AM17" i="5"/>
  <c r="L17" i="5"/>
  <c r="AC17" i="5" a="1"/>
  <c r="AC17" i="5"/>
  <c r="C11" i="10" a="1"/>
  <c r="C11" i="10"/>
  <c r="S38" i="10"/>
  <c r="F16" i="8"/>
  <c r="C14" i="8"/>
  <c r="D14" i="8"/>
  <c r="D46" i="2"/>
  <c r="D1" i="2"/>
  <c r="J103" i="12"/>
  <c r="AO17" i="12" a="1"/>
  <c r="AO17" i="12"/>
  <c r="M17" i="12" a="1"/>
  <c r="M17" i="12"/>
  <c r="AB17" i="5"/>
  <c r="G17" i="8"/>
  <c r="C17" i="6"/>
  <c r="O17" i="5"/>
  <c r="C17" i="12"/>
  <c r="J17" i="12" a="1"/>
  <c r="J17" i="12"/>
  <c r="L17" i="12" a="1"/>
  <c r="L17" i="12"/>
  <c r="K17" i="12"/>
  <c r="N17" i="12"/>
  <c r="Y17" i="12"/>
  <c r="X17" i="12" a="1"/>
  <c r="X17" i="12"/>
  <c r="D17" i="12"/>
  <c r="E17" i="6"/>
  <c r="I17" i="8"/>
  <c r="A17" i="8"/>
  <c r="W17" i="12" a="1"/>
  <c r="W17" i="12"/>
  <c r="U17" i="12"/>
  <c r="T17" i="12"/>
  <c r="V17" i="12" a="1"/>
  <c r="V17" i="12"/>
  <c r="H17" i="8" a="1"/>
  <c r="H17" i="8"/>
  <c r="J18" i="8"/>
  <c r="H18" i="8" a="1"/>
  <c r="H18" i="8"/>
  <c r="D17" i="8"/>
  <c r="E19" i="8" a="1"/>
  <c r="E19" i="8"/>
  <c r="E17" i="8" a="1"/>
  <c r="E17" i="8"/>
  <c r="H31" i="9"/>
  <c r="H34" i="9"/>
  <c r="E58" i="8"/>
  <c r="J31" i="9"/>
  <c r="J34" i="9"/>
  <c r="L31" i="9"/>
  <c r="L34" i="9"/>
  <c r="N31" i="9"/>
  <c r="N34" i="9"/>
  <c r="P31" i="9"/>
  <c r="P34" i="9"/>
  <c r="R31" i="9"/>
  <c r="R34" i="9"/>
  <c r="T31" i="9"/>
  <c r="T34" i="9"/>
  <c r="V31" i="9"/>
  <c r="V34" i="9"/>
  <c r="X31" i="9"/>
  <c r="X34" i="9"/>
  <c r="Z31" i="9"/>
  <c r="Z34" i="9"/>
  <c r="AD31" i="9"/>
  <c r="AD34" i="9"/>
  <c r="AB31" i="9"/>
  <c r="AB34" i="9"/>
  <c r="G34" i="9"/>
  <c r="S64" i="5" a="1"/>
  <c r="R19" i="5" a="1"/>
  <c r="R63" i="5" a="1"/>
  <c r="R64" i="5" a="1"/>
  <c r="S63" i="5" a="1"/>
  <c r="S63" i="5"/>
  <c r="R64" i="5"/>
  <c r="R63" i="5"/>
  <c r="R19" i="5"/>
  <c r="S64" i="5"/>
  <c r="F64" i="12" a="1"/>
  <c r="F64" i="12"/>
  <c r="G64" i="6"/>
  <c r="F19" i="12" a="1"/>
  <c r="F19" i="12"/>
  <c r="G19" i="6"/>
  <c r="E63" i="12"/>
  <c r="F63" i="6"/>
  <c r="E64" i="12"/>
  <c r="F64" i="6"/>
  <c r="F63" i="12" a="1"/>
  <c r="F63" i="12"/>
  <c r="G63" i="6"/>
  <c r="F19" i="6"/>
  <c r="AC19" i="5" a="1"/>
  <c r="AC19" i="5"/>
  <c r="E19" i="12"/>
  <c r="J18" i="6" a="1"/>
  <c r="J18" i="6"/>
  <c r="J42" i="6" a="1"/>
  <c r="J43" i="6" a="1"/>
  <c r="J42" i="6"/>
  <c r="J43" i="6"/>
  <c r="J44" i="6" a="1"/>
  <c r="J50" i="6" a="1"/>
  <c r="J55" i="6" a="1"/>
  <c r="J44" i="6"/>
  <c r="J50" i="6"/>
  <c r="J55" i="6"/>
  <c r="J66" i="6" a="1"/>
  <c r="J70" i="6" a="1"/>
  <c r="J71" i="6" a="1"/>
  <c r="J75" i="6" a="1"/>
  <c r="J76" i="6" a="1"/>
  <c r="J80" i="6" a="1"/>
  <c r="J81" i="6" a="1"/>
  <c r="J66" i="6"/>
  <c r="J70" i="6"/>
  <c r="J71" i="6"/>
  <c r="J75" i="6"/>
  <c r="J76" i="6"/>
  <c r="J80" i="6"/>
  <c r="J81" i="6"/>
  <c r="K10" i="8" a="1"/>
  <c r="K10" i="8"/>
  <c r="I70" i="5"/>
  <c r="I75" i="5"/>
  <c r="I80" i="5"/>
  <c r="J45" i="6" a="1"/>
  <c r="J46" i="6" a="1"/>
  <c r="J47" i="6" a="1"/>
  <c r="J48" i="6" a="1"/>
  <c r="J49" i="6" a="1"/>
  <c r="J51" i="6" a="1"/>
  <c r="J52" i="6" a="1"/>
  <c r="J53" i="6" a="1"/>
  <c r="J54" i="6" a="1"/>
  <c r="J56" i="6" a="1"/>
  <c r="J57" i="6" a="1"/>
  <c r="J58" i="6" a="1"/>
  <c r="J59" i="6" a="1"/>
  <c r="J60" i="6" a="1"/>
  <c r="T63" i="5"/>
  <c r="L63" i="5"/>
  <c r="AC63" i="5" a="1"/>
  <c r="AC63" i="5"/>
  <c r="J63" i="6" a="1"/>
  <c r="T64" i="5"/>
  <c r="L64" i="5"/>
  <c r="AC64" i="5" a="1"/>
  <c r="AC64" i="5"/>
  <c r="J64" i="6" a="1"/>
  <c r="J65" i="6" a="1"/>
  <c r="J67" i="6" a="1"/>
  <c r="J68" i="6" a="1"/>
  <c r="J69" i="6" a="1"/>
  <c r="J72" i="6" a="1"/>
  <c r="J73" i="6" a="1"/>
  <c r="J74" i="6" a="1"/>
  <c r="J77" i="6" a="1"/>
  <c r="J78" i="6" a="1"/>
  <c r="J79" i="6" a="1"/>
  <c r="J82" i="6" a="1"/>
  <c r="J83" i="6" a="1"/>
  <c r="J84" i="6" a="1"/>
  <c r="J85" i="6" a="1"/>
  <c r="J86" i="6" a="1"/>
  <c r="J87" i="6" a="1"/>
  <c r="J88" i="6" a="1"/>
  <c r="J89" i="6" a="1"/>
  <c r="J90" i="6" a="1"/>
  <c r="J91" i="6" a="1"/>
  <c r="J92" i="6" a="1"/>
  <c r="J45" i="6"/>
  <c r="J46" i="6"/>
  <c r="J47" i="6"/>
  <c r="J48" i="6"/>
  <c r="J49" i="6"/>
  <c r="J51" i="6"/>
  <c r="J52" i="6"/>
  <c r="J53" i="6"/>
  <c r="J54" i="6"/>
  <c r="J56" i="6"/>
  <c r="J57" i="6"/>
  <c r="J58" i="6"/>
  <c r="J59" i="6"/>
  <c r="J60" i="6"/>
  <c r="J63" i="6"/>
  <c r="J64" i="6"/>
  <c r="J65" i="6"/>
  <c r="J67" i="6"/>
  <c r="J68" i="6"/>
  <c r="J69" i="6"/>
  <c r="J72" i="6"/>
  <c r="J73" i="6"/>
  <c r="J74" i="6"/>
  <c r="J77" i="6"/>
  <c r="J78" i="6"/>
  <c r="J79" i="6"/>
  <c r="J82" i="6"/>
  <c r="J83" i="6"/>
  <c r="J84" i="6"/>
  <c r="J85" i="6"/>
  <c r="J86" i="6"/>
  <c r="J87" i="6"/>
  <c r="J88" i="6"/>
  <c r="J89" i="6"/>
  <c r="J90" i="6"/>
  <c r="J91" i="6"/>
  <c r="J92" i="6"/>
  <c r="L61" i="5"/>
  <c r="AC61" i="5" a="1"/>
  <c r="AC61" i="5"/>
  <c r="U23" i="8"/>
  <c r="D23" i="8"/>
  <c r="V23" i="8"/>
  <c r="W23" i="8"/>
  <c r="X23" i="8"/>
  <c r="Y23" i="8"/>
  <c r="Z23" i="8"/>
  <c r="AA23" i="8"/>
  <c r="AB23" i="8"/>
  <c r="AC23" i="8"/>
  <c r="AD23" i="8"/>
  <c r="AE23" i="8"/>
  <c r="AF23" i="8"/>
  <c r="C23" i="8"/>
  <c r="E25" i="8" a="1"/>
  <c r="E25" i="8"/>
  <c r="E23" i="8" a="1"/>
  <c r="E23" i="8"/>
  <c r="H24" i="8" a="1"/>
  <c r="H24" i="8"/>
  <c r="H23" i="8" a="1"/>
  <c r="H23" i="8"/>
  <c r="J24" i="8"/>
  <c r="Y61" i="12"/>
  <c r="W61" i="12" a="1"/>
  <c r="W61" i="12"/>
  <c r="T61" i="12"/>
  <c r="U61" i="12"/>
  <c r="V61" i="12" a="1"/>
  <c r="V61" i="12"/>
  <c r="X61" i="12" a="1"/>
  <c r="X61" i="12"/>
  <c r="O61" i="5"/>
  <c r="I23" i="8"/>
  <c r="A23" i="8"/>
  <c r="D61" i="12"/>
  <c r="E61" i="6"/>
  <c r="I61" i="12"/>
  <c r="L61" i="12" a="1"/>
  <c r="L61" i="12"/>
  <c r="J61" i="12" a="1"/>
  <c r="J61" i="12"/>
  <c r="K61" i="12"/>
  <c r="N61" i="12"/>
  <c r="C61" i="12"/>
  <c r="C61" i="6"/>
  <c r="G23" i="8"/>
  <c r="AM61" i="5"/>
  <c r="O63" i="5"/>
  <c r="E63" i="6"/>
  <c r="D63" i="12"/>
  <c r="O64" i="5"/>
  <c r="E64" i="6"/>
  <c r="D64" i="12"/>
  <c r="Y64" i="12"/>
  <c r="W64" i="12" a="1"/>
  <c r="W64" i="12"/>
  <c r="U64" i="12"/>
  <c r="V64" i="12" a="1"/>
  <c r="V64" i="12"/>
  <c r="T64" i="12"/>
  <c r="Y63" i="12"/>
  <c r="W63" i="12" a="1"/>
  <c r="W63" i="12"/>
  <c r="V63" i="12" a="1"/>
  <c r="V63" i="12"/>
  <c r="T63" i="12"/>
  <c r="U63" i="12"/>
  <c r="X64" i="12" a="1"/>
  <c r="X64" i="12"/>
  <c r="X63" i="12" a="1"/>
  <c r="X63" i="12"/>
  <c r="N63" i="12"/>
  <c r="N64" i="12"/>
  <c r="C63" i="12"/>
  <c r="C64" i="12"/>
  <c r="C64" i="6"/>
  <c r="C63" i="6"/>
  <c r="AM63" i="5"/>
  <c r="AM64" i="5"/>
  <c r="A23" i="9"/>
  <c r="M1" i="7" a="1"/>
  <c r="M1" i="7"/>
  <c r="P1" i="7" a="1"/>
  <c r="P1" i="7"/>
  <c r="Q1" i="7" a="1"/>
  <c r="Q1" i="7"/>
  <c r="O1" i="7" a="1"/>
  <c r="O1" i="7"/>
  <c r="N1" i="7" a="1"/>
  <c r="N1" i="7"/>
  <c r="J1" i="7" a="1"/>
  <c r="J1" i="7"/>
  <c r="Q16" i="7" a="1"/>
  <c r="Q16" i="7"/>
  <c r="Q17" i="7" a="1"/>
  <c r="Q17" i="7"/>
  <c r="Q23" i="7" a="1"/>
  <c r="Q23" i="7"/>
  <c r="Q14" i="7"/>
  <c r="L1" i="7" a="1"/>
  <c r="L1" i="7"/>
  <c r="K1" i="7" a="1"/>
  <c r="K1" i="7"/>
  <c r="L16" i="7" a="1"/>
  <c r="L16" i="7"/>
  <c r="L17" i="7" a="1"/>
  <c r="L17" i="7"/>
  <c r="L23" i="7" a="1"/>
  <c r="L23" i="7"/>
  <c r="L14" i="7"/>
  <c r="K16" i="7" a="1"/>
  <c r="K16" i="7"/>
  <c r="K17" i="7" a="1"/>
  <c r="K17" i="7"/>
  <c r="K23" i="7" a="1"/>
  <c r="K23" i="7"/>
  <c r="K14" i="7"/>
  <c r="J16" i="7" a="1"/>
  <c r="J16" i="7"/>
  <c r="J17" i="7" a="1"/>
  <c r="J17" i="7"/>
  <c r="J23" i="7" a="1"/>
  <c r="J23" i="7"/>
  <c r="J14" i="7"/>
  <c r="P16" i="7" a="1"/>
  <c r="P16" i="7"/>
  <c r="P17" i="7" a="1"/>
  <c r="P17" i="7"/>
  <c r="P23" i="7" a="1"/>
  <c r="P23" i="7"/>
  <c r="P14" i="7"/>
  <c r="N16" i="7" a="1"/>
  <c r="N16" i="7"/>
  <c r="N17" i="7" a="1"/>
  <c r="N17" i="7"/>
  <c r="N23" i="7" a="1"/>
  <c r="N23" i="7"/>
  <c r="N14" i="7"/>
  <c r="O16" i="7" a="1"/>
  <c r="O16" i="7"/>
  <c r="O17" i="7" a="1"/>
  <c r="O17" i="7"/>
  <c r="O23" i="7" a="1"/>
  <c r="O23" i="7"/>
  <c r="O14" i="7"/>
  <c r="M16" i="7" a="1"/>
  <c r="M16" i="7"/>
  <c r="M17" i="7" a="1"/>
  <c r="M17" i="7"/>
  <c r="M23" i="7" a="1"/>
  <c r="M23" i="7"/>
  <c r="M14" i="7"/>
  <c r="I1" i="7" a="1"/>
  <c r="I1" i="7"/>
  <c r="E1" i="7" a="1"/>
  <c r="E1" i="7"/>
  <c r="H1" i="7" a="1"/>
  <c r="H1" i="7"/>
  <c r="I16" i="7" a="1"/>
  <c r="I16" i="7"/>
  <c r="I17" i="7" a="1"/>
  <c r="I17" i="7"/>
  <c r="I23" i="7" a="1"/>
  <c r="I23" i="7"/>
  <c r="I14" i="7"/>
  <c r="H16" i="7" a="1"/>
  <c r="H16" i="7"/>
  <c r="H17" i="7" a="1"/>
  <c r="H17" i="7"/>
  <c r="H23" i="7" a="1"/>
  <c r="H23" i="7"/>
  <c r="H14" i="7"/>
  <c r="E16" i="7" a="1"/>
  <c r="E16" i="7"/>
  <c r="E17" i="7" a="1"/>
  <c r="E17" i="7"/>
  <c r="E18" i="7" a="1"/>
  <c r="E23" i="7" a="1"/>
  <c r="E18" i="7"/>
  <c r="E23" i="7"/>
  <c r="E14" i="7"/>
  <c r="F1" i="7"/>
  <c r="G1" i="7"/>
  <c r="G16" i="7"/>
  <c r="G17" i="7"/>
  <c r="G18" i="7"/>
  <c r="G23" i="7"/>
  <c r="F6" i="7"/>
  <c r="U14" i="8" a="1"/>
  <c r="U14" i="8"/>
  <c r="V14" i="8" a="1"/>
  <c r="V14" i="8"/>
  <c r="X14" i="8" a="1"/>
  <c r="X14" i="8"/>
  <c r="W14" i="8" a="1"/>
  <c r="W14" i="8"/>
  <c r="Y14" i="8" a="1"/>
  <c r="Y14" i="8"/>
  <c r="Z14" i="8" a="1"/>
  <c r="Z14" i="8"/>
  <c r="AB14" i="8" a="1"/>
  <c r="AB14" i="8"/>
  <c r="AA14" i="8" a="1"/>
  <c r="AA14" i="8"/>
  <c r="AC14" i="8" a="1"/>
  <c r="AC14" i="8"/>
  <c r="AD14" i="8" a="1"/>
  <c r="AD14" i="8"/>
  <c r="AE14" i="8" a="1"/>
  <c r="AE14" i="8"/>
  <c r="AF14" i="8" a="1"/>
  <c r="AF14" i="8"/>
  <c r="AD12" i="13" a="1"/>
  <c r="AD12" i="13"/>
  <c r="AG12" i="13" a="1"/>
  <c r="AG12" i="13"/>
  <c r="AC12" i="13" a="1"/>
  <c r="AC12" i="13"/>
  <c r="AF12" i="13" a="1"/>
  <c r="AF12" i="13"/>
  <c r="A16" i="9"/>
  <c r="A17" i="9"/>
  <c r="A18" i="9"/>
  <c r="A1" i="9"/>
  <c r="AC31" i="10"/>
  <c r="S31" i="10"/>
  <c r="Y31" i="10"/>
  <c r="Q31" i="10"/>
  <c r="AM16" i="5"/>
  <c r="W31" i="10"/>
  <c r="K31" i="10"/>
  <c r="AM15" i="5"/>
  <c r="O31" i="10"/>
  <c r="AA31" i="10"/>
  <c r="U31" i="10"/>
  <c r="M31" i="10"/>
  <c r="AE31" i="10"/>
  <c r="K33" i="10"/>
  <c r="K36" i="10"/>
  <c r="M33" i="10"/>
  <c r="M36" i="10"/>
  <c r="O33" i="10"/>
  <c r="O36" i="10"/>
  <c r="Q33" i="10"/>
  <c r="Q36" i="10"/>
  <c r="S33" i="10"/>
  <c r="S36" i="10"/>
  <c r="U33" i="10"/>
  <c r="U36" i="10"/>
  <c r="W33" i="10"/>
  <c r="W36" i="10"/>
  <c r="Y33" i="10"/>
  <c r="Y36" i="10"/>
  <c r="AA33" i="10"/>
  <c r="AA36" i="10"/>
  <c r="AC33" i="10"/>
  <c r="AC36" i="10"/>
  <c r="AE33" i="10"/>
  <c r="AE36" i="10"/>
  <c r="H36" i="10"/>
  <c r="C14" i="11"/>
  <c r="L16" i="5"/>
  <c r="C16" i="6"/>
  <c r="C14" i="6"/>
  <c r="I16" i="12"/>
  <c r="C16" i="12"/>
  <c r="AB15" i="5"/>
  <c r="H15" i="8" a="1"/>
  <c r="H15" i="8"/>
  <c r="H14" i="8" a="1"/>
  <c r="H14" i="8"/>
  <c r="J15" i="8"/>
  <c r="G14" i="8"/>
  <c r="O16" i="12" a="1"/>
  <c r="O16" i="12"/>
  <c r="M16" i="12" a="1"/>
  <c r="M16" i="12"/>
  <c r="N16" i="12"/>
  <c r="L16" i="12" a="1"/>
  <c r="L16" i="12"/>
  <c r="J16" i="12" a="1"/>
  <c r="J16" i="12"/>
  <c r="K16" i="12"/>
  <c r="O16" i="5"/>
  <c r="D16" i="12"/>
  <c r="E16" i="6"/>
  <c r="E14" i="6"/>
  <c r="I14" i="8"/>
  <c r="O16" i="11"/>
  <c r="D14" i="13"/>
  <c r="P14" i="13"/>
  <c r="L19" i="13"/>
  <c r="L15" i="13"/>
  <c r="D33" i="14"/>
  <c r="M15" i="13"/>
  <c r="O20" i="13"/>
  <c r="O15" i="13"/>
  <c r="E34" i="14"/>
  <c r="N15" i="13"/>
  <c r="AO16" i="12" a="1"/>
  <c r="AO16" i="12"/>
  <c r="Y16" i="12"/>
  <c r="X16" i="12" a="1"/>
  <c r="X16" i="12"/>
  <c r="N14" i="11"/>
  <c r="N15" i="11"/>
  <c r="N16" i="11"/>
  <c r="W16" i="12" a="1"/>
  <c r="W16" i="12"/>
  <c r="T16" i="12"/>
  <c r="V16" i="12" a="1"/>
  <c r="V16" i="12"/>
  <c r="U16" i="12"/>
  <c r="P15" i="13"/>
  <c r="F34" i="14"/>
  <c r="G10" i="13"/>
  <c r="AA19" i="5" a="1"/>
  <c r="AA19" i="5"/>
  <c r="AA20" i="5" a="1"/>
  <c r="AA20" i="5"/>
  <c r="AA21" i="5" a="1"/>
  <c r="AA21" i="5"/>
  <c r="AA22" i="5" a="1"/>
  <c r="AA22" i="5"/>
  <c r="AA23" i="5" a="1"/>
  <c r="AA23" i="5"/>
  <c r="AA24" i="5" a="1"/>
  <c r="AA24" i="5"/>
  <c r="AA25" i="5" a="1"/>
  <c r="AA25" i="5"/>
  <c r="AA26" i="5" a="1"/>
  <c r="AA26" i="5"/>
  <c r="AA27" i="5" a="1"/>
  <c r="AA28" i="5" a="1"/>
  <c r="AA29" i="5" a="1"/>
  <c r="AA30" i="5" a="1"/>
  <c r="AA31" i="5" a="1"/>
  <c r="AA32" i="5" a="1"/>
  <c r="AA33" i="5" a="1"/>
  <c r="AA34" i="5" a="1"/>
  <c r="AA35" i="5" a="1"/>
  <c r="AA36" i="5" a="1"/>
  <c r="AA37" i="5" a="1"/>
  <c r="AA38" i="5" a="1"/>
  <c r="AA39" i="5" a="1"/>
  <c r="AA27" i="5"/>
  <c r="AA28" i="5"/>
  <c r="AA29" i="5"/>
  <c r="AA30" i="5"/>
  <c r="AA31" i="5"/>
  <c r="AA32" i="5"/>
  <c r="AA33" i="5"/>
  <c r="AA34" i="5"/>
  <c r="AA35" i="5"/>
  <c r="AA36" i="5"/>
  <c r="AA37" i="5"/>
  <c r="AA38" i="5"/>
  <c r="AA39" i="5"/>
  <c r="AA18" i="5" a="1"/>
  <c r="AA17" i="5" a="1"/>
  <c r="AA16" i="5" a="1"/>
  <c r="AA15" i="5"/>
  <c r="AG14" i="13" a="1"/>
  <c r="AG14" i="13"/>
  <c r="U14" i="13"/>
  <c r="AD4" i="13"/>
  <c r="AA16" i="5"/>
  <c r="AA17" i="5"/>
  <c r="AA18" i="5"/>
  <c r="AF14" i="13" a="1"/>
  <c r="AF14" i="13"/>
  <c r="T14" i="13"/>
  <c r="AD3" i="13"/>
  <c r="AD2" i="13"/>
  <c r="AD14" i="11"/>
  <c r="AD12" i="11"/>
  <c r="AE12" i="11"/>
  <c r="M12" i="11"/>
  <c r="L12" i="11"/>
  <c r="AD14" i="13" a="1"/>
  <c r="AD14" i="13"/>
  <c r="S14" i="13"/>
  <c r="M18" i="13"/>
  <c r="AE4" i="13"/>
  <c r="O18" i="13"/>
  <c r="F32" i="14"/>
  <c r="L18" i="13"/>
  <c r="D32" i="14"/>
  <c r="AD18" i="13"/>
  <c r="AC18" i="13"/>
  <c r="AA14" i="11" a="1"/>
  <c r="AA14" i="11"/>
  <c r="AA15" i="11"/>
  <c r="Z14" i="11"/>
  <c r="Z15" i="11"/>
  <c r="N18" i="13"/>
  <c r="E32" i="14"/>
  <c r="AE14" i="11"/>
  <c r="M14" i="11"/>
  <c r="M15" i="11"/>
  <c r="L17" i="13"/>
  <c r="AD17" i="13"/>
  <c r="AC17" i="13"/>
  <c r="AC14" i="13" a="1"/>
  <c r="AC14" i="13"/>
  <c r="R14" i="13"/>
  <c r="M17" i="13"/>
  <c r="AE3" i="13"/>
  <c r="AE2" i="13"/>
  <c r="L14" i="11"/>
  <c r="L15" i="11"/>
  <c r="L16" i="13"/>
  <c r="D30" i="14"/>
  <c r="L16" i="11"/>
  <c r="L10" i="11"/>
  <c r="M10" i="13"/>
  <c r="D31" i="14"/>
  <c r="M10" i="11"/>
  <c r="N10" i="13"/>
  <c r="P14" i="11"/>
  <c r="G11" i="11"/>
  <c r="M16" i="11"/>
  <c r="G9" i="11"/>
  <c r="O17" i="13"/>
  <c r="F31" i="14"/>
  <c r="N17" i="13"/>
  <c r="E31" i="14"/>
  <c r="O16" i="13"/>
  <c r="M16" i="13"/>
  <c r="N16" i="13"/>
  <c r="E30" i="14"/>
  <c r="F30" i="14"/>
  <c r="I48" i="8"/>
  <c r="E22" i="8" a="1"/>
  <c r="E22" i="8"/>
  <c r="E16" i="8" a="1"/>
  <c r="E16" i="8"/>
  <c r="C17" i="8"/>
  <c r="E20" i="8" a="1"/>
  <c r="E20" i="8"/>
  <c r="C20" i="8"/>
  <c r="E55" i="8" a="1"/>
  <c r="E55" i="8"/>
  <c r="E50" i="8"/>
  <c r="E14" i="8" a="1"/>
  <c r="E14" i="8"/>
  <c r="D20" i="8"/>
  <c r="E56" i="8" a="1"/>
  <c r="E56" i="8"/>
  <c r="E51" i="8"/>
  <c r="J32" i="9"/>
  <c r="H32" i="9"/>
  <c r="U20" i="8"/>
  <c r="U56" i="8" a="1"/>
  <c r="U56" i="8"/>
  <c r="U51" i="8"/>
  <c r="U55" i="8" a="1"/>
  <c r="U55" i="8"/>
  <c r="U54" i="8"/>
  <c r="U49" i="8"/>
  <c r="U50" i="8"/>
  <c r="E57" i="8"/>
  <c r="E53" i="8"/>
  <c r="E52" i="8"/>
  <c r="E48" i="8"/>
  <c r="E54" i="8"/>
  <c r="E49" i="8"/>
  <c r="L32" i="9"/>
  <c r="U52" i="8"/>
  <c r="U48" i="8"/>
  <c r="H29" i="9"/>
  <c r="H30" i="9"/>
  <c r="V20" i="8"/>
  <c r="V55" i="8" a="1"/>
  <c r="V55" i="8"/>
  <c r="V50" i="8"/>
  <c r="V52" i="8"/>
  <c r="V48" i="8"/>
  <c r="J29" i="9"/>
  <c r="J30" i="9"/>
  <c r="V56" i="8" a="1"/>
  <c r="V56" i="8"/>
  <c r="V51" i="8"/>
  <c r="V54" i="8"/>
  <c r="V49" i="8"/>
  <c r="W20" i="8"/>
  <c r="W56" i="8" a="1"/>
  <c r="W56" i="8"/>
  <c r="W55" i="8" a="1"/>
  <c r="W55" i="8"/>
  <c r="W54" i="8"/>
  <c r="W49" i="8"/>
  <c r="W50" i="8"/>
  <c r="W52" i="8"/>
  <c r="L30" i="9"/>
  <c r="W48" i="8"/>
  <c r="L29" i="9"/>
  <c r="W51" i="8"/>
  <c r="N32" i="9"/>
  <c r="X20" i="8"/>
  <c r="X56" i="8" a="1"/>
  <c r="X56" i="8"/>
  <c r="X51" i="8"/>
  <c r="P32" i="9"/>
  <c r="X52" i="8"/>
  <c r="X48" i="8"/>
  <c r="N29" i="9"/>
  <c r="N30" i="9"/>
  <c r="X55" i="8" a="1"/>
  <c r="X55" i="8"/>
  <c r="X50" i="8"/>
  <c r="X54" i="8"/>
  <c r="X49" i="8"/>
  <c r="Y20" i="8"/>
  <c r="Y56" i="8" a="1"/>
  <c r="Y56" i="8"/>
  <c r="Y55" i="8" a="1"/>
  <c r="Y55" i="8"/>
  <c r="Y54" i="8"/>
  <c r="Y49" i="8"/>
  <c r="Y50" i="8"/>
  <c r="R32" i="9"/>
  <c r="Y52" i="8"/>
  <c r="Y48" i="8"/>
  <c r="P29" i="9"/>
  <c r="P30" i="9"/>
  <c r="Y51" i="8"/>
  <c r="Z20" i="8"/>
  <c r="Z56" i="8" a="1"/>
  <c r="Z56" i="8"/>
  <c r="Z55" i="8" a="1"/>
  <c r="Z55" i="8"/>
  <c r="Z54" i="8"/>
  <c r="Z49" i="8"/>
  <c r="Z51" i="8"/>
  <c r="T32" i="9"/>
  <c r="Z52" i="8"/>
  <c r="R30" i="9"/>
  <c r="Z48" i="8"/>
  <c r="R29" i="9"/>
  <c r="Z50" i="8"/>
  <c r="AA20" i="8"/>
  <c r="AA56" i="8" a="1"/>
  <c r="AA56" i="8"/>
  <c r="AA55" i="8" a="1"/>
  <c r="AA55" i="8"/>
  <c r="AA54" i="8"/>
  <c r="AA49" i="8"/>
  <c r="AA50" i="8"/>
  <c r="AA52" i="8"/>
  <c r="T30" i="9"/>
  <c r="AA48" i="8"/>
  <c r="T29" i="9"/>
  <c r="V32" i="9"/>
  <c r="AA51" i="8"/>
  <c r="AB20" i="8"/>
  <c r="AB56" i="8" a="1"/>
  <c r="AB56" i="8"/>
  <c r="AB51" i="8"/>
  <c r="X32" i="9"/>
  <c r="AB52" i="8"/>
  <c r="AB48" i="8"/>
  <c r="V29" i="9"/>
  <c r="V30" i="9"/>
  <c r="AB55" i="8" a="1"/>
  <c r="AB55" i="8"/>
  <c r="AB50" i="8"/>
  <c r="AB54" i="8"/>
  <c r="AB49" i="8"/>
  <c r="Z32" i="9"/>
  <c r="AC20" i="8"/>
  <c r="AC56" i="8" a="1"/>
  <c r="AC56" i="8"/>
  <c r="AC51" i="8"/>
  <c r="AC55" i="8" a="1"/>
  <c r="AC55" i="8"/>
  <c r="AC50" i="8"/>
  <c r="AC52" i="8"/>
  <c r="AC48" i="8"/>
  <c r="X29" i="9"/>
  <c r="X30" i="9"/>
  <c r="AC54" i="8"/>
  <c r="AC49" i="8"/>
  <c r="AD20" i="8"/>
  <c r="AD56" i="8" a="1"/>
  <c r="AD56" i="8"/>
  <c r="AD55" i="8" a="1"/>
  <c r="AD55" i="8"/>
  <c r="AD54" i="8"/>
  <c r="AD49" i="8"/>
  <c r="AB32" i="9"/>
  <c r="AD50" i="8"/>
  <c r="AD52" i="8"/>
  <c r="AD48" i="8"/>
  <c r="Z29" i="9"/>
  <c r="Z30" i="9"/>
  <c r="AD51" i="8"/>
  <c r="AE20" i="8"/>
  <c r="AE56" i="8" a="1"/>
  <c r="AE56" i="8"/>
  <c r="AE55" i="8" a="1"/>
  <c r="AE55" i="8"/>
  <c r="AE54" i="8"/>
  <c r="AE49" i="8"/>
  <c r="AD32" i="9"/>
  <c r="B6" i="9" a="1"/>
  <c r="B6" i="9"/>
  <c r="M13" i="9"/>
  <c r="F11" i="8" a="1"/>
  <c r="F11" i="8"/>
  <c r="AF20" i="8"/>
  <c r="AF56" i="8" a="1"/>
  <c r="AF56" i="8"/>
  <c r="AF51" i="8"/>
  <c r="AE51" i="8"/>
  <c r="AF55" i="8" a="1"/>
  <c r="AF55" i="8"/>
  <c r="AF50" i="8"/>
  <c r="AE50" i="8"/>
  <c r="AE52" i="8"/>
  <c r="AE48" i="8"/>
  <c r="AB29" i="9"/>
  <c r="AB30" i="9"/>
  <c r="AF54" i="8"/>
  <c r="AF49" i="8"/>
  <c r="AF52" i="8"/>
  <c r="AF48" i="8"/>
  <c r="AD29" i="9"/>
  <c r="AD30" i="9"/>
  <c r="AC16" i="5" a="1"/>
  <c r="AC16" i="5"/>
  <c r="L39" i="5"/>
  <c r="AC39" i="5" a="1"/>
  <c r="L41" i="5"/>
  <c r="AC39" i="5"/>
  <c r="T41" i="5"/>
  <c r="AC41" i="5" a="1"/>
  <c r="AC41" i="5"/>
  <c r="AC7" i="5"/>
  <c r="AC11" i="5"/>
  <c r="O12" i="5" a="1"/>
  <c r="O12" i="5"/>
  <c r="J19" i="6" a="1"/>
  <c r="J19" i="6"/>
  <c r="J20" i="6" a="1"/>
  <c r="J20" i="6"/>
  <c r="J21" i="6" a="1"/>
  <c r="J22" i="6" a="1"/>
  <c r="J23" i="6" a="1"/>
  <c r="J24" i="6" a="1"/>
  <c r="J25" i="6" a="1"/>
  <c r="J26" i="6" a="1"/>
  <c r="J27" i="6" a="1"/>
  <c r="J28" i="6" a="1"/>
  <c r="J29" i="6" a="1"/>
  <c r="J30" i="6" a="1"/>
  <c r="J31" i="6" a="1"/>
  <c r="J32" i="6" a="1"/>
  <c r="J33" i="6" a="1"/>
  <c r="J34" i="6" a="1"/>
  <c r="J35" i="6" a="1"/>
  <c r="J36" i="6" a="1"/>
  <c r="J37" i="6" a="1"/>
  <c r="J38" i="6" a="1"/>
  <c r="J41" i="6" a="1"/>
  <c r="J21" i="6"/>
  <c r="J22" i="6"/>
  <c r="J23" i="6"/>
  <c r="J24" i="6"/>
  <c r="J25" i="6"/>
  <c r="J26" i="6"/>
  <c r="J27" i="6"/>
  <c r="J28" i="6"/>
  <c r="J29" i="6"/>
  <c r="J30" i="6"/>
  <c r="J31" i="6"/>
  <c r="J32" i="6"/>
  <c r="J33" i="6"/>
  <c r="J34" i="6"/>
  <c r="J35" i="6"/>
  <c r="J36" i="6"/>
  <c r="J37" i="6"/>
  <c r="J38" i="6"/>
  <c r="J41" i="6"/>
  <c r="F11" i="6"/>
  <c r="N11" i="6"/>
  <c r="I12" i="6"/>
  <c r="H21" i="8" a="1"/>
  <c r="H21" i="8"/>
  <c r="H20" i="8" a="1"/>
  <c r="H20" i="8"/>
  <c r="J21" i="8"/>
  <c r="AO39" i="12" a="1"/>
  <c r="AO39" i="12"/>
  <c r="O39" i="12" a="1"/>
  <c r="O39" i="12"/>
  <c r="Y39" i="12"/>
  <c r="W39" i="12" a="1"/>
  <c r="W39" i="12"/>
  <c r="V39" i="12" a="1"/>
  <c r="V39" i="12"/>
  <c r="U39" i="12"/>
  <c r="T39" i="12"/>
  <c r="X39" i="12" a="1"/>
  <c r="X39" i="12"/>
  <c r="M39" i="12" a="1"/>
  <c r="M39" i="12"/>
  <c r="N39" i="12"/>
  <c r="O39" i="5"/>
  <c r="D39" i="12"/>
  <c r="E39" i="6"/>
  <c r="I20" i="8"/>
  <c r="A20" i="8"/>
  <c r="C39" i="6"/>
  <c r="I39" i="12"/>
  <c r="L39" i="12" a="1"/>
  <c r="L39" i="12"/>
  <c r="J39" i="12" a="1"/>
  <c r="J39" i="12"/>
  <c r="K39" i="12"/>
  <c r="C39" i="12"/>
  <c r="G20" i="8"/>
  <c r="AM39" i="5"/>
  <c r="V16" i="7" a="1"/>
  <c r="V16" i="7"/>
  <c r="V17" i="7" a="1"/>
  <c r="V17" i="7"/>
  <c r="V23" i="7" a="1"/>
  <c r="V23" i="7"/>
  <c r="V14" i="7"/>
  <c r="U16" i="7" a="1"/>
  <c r="U16" i="7"/>
  <c r="U17" i="7" a="1"/>
  <c r="U17" i="7"/>
  <c r="U23" i="7" a="1"/>
  <c r="U23" i="7"/>
  <c r="U14" i="7"/>
  <c r="T16" i="7" a="1"/>
  <c r="T16" i="7"/>
  <c r="T17" i="7" a="1"/>
  <c r="T17" i="7"/>
  <c r="T23" i="7" a="1"/>
  <c r="T23" i="7"/>
  <c r="T14" i="7"/>
  <c r="R16" i="7" a="1"/>
  <c r="R16" i="7"/>
  <c r="R17" i="7" a="1"/>
  <c r="R17" i="7"/>
  <c r="R23" i="7" a="1"/>
  <c r="R23" i="7"/>
  <c r="R14" i="7"/>
  <c r="S16" i="7" a="1"/>
  <c r="S16" i="7"/>
  <c r="S17" i="7" a="1"/>
  <c r="S17" i="7"/>
  <c r="S23" i="7" a="1"/>
  <c r="S23" i="7"/>
  <c r="S14" i="7"/>
  <c r="R1" i="7" a="1"/>
  <c r="R1" i="7"/>
  <c r="V1" i="7" a="1"/>
  <c r="V1" i="7"/>
  <c r="T1" i="7" a="1"/>
  <c r="T1" i="7"/>
  <c r="S1" i="7" a="1"/>
  <c r="S1" i="7"/>
  <c r="U1" i="7" a="1"/>
  <c r="U1" i="7"/>
  <c r="AM41" i="5"/>
  <c r="C41" i="6"/>
  <c r="O41" i="5"/>
  <c r="E41" i="6"/>
  <c r="C41" i="12"/>
  <c r="D41" i="12"/>
  <c r="N41" i="12"/>
  <c r="Y41" i="12"/>
  <c r="W41" i="12" a="1"/>
  <c r="W41" i="12"/>
  <c r="T41" i="12"/>
  <c r="U41" i="12"/>
  <c r="V41" i="12" a="1"/>
  <c r="V41" i="12"/>
  <c r="X41" i="12" a="1"/>
  <c r="X41"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16"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<sst xmlns="http://schemas.openxmlformats.org/spreadsheetml/2006/main" count="2274" uniqueCount="1120">
  <si>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</si>
  <si>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</si>
  <si>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</si>
  <si>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</si>
  <si>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</si>
  <si>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</si>
  <si>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</si>
  <si>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</si>
  <si>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</si>
  <si>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</si>
  <si>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</si>
  <si>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</si>
  <si>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</si>
  <si>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</si>
  <si>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</si>
  <si>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</si>
  <si>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</si>
  <si>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</si>
  <si>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</si>
  <si>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</si>
  <si>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</si>
  <si>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</si>
  <si>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</si>
  <si>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</si>
  <si>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</si>
  <si>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</si>
  <si>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</si>
  <si>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</si>
  <si>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</si>
  <si>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</si>
  <si>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</si>
  <si>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</si>
  <si>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</si>
  <si>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</si>
  <si>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</si>
  <si>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</si>
  <si>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</si>
  <si>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</si>
  <si>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</si>
  <si>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</si>
  <si>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</si>
  <si>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</si>
  <si>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</si>
  <si>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</si>
  <si>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</si>
  <si>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</si>
  <si>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</si>
  <si>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</si>
  <si>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</si>
  <si>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</si>
  <si>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</si>
  <si>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</si>
  <si>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</si>
  <si>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</si>
  <si>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</si>
  <si>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</si>
  <si>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</si>
  <si>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</si>
  <si>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</si>
  <si>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</si>
  <si>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</si>
  <si>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</si>
  <si>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</si>
  <si>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</si>
  <si>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</si>
  <si>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</si>
  <si>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</si>
  <si>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</si>
  <si>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</si>
  <si>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</si>
  <si>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</si>
  <si>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</si>
  <si>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</si>
  <si>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</si>
  <si>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</si>
  <si>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</si>
  <si>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</si>
  <si>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</si>
  <si>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</si>
  <si>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</si>
  <si>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</si>
  <si>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</si>
  <si>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</si>
  <si>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</si>
  <si>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</si>
  <si>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</si>
  <si>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</si>
  <si>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</si>
  <si>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</si>
  <si>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</si>
  <si>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</si>
  <si>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</si>
  <si>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</si>
  <si>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</si>
  <si>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</si>
  <si>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</si>
  <si>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</si>
  <si>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</si>
  <si>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</si>
  <si>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</si>
  <si>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</si>
  <si>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</si>
  <si>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</si>
  <si>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</si>
  <si>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</si>
  <si>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</si>
  <si>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</si>
  <si>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</si>
  <si>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</si>
  <si>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</si>
  <si>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</si>
  <si>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</si>
  <si>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</si>
  <si>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</si>
  <si>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</si>
  <si>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</si>
  <si>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</si>
  <si>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</si>
  <si>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</si>
  <si>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</si>
  <si>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</si>
  <si>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</si>
  <si>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</si>
  <si>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</si>
  <si>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</si>
  <si>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</si>
  <si>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</si>
  <si>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</si>
  <si>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</si>
  <si>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</si>
  <si>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</si>
  <si>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</si>
  <si>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</si>
  <si>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</si>
  <si>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</si>
  <si>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</si>
  <si>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</si>
  <si>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</si>
  <si>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</si>
  <si>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</si>
  <si>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</si>
  <si>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</si>
  <si>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</si>
  <si>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</si>
  <si>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</si>
  <si>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</si>
  <si>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</si>
  <si>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</si>
  <si>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</si>
  <si>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</si>
  <si>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</si>
  <si>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</si>
  <si>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</si>
  <si>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</si>
  <si>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</si>
  <si>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</si>
  <si>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</si>
  <si>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</si>
  <si>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</si>
  <si>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</si>
  <si>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</si>
  <si>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</si>
  <si>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</si>
  <si>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</si>
  <si>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</si>
  <si>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</si>
  <si>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</si>
  <si>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</si>
  <si>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</si>
  <si>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</si>
  <si>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</si>
  <si>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</si>
  <si>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</si>
  <si>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</si>
  <si>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</si>
  <si>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</si>
  <si>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</si>
  <si>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</si>
  <si>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</si>
  <si>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</si>
  <si>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</si>
  <si>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</si>
  <si>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</si>
  <si>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</si>
  <si>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</si>
  <si>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</si>
  <si>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</si>
  <si>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</si>
  <si>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</si>
  <si>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</si>
  <si>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</si>
  <si>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</si>
  <si>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</si>
  <si>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</si>
  <si>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</si>
  <si>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</si>
  <si>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</si>
  <si>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</si>
  <si>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</si>
  <si>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</si>
  <si>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</si>
  <si>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</si>
  <si>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</si>
  <si>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</si>
  <si>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</si>
  <si>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</si>
  <si>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</si>
  <si>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</si>
  <si>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</si>
  <si>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</si>
  <si>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</si>
  <si>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</si>
  <si>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</si>
  <si>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</si>
  <si>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</si>
  <si>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</si>
  <si>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</si>
  <si>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</si>
  <si>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</si>
  <si>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</si>
  <si>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</si>
  <si>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</si>
  <si>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</si>
  <si>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</si>
  <si>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</si>
  <si>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</si>
  <si>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</si>
  <si>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</si>
  <si>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</si>
  <si>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</si>
  <si>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</si>
  <si>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</si>
  <si>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</si>
  <si>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</si>
  <si>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</si>
  <si>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</si>
  <si>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</si>
  <si>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</si>
  <si>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</si>
  <si>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</si>
  <si>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</si>
  <si>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</si>
  <si>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</si>
  <si>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</si>
  <si>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</si>
  <si>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</si>
  <si>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</si>
  <si>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</si>
  <si>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</si>
  <si>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</si>
  <si>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</si>
  <si>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</si>
  <si>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</si>
  <si>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</si>
  <si>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</si>
  <si>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</si>
  <si>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</si>
  <si>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</si>
  <si>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</si>
  <si>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</si>
  <si>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</si>
  <si>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</si>
  <si>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</si>
  <si>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</si>
  <si>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</si>
  <si>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</si>
  <si>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</si>
  <si>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</si>
  <si>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</si>
  <si>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</si>
  <si>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</si>
  <si>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</si>
  <si>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</si>
  <si>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</si>
  <si>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</si>
  <si>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</si>
  <si>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</si>
  <si>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</si>
  <si>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</si>
  <si>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</si>
  <si>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</si>
  <si>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</si>
  <si>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</si>
  <si>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</si>
  <si>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</si>
  <si>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</si>
  <si>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</si>
  <si>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</si>
  <si>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</si>
  <si>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</si>
  <si>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</si>
  <si>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</si>
  <si>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</si>
  <si>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</si>
  <si>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</si>
  <si>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</si>
  <si>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</si>
  <si>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</si>
  <si>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</si>
  <si>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</si>
  <si>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</si>
  <si>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</si>
  <si>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</si>
  <si>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</si>
  <si>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</si>
  <si>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</si>
  <si>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</si>
  <si>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</si>
  <si>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</si>
  <si>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</si>
  <si>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</si>
  <si>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</si>
  <si>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</si>
  <si>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</si>
  <si>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</si>
  <si>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</si>
  <si>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</si>
  <si>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</si>
  <si>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</si>
  <si>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</si>
  <si>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</si>
  <si>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</si>
  <si>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</si>
  <si>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</si>
  <si>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</si>
  <si>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</si>
  <si>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</si>
  <si>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</si>
  <si>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</si>
  <si>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</si>
  <si>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</si>
  <si>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</si>
  <si>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</si>
  <si>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</si>
  <si>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</si>
  <si>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</si>
  <si>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</si>
  <si>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</si>
  <si>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</si>
  <si>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</si>
  <si>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</si>
  <si>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</si>
  <si>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</si>
  <si>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</si>
  <si>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</si>
  <si>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</si>
  <si>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</si>
  <si>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</si>
  <si>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</si>
  <si>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</si>
  <si>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</si>
  <si>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</si>
  <si>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</si>
  <si>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</si>
  <si>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</si>
  <si>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</si>
  <si>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</si>
  <si>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</si>
  <si>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</si>
  <si>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</si>
  <si>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</si>
  <si>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</si>
  <si>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</si>
  <si>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</si>
  <si>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</si>
  <si>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</si>
  <si>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</si>
  <si>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</si>
  <si>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</si>
  <si>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</si>
  <si>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</si>
  <si>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</si>
  <si>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</si>
  <si>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</si>
  <si>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</si>
  <si>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</si>
  <si>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</si>
  <si>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</si>
  <si>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</si>
  <si>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</si>
  <si>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</si>
  <si>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</si>
  <si>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</si>
  <si>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</si>
  <si>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</si>
  <si>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</si>
  <si>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</si>
  <si>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</si>
  <si>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</si>
  <si>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</si>
  <si>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</si>
  <si>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</si>
  <si>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</si>
  <si>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</si>
  <si>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</si>
  <si>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</si>
  <si>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</si>
  <si>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</si>
  <si>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</si>
  <si>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</si>
  <si>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</si>
  <si>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</si>
  <si>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</si>
  <si>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</si>
  <si>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</si>
  <si>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</si>
  <si>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</si>
  <si>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</si>
  <si>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</si>
  <si>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</si>
  <si>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</si>
  <si>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</si>
  <si>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</si>
  <si>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</si>
  <si>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</si>
  <si>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</si>
  <si>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</si>
  <si>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</si>
  <si>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</si>
  <si>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</si>
  <si>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</si>
  <si>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</si>
  <si>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</si>
  <si>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</si>
  <si>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</si>
  <si>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</si>
  <si>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</si>
  <si>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</si>
  <si>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</si>
  <si>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</si>
  <si>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</si>
  <si>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</si>
  <si>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</si>
  <si>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</si>
  <si>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</si>
  <si>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</si>
  <si>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</si>
  <si>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</si>
  <si>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</si>
  <si>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</si>
  <si>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</si>
  <si>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</si>
  <si>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</si>
  <si>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</si>
  <si>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</si>
  <si>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</si>
  <si>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</si>
  <si>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</si>
  <si>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</si>
  <si>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</si>
  <si>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</si>
  <si>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</si>
  <si>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</si>
  <si>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</si>
  <si>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</si>
  <si>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</si>
  <si>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</si>
  <si>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</si>
  <si>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</si>
  <si>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</si>
  <si>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</si>
  <si>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</si>
  <si>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</si>
  <si>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</si>
  <si>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</si>
  <si>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</si>
  <si>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</si>
  <si>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</si>
  <si>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</si>
  <si>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</si>
  <si>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</si>
  <si>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</si>
  <si>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</si>
  <si>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</si>
  <si>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</si>
  <si>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</si>
  <si>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</si>
  <si>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</si>
  <si>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</si>
  <si>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</si>
  <si>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</si>
  <si>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</si>
  <si>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</si>
  <si>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</si>
  <si>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</si>
  <si>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</si>
  <si>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</si>
  <si>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</si>
  <si>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</si>
  <si>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</si>
  <si>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</si>
  <si>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</si>
  <si>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</si>
  <si>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</si>
  <si>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</si>
  <si>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</si>
  <si>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</si>
  <si>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</si>
  <si>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</si>
  <si>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</si>
  <si>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</si>
  <si>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</si>
  <si>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</si>
  <si>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</si>
  <si>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</si>
  <si>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</si>
  <si>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</si>
  <si>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</si>
  <si>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</si>
  <si>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</si>
  <si>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</si>
  <si>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</si>
  <si>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</si>
  <si>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</si>
  <si>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</si>
  <si>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</si>
  <si>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</si>
  <si>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</si>
  <si>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</si>
  <si>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</si>
  <si>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</si>
  <si>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</si>
  <si>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</si>
  <si>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</si>
  <si>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</si>
  <si>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</si>
  <si>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</si>
  <si>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</si>
  <si>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</si>
  <si>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</si>
  <si>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</si>
  <si>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</si>
  <si>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</si>
  <si>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</si>
  <si>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</si>
  <si>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</si>
  <si>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</si>
  <si>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</si>
  <si>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</si>
  <si>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</si>
  <si>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</si>
  <si>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</si>
  <si>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</si>
  <si>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</si>
  <si>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</si>
  <si>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</si>
  <si>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</si>
  <si>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</si>
  <si>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</si>
  <si>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</si>
  <si>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</si>
  <si>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</si>
  <si>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</si>
  <si>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</si>
  <si>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</si>
  <si>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</si>
  <si>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</si>
  <si>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</si>
  <si>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</si>
  <si>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</si>
  <si>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</si>
  <si>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</si>
  <si>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</si>
  <si>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</si>
  <si>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</si>
  <si>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</si>
  <si>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</si>
  <si>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</si>
  <si>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</si>
  <si>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</si>
  <si>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</si>
  <si>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</si>
  <si>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</si>
  <si>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</si>
  <si>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</si>
  <si>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</si>
  <si>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</si>
  <si>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</si>
  <si>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</si>
  <si>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</si>
  <si>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</si>
  <si>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</si>
  <si>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</si>
  <si>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</si>
  <si>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</si>
  <si>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</si>
  <si>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</si>
  <si>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</si>
  <si>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</si>
  <si>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</si>
  <si>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</si>
  <si>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</si>
  <si>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</si>
  <si>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</si>
  <si>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</si>
  <si>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</si>
  <si>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</si>
  <si>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</si>
  <si>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</si>
  <si>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</si>
  <si>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</si>
  <si>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</si>
  <si>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</si>
  <si>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</si>
  <si>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</si>
  <si>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</si>
  <si>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</si>
  <si>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</si>
  <si>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</si>
  <si>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</si>
  <si>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</si>
  <si>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</si>
  <si>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</si>
  <si>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</si>
  <si>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</si>
  <si>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</si>
  <si>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</si>
  <si>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</si>
  <si>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</si>
  <si>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</si>
  <si>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</si>
  <si>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</si>
  <si>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</si>
  <si>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</si>
  <si>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</si>
  <si>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</si>
  <si>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</si>
  <si>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</si>
  <si>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</si>
  <si>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</si>
  <si>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</si>
  <si>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</si>
  <si>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</si>
  <si>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</si>
  <si>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</si>
  <si>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</si>
  <si>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</si>
  <si>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</si>
  <si>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</si>
  <si>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</si>
  <si>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</si>
  <si>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</si>
  <si>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</si>
  <si>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</si>
  <si>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</si>
  <si>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</si>
  <si>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</si>
  <si>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</si>
  <si>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</si>
  <si>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</si>
  <si>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</si>
  <si>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</si>
  <si>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</si>
  <si>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</si>
  <si>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</si>
  <si>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</si>
  <si>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</si>
  <si>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</si>
  <si>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</si>
  <si>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</si>
  <si>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</si>
  <si>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</si>
  <si>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</si>
  <si>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</si>
  <si>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</si>
  <si>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</si>
  <si>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</si>
  <si>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</si>
  <si>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</si>
  <si>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</si>
  <si>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</si>
  <si>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</si>
  <si>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</si>
  <si>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</si>
  <si>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</si>
  <si>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</si>
  <si>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</si>
  <si>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</si>
  <si>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</si>
  <si>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</si>
  <si>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</si>
  <si>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</si>
  <si>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</si>
  <si>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</si>
  <si>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</si>
  <si>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</si>
  <si>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</si>
  <si>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</si>
  <si>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</si>
  <si>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</si>
  <si>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</si>
  <si>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</si>
  <si>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</si>
  <si>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</si>
  <si>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</si>
  <si>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</si>
  <si>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</si>
  <si>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</si>
  <si>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</si>
  <si>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</si>
  <si>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</si>
  <si>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</si>
  <si>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</si>
  <si>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</si>
  <si>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</si>
  <si>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</si>
  <si>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</si>
  <si>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</si>
  <si>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</si>
  <si>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</si>
  <si>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</si>
  <si>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</si>
  <si>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</si>
  <si>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</si>
  <si>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</si>
  <si>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</si>
  <si>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</si>
  <si>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</si>
  <si>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</si>
  <si>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</si>
  <si>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</si>
  <si>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</si>
  <si>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</si>
  <si>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</si>
  <si>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</si>
  <si>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</si>
  <si>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</si>
  <si>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</si>
  <si>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</si>
  <si>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</si>
  <si>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</si>
  <si>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</si>
  <si>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</si>
  <si>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</si>
  <si>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</si>
  <si>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</si>
  <si>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</si>
  <si>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</si>
  <si>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</si>
  <si>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</si>
  <si>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</si>
  <si>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</si>
  <si>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</si>
  <si>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</si>
  <si>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</si>
  <si>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</si>
  <si>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</si>
  <si>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</si>
  <si>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</si>
  <si>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</si>
  <si>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</si>
  <si>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</si>
  <si>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</si>
  <si>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</si>
  <si>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</si>
  <si>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</si>
  <si>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</si>
  <si>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</si>
  <si>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</si>
  <si>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</si>
  <si>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</si>
  <si>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</si>
  <si>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</si>
  <si>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</si>
  <si>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</si>
  <si>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</si>
  <si>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</si>
  <si>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</si>
  <si>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</si>
  <si>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</si>
  <si>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</si>
  <si>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</si>
  <si>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</si>
  <si>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</si>
  <si>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</si>
  <si>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</si>
  <si>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</si>
  <si>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</si>
  <si>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</si>
  <si>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</si>
  <si>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</si>
  <si>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</si>
  <si>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</si>
  <si>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</si>
  <si>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</si>
  <si>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</si>
  <si>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</si>
  <si>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</si>
  <si>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</si>
  <si>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</si>
  <si>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</si>
  <si>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</si>
  <si>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</si>
  <si>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</si>
  <si>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</si>
  <si>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</si>
  <si>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</si>
  <si>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</si>
  <si>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</si>
  <si>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</si>
  <si>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</si>
  <si>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</si>
  <si>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</si>
  <si>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</si>
  <si>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</si>
  <si>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</si>
  <si>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</si>
  <si>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</si>
  <si>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</si>
  <si>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</si>
  <si>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</si>
  <si>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</si>
  <si>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</si>
  <si>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</si>
  <si>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</si>
  <si>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</si>
  <si>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</si>
  <si>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</si>
  <si>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</si>
  <si>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</si>
  <si>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</si>
  <si>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</si>
  <si>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</si>
  <si>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</si>
  <si>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</si>
  <si>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</si>
  <si>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</si>
  <si>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</si>
  <si>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</si>
  <si>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</si>
  <si>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</si>
  <si>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</si>
  <si>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</si>
  <si>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</si>
  <si>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</si>
  <si>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</si>
  <si>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</si>
  <si>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</si>
  <si>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</si>
  <si>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</si>
  <si>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</si>
  <si>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</si>
  <si>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</si>
  <si>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</si>
  <si>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</si>
  <si>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</si>
  <si>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</si>
  <si>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</si>
  <si>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</si>
  <si>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</si>
  <si>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</si>
  <si>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</si>
  <si>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</si>
  <si>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</si>
  <si>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</si>
  <si>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</si>
  <si>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</si>
  <si>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</si>
  <si>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</si>
  <si>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</si>
  <si>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</si>
  <si>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</si>
  <si>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</si>
  <si>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</si>
  <si>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</si>
  <si>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</si>
  <si>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</si>
  <si>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</si>
  <si>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</si>
  <si>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</si>
  <si>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</si>
  <si>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</si>
  <si>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</si>
  <si>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</si>
  <si>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</si>
  <si>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</si>
  <si>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</si>
  <si>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</si>
  <si>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</si>
  <si>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</si>
  <si>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</si>
  <si>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</si>
  <si>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</si>
  <si>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</si>
  <si>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</si>
  <si>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</si>
  <si>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</si>
  <si>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</si>
  <si>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</si>
  <si>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</si>
  <si>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</si>
  <si>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</si>
  <si>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</si>
  <si>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</si>
  <si>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</si>
  <si>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</si>
  <si>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</si>
  <si>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</si>
  <si>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</si>
  <si>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</si>
  <si>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</si>
  <si>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</si>
  <si>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</si>
  <si>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</si>
  <si>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</si>
  <si>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</si>
  <si>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</si>
  <si>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</si>
  <si>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</si>
  <si>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</si>
  <si>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</si>
  <si>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</si>
  <si>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</si>
  <si>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</si>
  <si>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</si>
  <si>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</si>
  <si>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</si>
  <si>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</si>
  <si>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</si>
  <si>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</si>
  <si>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</si>
  <si>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</si>
  <si>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</si>
  <si>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</si>
  <si>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</si>
  <si>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</si>
  <si>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</si>
  <si>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</si>
  <si>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</si>
  <si>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</si>
  <si>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</si>
  <si>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</si>
  <si>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</si>
  <si>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</si>
  <si>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</si>
  <si>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</si>
  <si>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</si>
  <si>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</si>
  <si>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</si>
  <si>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</si>
  <si>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</si>
  <si>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</si>
  <si>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</si>
  <si>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</si>
  <si>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</si>
  <si>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</si>
  <si>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</si>
  <si>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</si>
  <si>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</si>
  <si>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</si>
  <si>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</si>
  <si>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</si>
  <si>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</si>
  <si>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</si>
  <si>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</si>
  <si>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</si>
  <si>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</si>
  <si>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</si>
  <si>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</si>
  <si>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</si>
  <si>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</si>
  <si>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</si>
  <si>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</si>
  <si>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</si>
  <si>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</si>
  <si>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</si>
  <si>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</si>
  <si>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</si>
  <si>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</si>
  <si>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</si>
  <si>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</si>
  <si>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</si>
  <si>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</si>
  <si>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</si>
  <si>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</si>
  <si>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</si>
  <si>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</si>
  <si>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</si>
  <si>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</si>
  <si>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</si>
  <si>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</si>
  <si>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</si>
  <si>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</si>
  <si>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</si>
  <si>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</si>
  <si>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</si>
  <si>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</si>
  <si>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</si>
  <si>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</si>
  <si>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</si>
  <si>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</si>
  <si>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</si>
  <si>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</si>
  <si>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</si>
  <si>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</si>
  <si>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</si>
  <si>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</si>
  <si>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</si>
  <si>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</si>
  <si>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</si>
  <si>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</si>
  <si>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</si>
  <si>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</si>
  <si>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</si>
  <si>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</si>
  <si>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</si>
  <si>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</si>
  <si>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MINISTÉRIO DAS CIDADES</t>
  </si>
  <si>
    <t>BURITIZEIRO-MG</t>
  </si>
  <si>
    <t>1099388-52</t>
  </si>
  <si>
    <t>974020</t>
  </si>
  <si>
    <t>USINA DE TRIAGEM MECANIZADA</t>
  </si>
  <si>
    <t>RAFAEL LACERDA MAIA</t>
  </si>
  <si>
    <t>173.269/D</t>
  </si>
  <si>
    <t>MG20254479691</t>
  </si>
  <si>
    <t>1. SERVICO PRELIMINARES</t>
  </si>
  <si>
    <t>2. CANTEIRO</t>
  </si>
  <si>
    <t>3. EQUIPE TÉCNICA</t>
  </si>
  <si>
    <t>Implantação de uma Usina de Triagem Mecanizada de Resíduos Sólidos em Buritizeiro/MG, que atenderá também as cidades de Várzea da Palma/MG, Lassance/MG e Jequitaí/MG.</t>
  </si>
  <si>
    <t>PROJETOS</t>
  </si>
  <si>
    <t>SEINFRA</t>
  </si>
  <si>
    <t>CO-27342</t>
  </si>
  <si>
    <t>CO-27367</t>
  </si>
  <si>
    <t>CP-PROJ-01</t>
  </si>
  <si>
    <t>CO-27422</t>
  </si>
  <si>
    <t>CO-27427</t>
  </si>
  <si>
    <t>CO-27428</t>
  </si>
  <si>
    <t>CO-27426</t>
  </si>
  <si>
    <t>CO-27431</t>
  </si>
  <si>
    <t>CO-27472</t>
  </si>
  <si>
    <t>CO-27430</t>
  </si>
  <si>
    <t>CO-27478</t>
  </si>
  <si>
    <t>CO-27468</t>
  </si>
  <si>
    <t>CO-27434</t>
  </si>
  <si>
    <t>CO-27429</t>
  </si>
  <si>
    <t>CO-27424</t>
  </si>
  <si>
    <t>CO-27487</t>
  </si>
  <si>
    <t>CO-27397</t>
  </si>
  <si>
    <t>CO-27458</t>
  </si>
  <si>
    <t>CO-27373</t>
  </si>
  <si>
    <t>CO-27389</t>
  </si>
  <si>
    <t>16x2</t>
  </si>
  <si>
    <t>1</t>
  </si>
  <si>
    <t>6</t>
  </si>
  <si>
    <t>7</t>
  </si>
  <si>
    <t>2</t>
  </si>
  <si>
    <t>4</t>
  </si>
  <si>
    <t>2822,18</t>
  </si>
  <si>
    <t>1. PROJETOS</t>
  </si>
  <si>
    <t>SERVIÇOS PRELIMINARES</t>
  </si>
  <si>
    <t>CO-28390</t>
  </si>
  <si>
    <t>CO-28389</t>
  </si>
  <si>
    <t>CO-28388</t>
  </si>
  <si>
    <t>SBC</t>
  </si>
  <si>
    <t>128</t>
  </si>
  <si>
    <t>32</t>
  </si>
  <si>
    <t>ED-50129</t>
  </si>
  <si>
    <t>ED-50148</t>
  </si>
  <si>
    <t>ED-50131</t>
  </si>
  <si>
    <t>ED-50133</t>
  </si>
  <si>
    <t>ED-50127</t>
  </si>
  <si>
    <t>ADM LOCAL</t>
  </si>
  <si>
    <t>ED-21772</t>
  </si>
  <si>
    <t>CUB</t>
  </si>
  <si>
    <t>PARAMÉTRICO</t>
  </si>
  <si>
    <t>ED-48149</t>
  </si>
  <si>
    <t>ED-48552</t>
  </si>
  <si>
    <t>69</t>
  </si>
  <si>
    <t>69057</t>
  </si>
  <si>
    <t>USINA DE TRIAGEM MECANIZADA - ARRANJO BURITIZEIRO/MG</t>
  </si>
  <si>
    <t>3,00 x 1,50</t>
  </si>
  <si>
    <t>179 x 2</t>
  </si>
  <si>
    <t>11 Furos x 10 Metros</t>
  </si>
  <si>
    <t>50</t>
  </si>
  <si>
    <t>1 Mês</t>
  </si>
  <si>
    <t>10 x 30 x 2</t>
  </si>
  <si>
    <t>10 x 144 x 2</t>
  </si>
  <si>
    <t>10 x 4,3 x 2</t>
  </si>
  <si>
    <t>8 x 2</t>
  </si>
  <si>
    <t>2. SERVIÇOS PRELIMINARES</t>
  </si>
  <si>
    <t>(4 x 9) x 6</t>
  </si>
  <si>
    <t>3. ADM LOCAL</t>
  </si>
  <si>
    <t>10 Meses</t>
  </si>
  <si>
    <t>2 Meses</t>
  </si>
  <si>
    <t>PAVIMENTAÇÃO</t>
  </si>
  <si>
    <t>4. PAVIMENTAÇÃO</t>
  </si>
  <si>
    <t>465,94 x 6,00</t>
  </si>
  <si>
    <t>465,94 x 2,00</t>
  </si>
  <si>
    <t>2.250,00 + 50,00 + 64,14 + 64,14 + 15,00 + 15,00 + 289,66 + 74,24 +  2.000,00 + 2.795,63</t>
  </si>
  <si>
    <t>GALPÃO, UNIDADES ADMINISTRATIVAS E ÁREAS DE CONVIVÊNCIA</t>
  </si>
  <si>
    <t>2.250,00 + 50 + 64,14 + 64,14 + 15,00 + 15,00 + 289,66 + 74,24</t>
  </si>
  <si>
    <t>5. GALPÃO, UNIDADES ADMINISTRATIVAS E ÁREAS DE CONVIVÊNCIA</t>
  </si>
  <si>
    <t>PÁTIO DE COMPOSTAGEM</t>
  </si>
  <si>
    <t>6. PÁTIO DE COMPOSTAGEM</t>
  </si>
  <si>
    <t>80 x 25</t>
  </si>
  <si>
    <t>80 + 25 + 80 + 25</t>
  </si>
  <si>
    <t>7. EQUIPAMENTOS</t>
  </si>
  <si>
    <t>EQUIPAMENTOS</t>
  </si>
  <si>
    <t>SUBESTAÇÃO</t>
  </si>
  <si>
    <t>100 metros</t>
  </si>
  <si>
    <t>20 Postes</t>
  </si>
  <si>
    <t>9. POÇO</t>
  </si>
  <si>
    <t>10. REDE ELÉTRICA (EXTENSÃO)</t>
  </si>
  <si>
    <t>8. SUBESTAÇÃO</t>
  </si>
  <si>
    <t>(20 x 40)+40</t>
  </si>
  <si>
    <t>POÇO ARTESIANO</t>
  </si>
  <si>
    <t>REDE ELÉTRICA (EXTENSÃO)</t>
  </si>
  <si>
    <t>GALPÃO IND.</t>
  </si>
  <si>
    <t>UTC</t>
  </si>
  <si>
    <t>SUBESTAÇ.</t>
  </si>
  <si>
    <t>POÇO ART.</t>
  </si>
  <si>
    <t>EXT. REDE</t>
  </si>
  <si>
    <t>T. MEC. 1</t>
  </si>
  <si>
    <t>BALANÇA 1</t>
  </si>
  <si>
    <t>15.000,00 m²</t>
  </si>
  <si>
    <t>122,5+122,5+122,5+122,6</t>
  </si>
  <si>
    <t>98522</t>
  </si>
  <si>
    <t>103913</t>
  </si>
  <si>
    <t>MIGUEL FELIPE FERREIRA DE OLIVEIRA</t>
  </si>
  <si>
    <t>PRESIDENTE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</si>
</sst>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indexed="64"/>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3">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24" fillId="8" borderId="1" xfId="0" applyFont="1" applyFill="1" applyBorder="1" applyAlignment="1">
      <alignment horizontal="center" wrapText="1"/>
    </xf>
    <xf numFmtId="187" fontId="49" fillId="20" borderId="122" xfId="37" applyNumberFormat="1" applyFont="1" applyFill="1" applyBorder="1" applyAlignment="1" applyProtection="1">
      <alignment horizontal="center"/>
    </xf>
    <xf numFmtId="10" fontId="46" fillId="32" borderId="122" xfId="37" applyNumberFormat="1" applyFont="1" applyFill="1" applyBorder="1" applyAlignment="1" applyProtection="1">
      <alignment horizontal="center"/>
    </xf>
    <xf numFmtId="186" fontId="63" fillId="0" borderId="29" xfId="0" applyNumberFormat="1" applyFont="1" applyBorder="1" applyAlignment="1">
      <alignment horizontal="left"/>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71" fontId="56" fillId="0" borderId="122" xfId="48" applyBorder="1" applyAlignment="1" applyProtection="1">
      <alignment horizontal="center" shrinkToFi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0" fontId="0" fillId="18" borderId="39" xfId="0" applyFill="1" applyBorder="1"/>
    <xf numFmtId="14" fontId="0" fillId="6" borderId="46" xfId="0" applyNumberFormat="1" applyFill="1" applyBorder="1" applyAlignment="1" applyProtection="1">
      <alignment horizontal="center"/>
      <protection locked="0"/>
    </xf>
    <xf numFmtId="176" fontId="24" fillId="8" borderId="31" xfId="0" applyNumberFormat="1" applyFont="1" applyFill="1" applyBorder="1" applyAlignment="1">
      <alignment horizontal="center" shrinkToFit="1"/>
    </xf>
    <xf numFmtId="10" fontId="56" fillId="0" borderId="33" xfId="37" applyNumberFormat="1" applyFill="1" applyBorder="1" applyAlignment="1" applyProtection="1">
      <alignment horizontal="center"/>
    </xf>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0" borderId="39" xfId="0" applyBorder="1" applyAlignment="1">
      <alignment horizontal="left"/>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31" fillId="0" borderId="99" xfId="0" applyFont="1" applyBorder="1" applyAlignment="1">
      <alignment horizontal="center" vertical="top" wrapText="1"/>
    </xf>
    <xf numFmtId="0" fontId="24" fillId="0" borderId="31" xfId="0" applyFont="1" applyBorder="1" applyAlignment="1">
      <alignment horizontal="right" vertical="center"/>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565">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9eJYUPKM+jhKagdIspiSqTTypB0J0EYi+B8TD+A/92tt98ZV0DPkxbP1tZcjHvP011dwaySVi9sARGoX1yb7vw==" saltValue="xqiDFeVYW66rM2frjUcrlQ=="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77" t="str">
        <f>CHOOSE(MATCH(Objeto,{"PM","PO"}),"PLANILHA MÚLTIPLA ","PLANILHA ORÇAMENTÁRIA ")&amp; Versao</f>
        <v>PLANILHA MÚLTIPLA v3.16</v>
      </c>
      <c r="F2" s="677"/>
      <c r="G2" s="677"/>
      <c r="H2" s="408"/>
      <c r="I2" s="406"/>
      <c r="J2" s="491" t="s">
        <v>1004</v>
      </c>
      <c r="K2" s="510" t="b">
        <v>1</v>
      </c>
    </row>
    <row r="3" spans="1:15" ht="22.5" customHeight="1" x14ac:dyDescent="0.2">
      <c r="A3" s="404"/>
      <c r="B3" s="406"/>
      <c r="C3" s="406"/>
      <c r="D3" s="406"/>
      <c r="E3" s="677"/>
      <c r="F3" s="677"/>
      <c r="G3" s="677"/>
      <c r="H3" s="408"/>
      <c r="I3" s="406"/>
      <c r="O3" s="606">
        <v>1</v>
      </c>
    </row>
    <row r="4" spans="1:15" ht="17.100000000000001" customHeight="1" x14ac:dyDescent="0.2">
      <c r="A4" s="404"/>
      <c r="B4" s="406"/>
      <c r="C4" s="406"/>
      <c r="D4" s="406"/>
      <c r="E4" s="406"/>
      <c r="F4" s="407"/>
      <c r="G4" s="408"/>
      <c r="H4" s="408"/>
      <c r="I4" s="406"/>
      <c r="J4" s="151" t="str">
        <f>IF(VALUE(MENU!$O$4)=2,"BM","PLE")</f>
        <v>PLE</v>
      </c>
      <c r="O4" s="606">
        <v>1</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76" t="str">
        <f>IF($O$3&lt;&gt;2,"DOCUMENTAÇÃO DA PROPOSTA","PROPOSTA: Para visualizar/preencher esta seção, altere o TIPO DE ORÇAMENTO para 'Proposto'")</f>
        <v>DOCUMENTAÇÃO DA PROPOSTA</v>
      </c>
      <c r="C8" s="676"/>
      <c r="D8" s="676"/>
      <c r="E8" s="676"/>
      <c r="F8" s="676"/>
      <c r="G8" s="676"/>
      <c r="H8" s="676"/>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09-2025.xlsm.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76" t="str">
        <f>IF($O$3&lt;&gt;2,"PÓS-LICITADO: Para visualizar/preencher esta seção, altere o TIPO DE ORÇAMENTO para 'Licitado'","RESULTADO DO PROCESSO LICITATÓRIO")</f>
        <v>PÓS-LICITADO: Para visualizar/preencher esta seção, altere o TIPO DE ORÇAMENTO para 'Licitado'</v>
      </c>
      <c r="C16" s="676"/>
      <c r="D16" s="676"/>
      <c r="E16" s="676"/>
      <c r="F16" s="676"/>
      <c r="G16" s="676"/>
      <c r="H16" s="676"/>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76" t="str">
        <f>IF($O$3&lt;&gt;2,"ACOMPANHAMENTO: Para visualizar/preencher esta seção, altere o TIPO DE ORÇAMENTO para 'Licitado'","ACOMPANHAMENTO DO EMPREENDIMENTO")</f>
        <v>ACOMPANHAMENTO: Para visualizar/preencher esta seção, altere o TIPO DE ORÇAMENTO para 'Licitado'</v>
      </c>
      <c r="C20" s="676"/>
      <c r="D20" s="676"/>
      <c r="E20" s="676"/>
      <c r="F20" s="676"/>
      <c r="G20" s="676"/>
      <c r="H20" s="676"/>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hGCWZ/G5HWaic5lt/OHjrCWuWVHRhwUme9gsYuM6QUZkRaGuiEYNXmmX6iI7QIoCJ3/gDYGWshWzwgfeIeqk9Q==" saltValue="Sc5q0U1ogwszHfgY9fWoQQ==" spinCount="100000" sheet="1" objects="1" scenarios="1" autoFilter="0"/>
  <mergeCells count="4">
    <mergeCell ref="B20:H20"/>
    <mergeCell ref="B8:H8"/>
    <mergeCell ref="E2:G3"/>
    <mergeCell ref="B16:H16"/>
  </mergeCells>
  <phoneticPr fontId="38" type="noConversion"/>
  <conditionalFormatting sqref="C10:G14">
    <cfRule type="expression" dxfId="564" priority="70" stopIfTrue="1">
      <formula>TIPOORCAMENTO="Licitado"</formula>
    </cfRule>
  </conditionalFormatting>
  <conditionalFormatting sqref="C18:G18 E22:E24">
    <cfRule type="expression" dxfId="563" priority="71" stopIfTrue="1">
      <formula>TIPOORCAMENTO&lt;&gt;"Licitado"</formula>
    </cfRule>
  </conditionalFormatting>
  <conditionalFormatting sqref="C22">
    <cfRule type="expression" dxfId="562" priority="73" stopIfTrue="1">
      <formula>OR(TIPOORCAMENTO&lt;&gt;"Licitado",ACOMPANHAMENTO&lt;&gt;"PLE")</formula>
    </cfRule>
  </conditionalFormatting>
  <conditionalFormatting sqref="G22">
    <cfRule type="expression" dxfId="561" priority="74" stopIfTrue="1">
      <formula>OR(TIPOORCAMENTO&lt;&gt;"Licitado",ACOMPANHAMENTO&lt;&gt;"BM")</formula>
    </cfRule>
  </conditionalFormatting>
  <conditionalFormatting sqref="B16:H16 B20:H20">
    <cfRule type="expression" dxfId="560" priority="599" stopIfTrue="1">
      <formula>$O$3&lt;&gt;2</formula>
    </cfRule>
  </conditionalFormatting>
  <conditionalFormatting sqref="B8:H8">
    <cfRule type="expression" dxfId="559"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topLeftCell="B1" zoomScaleNormal="100" workbookViewId="0">
      <pane ySplit="2" topLeftCell="A21" activePane="bottomLeft" state="frozen"/>
      <selection pane="bottomLeft" activeCell="D32" sqref="D32"/>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959</v>
      </c>
      <c r="I1" s="9" t="s">
        <v>960</v>
      </c>
      <c r="J1" s="9" t="s">
        <v>709</v>
      </c>
      <c r="M1" s="610"/>
      <c r="N1" s="679" t="s">
        <v>97</v>
      </c>
      <c r="O1" s="679"/>
      <c r="P1" s="679"/>
      <c r="Q1" s="679"/>
      <c r="R1" s="679"/>
      <c r="S1" s="679"/>
      <c r="T1" s="679"/>
      <c r="U1" s="679"/>
      <c r="V1" s="679"/>
      <c r="W1" s="679"/>
      <c r="X1" s="679"/>
      <c r="Y1" s="679"/>
      <c r="Z1" s="679"/>
      <c r="AA1" s="679"/>
      <c r="AB1" s="679"/>
      <c r="AC1" s="679"/>
      <c r="AD1" s="679"/>
      <c r="AE1" s="679"/>
      <c r="AF1" s="679"/>
      <c r="AG1" s="679"/>
      <c r="AH1" s="679"/>
      <c r="AI1" s="679"/>
      <c r="AJ1" s="679"/>
      <c r="AK1" s="679"/>
      <c r="AL1" s="679"/>
      <c r="AM1" s="679"/>
      <c r="AN1" s="679"/>
      <c r="AO1" s="679"/>
      <c r="AP1" s="679"/>
      <c r="AQ1" s="679"/>
      <c r="AR1" s="679"/>
      <c r="AS1" s="679"/>
      <c r="AT1" s="679"/>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78" t="s">
        <v>119</v>
      </c>
      <c r="C3" s="678"/>
      <c r="D3" s="562" t="str">
        <f ca="1">IF(COUNTIF(D4:D13,"◄")=0,"","Falta preencher a linha "&amp;MATCH("◄",D4:D13,0)+ROW(D3))</f>
        <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962</v>
      </c>
      <c r="D4" s="563" t="str">
        <f ca="1">IF(OR(OFFSET(D4,0,-1)="",OFFSET(D4,0,-1)="(SELECIONAR)"),"◄","")</f>
        <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1007</v>
      </c>
      <c r="D5" s="563"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1008</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1009</v>
      </c>
      <c r="D7" s="563" t="str">
        <f t="shared" ca="1" si="0"/>
        <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1010</v>
      </c>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21838620</v>
      </c>
      <c r="D9" s="563" t="str">
        <f t="shared" ca="1" si="0"/>
        <v/>
      </c>
      <c r="I9" t="s">
        <v>973</v>
      </c>
      <c r="L9" s="12" t="s">
        <v>106</v>
      </c>
      <c r="U9" t="s">
        <v>198</v>
      </c>
      <c r="V9" s="7" t="s">
        <v>126</v>
      </c>
      <c r="W9" t="s">
        <v>199</v>
      </c>
      <c r="X9" s="7" t="s">
        <v>128</v>
      </c>
      <c r="AV9" t="s">
        <v>200</v>
      </c>
      <c r="AW9" t="s">
        <v>201</v>
      </c>
    </row>
    <row r="10" spans="2:49" x14ac:dyDescent="0.2">
      <c r="B10" s="17" t="s">
        <v>202</v>
      </c>
      <c r="C10" s="19">
        <v>0</v>
      </c>
      <c r="D10" s="563" t="str">
        <f t="shared" ca="1" si="0"/>
        <v/>
      </c>
      <c r="L10" s="12" t="s">
        <v>107</v>
      </c>
      <c r="U10" t="s">
        <v>203</v>
      </c>
      <c r="V10" s="7" t="s">
        <v>148</v>
      </c>
      <c r="W10" t="s">
        <v>204</v>
      </c>
      <c r="X10" s="7" t="s">
        <v>121</v>
      </c>
      <c r="AV10" t="s">
        <v>205</v>
      </c>
      <c r="AW10" t="s">
        <v>206</v>
      </c>
    </row>
    <row r="11" spans="2:49" x14ac:dyDescent="0.2">
      <c r="B11" s="17" t="s">
        <v>207</v>
      </c>
      <c r="C11" s="20">
        <v>0</v>
      </c>
      <c r="D11" s="563" t="str">
        <f t="shared" ca="1" si="0"/>
        <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78" t="s">
        <v>220</v>
      </c>
      <c r="C15" s="678"/>
      <c r="D15" s="562" t="str">
        <f ca="1">IF(COUNTIF(D16:D19,"◄")=0,"","Falta preencher a linha "&amp;MATCH("◄",D16:D19,0)+ROW(D15))</f>
        <v/>
      </c>
      <c r="L15" s="12" t="s">
        <v>112</v>
      </c>
      <c r="AV15" t="s">
        <v>221</v>
      </c>
      <c r="AW15" t="s">
        <v>222</v>
      </c>
    </row>
    <row r="16" spans="2:49" x14ac:dyDescent="0.2">
      <c r="B16" s="24" t="s">
        <v>223</v>
      </c>
      <c r="C16" s="25" t="s">
        <v>1011</v>
      </c>
      <c r="D16" s="563" t="str">
        <f t="shared" ref="D16:D19" ca="1" si="1">IF(OFFSET(D16,0,-1)="","◄","")</f>
        <v/>
      </c>
      <c r="L16" s="12" t="s">
        <v>113</v>
      </c>
      <c r="AV16" t="s">
        <v>224</v>
      </c>
      <c r="AW16" t="s">
        <v>225</v>
      </c>
    </row>
    <row r="17" spans="2:49" ht="51" x14ac:dyDescent="0.2">
      <c r="B17" s="17" t="s">
        <v>226</v>
      </c>
      <c r="C17" s="26" t="s">
        <v>1018</v>
      </c>
      <c r="D17" s="563" t="str">
        <f t="shared" ca="1" si="1"/>
        <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45901</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78" t="s">
        <v>237</v>
      </c>
      <c r="C21" s="678"/>
      <c r="D21" s="562" t="str">
        <f ca="1">IF(COUNTIF(D22:D25,"◄")=0,"","Falta preencher a linha "&amp;MATCH("◄",D22:D25,0)+ROW(D21))</f>
        <v/>
      </c>
      <c r="L21" s="12"/>
      <c r="AV21" t="s">
        <v>238</v>
      </c>
      <c r="AW21" t="s">
        <v>239</v>
      </c>
    </row>
    <row r="22" spans="2:49" x14ac:dyDescent="0.2">
      <c r="B22" s="15" t="s">
        <v>240</v>
      </c>
      <c r="C22" s="31" t="s">
        <v>1012</v>
      </c>
      <c r="D22" s="563" t="str">
        <f t="shared" ref="D22:D24" ca="1" si="2">IF(OFFSET(D22,0,-1)="","◄","")</f>
        <v/>
      </c>
      <c r="AV22" t="s">
        <v>241</v>
      </c>
      <c r="AW22" t="s">
        <v>242</v>
      </c>
    </row>
    <row r="23" spans="2:49" x14ac:dyDescent="0.2">
      <c r="B23" s="17" t="s">
        <v>243</v>
      </c>
      <c r="C23" s="18" t="s">
        <v>1013</v>
      </c>
      <c r="D23" s="563" t="str">
        <f t="shared" ca="1" si="2"/>
        <v/>
      </c>
      <c r="AV23" t="s">
        <v>244</v>
      </c>
      <c r="AW23" t="s">
        <v>245</v>
      </c>
    </row>
    <row r="24" spans="2:49" x14ac:dyDescent="0.2">
      <c r="B24" s="17" t="s">
        <v>246</v>
      </c>
      <c r="C24" s="18" t="s">
        <v>1014</v>
      </c>
      <c r="D24" s="563" t="str">
        <f t="shared" ca="1" si="2"/>
        <v/>
      </c>
      <c r="AV24" t="s">
        <v>247</v>
      </c>
      <c r="AW24" t="s">
        <v>248</v>
      </c>
    </row>
    <row r="25" spans="2:49" ht="13.5" thickBot="1" x14ac:dyDescent="0.25">
      <c r="B25" s="21" t="s">
        <v>249</v>
      </c>
      <c r="C25" s="32">
        <v>46107</v>
      </c>
      <c r="D25" s="563" t="s">
        <v>250</v>
      </c>
      <c r="AV25" t="s">
        <v>251</v>
      </c>
      <c r="AW25" t="s">
        <v>252</v>
      </c>
    </row>
    <row r="26" spans="2:49" ht="13.5" thickBot="1" x14ac:dyDescent="0.25">
      <c r="AV26" t="s">
        <v>253</v>
      </c>
      <c r="AW26" t="s">
        <v>254</v>
      </c>
    </row>
    <row r="27" spans="2:49" ht="15.75" thickBot="1" x14ac:dyDescent="0.3">
      <c r="B27" s="678" t="s">
        <v>255</v>
      </c>
      <c r="C27" s="678"/>
      <c r="D27" s="562" t="str">
        <f ca="1">IF(COUNTIF(D28:D29,"◄")=0,"","Falta preencher a linha "&amp;MATCH("◄",D28:D29,0)+ROW(D27))</f>
        <v/>
      </c>
      <c r="AV27" t="s">
        <v>256</v>
      </c>
      <c r="AW27" t="s">
        <v>257</v>
      </c>
    </row>
    <row r="28" spans="2:49" x14ac:dyDescent="0.2">
      <c r="B28" s="13" t="s">
        <v>240</v>
      </c>
      <c r="C28" s="33" t="s">
        <v>1118</v>
      </c>
      <c r="D28" s="563" t="str">
        <f t="shared" ref="D28:D29" ca="1" si="3">IF(OFFSET(D28,0,-1)="","◄","")</f>
        <v/>
      </c>
      <c r="AV28" t="s">
        <v>258</v>
      </c>
      <c r="AW28" t="s">
        <v>259</v>
      </c>
    </row>
    <row r="29" spans="2:49" ht="13.5" thickBot="1" x14ac:dyDescent="0.25">
      <c r="B29" s="21" t="s">
        <v>260</v>
      </c>
      <c r="C29" s="34" t="s">
        <v>1119</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78" t="s">
        <v>273</v>
      </c>
      <c r="C35" s="678"/>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970</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78" t="s">
        <v>303</v>
      </c>
      <c r="C46" s="678"/>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IF(AND(TIPOORCAMENTO="Licitado",OFFSET(D47,0,-1)="",IFERROR(RRE!$O$19,0)&gt;0),"◄","")</f>
        <v/>
      </c>
      <c r="AV47" t="s">
        <v>307</v>
      </c>
      <c r="AW47" t="s">
        <v>308</v>
      </c>
    </row>
    <row r="48" spans="2:49" ht="13.5" thickBot="1" x14ac:dyDescent="0.25">
      <c r="B48" s="28" t="s">
        <v>309</v>
      </c>
      <c r="C48" s="37"/>
      <c r="D48" s="563" t="str" cm="1">
        <f t="array" aca="1" ref="D48" ca="1">IF(AND(TIPOORCAMENTO="Licitado",OFFSET(D48,0,-1)="",IFERROR(RRE!$O$19,0)&gt;0),"◄","")</f>
        <v/>
      </c>
      <c r="AV48" t="s">
        <v>310</v>
      </c>
      <c r="AW48" t="s">
        <v>311</v>
      </c>
    </row>
    <row r="49" spans="2:49" ht="16.5" thickBot="1" x14ac:dyDescent="0.25">
      <c r="B49" s="8"/>
      <c r="AV49" t="s">
        <v>312</v>
      </c>
      <c r="AW49" t="s">
        <v>313</v>
      </c>
    </row>
    <row r="50" spans="2:49" ht="12.75" customHeight="1" thickBot="1" x14ac:dyDescent="0.3">
      <c r="B50" s="678" t="s">
        <v>314</v>
      </c>
      <c r="C50" s="678"/>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IF(AND(TIPOORCAMENTO="Licitado",OFFSET(D51,0,-1)="",IFERROR(RRE!$O$19,0)&gt;0),"◄","")</f>
        <v/>
      </c>
      <c r="AV51" t="s">
        <v>317</v>
      </c>
      <c r="AW51" t="s">
        <v>318</v>
      </c>
    </row>
    <row r="52" spans="2:49" x14ac:dyDescent="0.2">
      <c r="B52" s="17" t="s">
        <v>319</v>
      </c>
      <c r="C52" s="18"/>
      <c r="D52" s="563" t="str" cm="1">
        <f t="array" aca="1" ref="D52" ca="1">IF(AND(TIPOORCAMENTO="Licitado",OFFSET(D52,0,-1)="",IFERROR(RRE!$O$19,0)&gt;0),"◄","")</f>
        <v/>
      </c>
      <c r="AV52" t="s">
        <v>320</v>
      </c>
      <c r="AW52" t="s">
        <v>321</v>
      </c>
    </row>
    <row r="53" spans="2:49" x14ac:dyDescent="0.2">
      <c r="B53" s="17" t="s">
        <v>322</v>
      </c>
      <c r="C53" s="18"/>
      <c r="D53" s="563" t="str" cm="1">
        <f t="array" aca="1" ref="D53" ca="1">IF(AND(TIPOORCAMENTO="Licitado",OFFSET(D53,0,-1)="",IFERROR(RRE!$O$19,0)&gt;0),"◄","")</f>
        <v/>
      </c>
      <c r="AV53" t="s">
        <v>323</v>
      </c>
      <c r="AW53" t="s">
        <v>324</v>
      </c>
    </row>
    <row r="54" spans="2:49" ht="13.5" thickBot="1" x14ac:dyDescent="0.25">
      <c r="B54" s="21" t="s">
        <v>325</v>
      </c>
      <c r="C54" s="39"/>
      <c r="D54" s="563" t="str" cm="1">
        <f t="array" aca="1" ref="D54" ca="1">IF(AND(TIPOORCAMENTO="Licitado",OFFSET(D54,0,-1)="",IFERROR(RRE!$O$19,0)&gt;0),"◄","")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78" t="s">
        <v>337</v>
      </c>
      <c r="C59" s="678"/>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tj9PkH9yJ5qpGaG2UVKAtOHHZ/2DzzjELWyPLuA7kqdbYSuN+JDIioXvaNz5gKy6gs3ro32Eu03cPR+kv/EdLw==" saltValue="vFJamvel5ovcWEBUyQS7qQ=="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558" priority="2" stopIfTrue="1">
      <formula>CAIXA.Modo=FALSE</formula>
    </cfRule>
  </conditionalFormatting>
  <conditionalFormatting sqref="B59:C61">
    <cfRule type="expression" dxfId="557"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681" t="s">
        <v>644</v>
      </c>
      <c r="S1" s="681"/>
    </row>
    <row r="2" spans="1:21" x14ac:dyDescent="0.2">
      <c r="A2" s="49" t="s">
        <v>645</v>
      </c>
      <c r="B2" s="53" t="s">
        <v>646</v>
      </c>
      <c r="C2" s="49" t="str">
        <f t="shared" ref="C2:C49" si="0">CONCATENATE(A2,"-",B2)</f>
        <v>Construção e Reforma de Edifícios-AC</v>
      </c>
      <c r="E2" s="54">
        <v>0.03</v>
      </c>
      <c r="F2" s="54">
        <v>0.04</v>
      </c>
      <c r="G2" s="54">
        <v>5.5E-2</v>
      </c>
      <c r="R2" s="682" t="s">
        <v>647</v>
      </c>
      <c r="S2" s="682"/>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683" t="s">
        <v>650</v>
      </c>
      <c r="K4" s="683"/>
      <c r="L4" s="683" t="s">
        <v>651</v>
      </c>
      <c r="M4" s="683"/>
      <c r="N4" s="683" t="s">
        <v>652</v>
      </c>
      <c r="O4" s="683"/>
      <c r="P4" s="683"/>
      <c r="Q4" s="683"/>
      <c r="R4" s="683"/>
      <c r="S4" s="683"/>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680" t="str">
        <f>Import.CR</f>
        <v>1099388-52</v>
      </c>
      <c r="K5" s="680"/>
      <c r="L5" s="680" t="str">
        <f>Import.TransfereGOV</f>
        <v>974020</v>
      </c>
      <c r="M5" s="680"/>
      <c r="N5" s="680" t="str">
        <f>Import.Proponente</f>
        <v>MINISTÉRIO DAS CIDADES</v>
      </c>
      <c r="O5" s="680"/>
      <c r="P5" s="680"/>
      <c r="Q5" s="680"/>
      <c r="R5" s="680"/>
      <c r="S5" s="680"/>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09"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09"/>
      <c r="J7" s="683" t="s">
        <v>657</v>
      </c>
      <c r="K7" s="683"/>
      <c r="L7" s="683"/>
      <c r="M7" s="683"/>
      <c r="N7" s="683"/>
      <c r="O7" s="683"/>
      <c r="P7" s="683"/>
      <c r="Q7" s="683"/>
      <c r="R7" s="683"/>
      <c r="S7" s="683"/>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09"/>
      <c r="J8" s="686" t="str">
        <f>Import.Apelido&amp;" / "&amp;Import.DescLote</f>
        <v>USINA DE TRIAGEM MECANIZADA / Implantação de uma Usina de Triagem Mecanizada de Resíduos Sólidos em Buritizeiro/MG, que atenderá também as cidades de Várzea da Palma/MG, Lassance/MG e Jequitaí/MG.</v>
      </c>
      <c r="K8" s="686"/>
      <c r="L8" s="686"/>
      <c r="M8" s="686"/>
      <c r="N8" s="686"/>
      <c r="O8" s="686"/>
      <c r="P8" s="686"/>
      <c r="Q8" s="686"/>
      <c r="R8" s="686"/>
      <c r="S8" s="686"/>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09"/>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09"/>
      <c r="J10" s="687" t="s">
        <v>659</v>
      </c>
      <c r="K10" s="687"/>
      <c r="L10" s="687"/>
      <c r="M10" s="687"/>
      <c r="N10" s="687"/>
      <c r="O10" s="687"/>
      <c r="P10" s="687"/>
      <c r="Q10" s="687"/>
      <c r="R10" s="685">
        <v>0.5</v>
      </c>
      <c r="S10" s="685"/>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684" t="s">
        <v>661</v>
      </c>
      <c r="K11" s="684"/>
      <c r="L11" s="684"/>
      <c r="M11" s="684"/>
      <c r="N11" s="684"/>
      <c r="O11" s="684"/>
      <c r="P11" s="684"/>
      <c r="Q11" s="684"/>
      <c r="R11" s="685">
        <v>0.05</v>
      </c>
      <c r="S11" s="685"/>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692" t="s">
        <v>663</v>
      </c>
      <c r="K14" s="692"/>
      <c r="L14" s="692"/>
      <c r="M14" s="692"/>
      <c r="N14" s="692"/>
      <c r="O14" s="692"/>
      <c r="P14" s="692"/>
      <c r="Q14" s="692"/>
      <c r="R14" s="692"/>
      <c r="S14" s="692"/>
      <c r="U14" s="521" t="str">
        <f ca="1">IF(COUNTIF(ORÇAMENTO!$V$15:$V$93,BDI_1.Título)=0,"",IF(OR(Import.BDI.Tipo1="(SELECIONAR)",Import.BDI.Tipo1="",U17&lt;&gt;"",AND($J17&lt;&gt;$A$145,OR(S21="",S22="",AND($J17&lt;&gt;$A$146,OR(S23="",S24="")),S25="",S26=""))),"Falta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683" t="s">
        <v>664</v>
      </c>
      <c r="K16" s="683"/>
      <c r="L16" s="683"/>
      <c r="M16" s="683"/>
      <c r="N16" s="683"/>
      <c r="O16" s="683"/>
      <c r="P16" s="683"/>
      <c r="Q16" s="683"/>
      <c r="R16" s="683"/>
      <c r="S16" s="683"/>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689" t="s">
        <v>645</v>
      </c>
      <c r="K17" s="689"/>
      <c r="L17" s="689"/>
      <c r="M17" s="689"/>
      <c r="N17" s="689"/>
      <c r="O17" s="689"/>
      <c r="P17" s="689"/>
      <c r="Q17" s="689"/>
      <c r="R17" s="689"/>
      <c r="S17" s="689"/>
      <c r="T17" s="563" t="str">
        <f ca="1">IF(U17="","","◄")</f>
        <v/>
      </c>
      <c r="U17" s="562" t="str">
        <f ca="1">IF(AND(OR(S29&gt;0,COUNTIF(ORÇAMENTO!$V$15:$V$93,BDI_1.Título)&gt;0),OR(Import.BDI.Tipo1="(SELECIONAR)",Import.BDI.Tipo1="")),"Selecione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691" t="s">
        <v>666</v>
      </c>
      <c r="K19" s="691"/>
      <c r="L19" s="691"/>
      <c r="M19" s="691"/>
      <c r="N19" s="691"/>
      <c r="O19" s="691"/>
      <c r="P19" s="691"/>
      <c r="Q19" s="691"/>
      <c r="R19" s="691" t="s">
        <v>667</v>
      </c>
      <c r="S19" s="690" t="s">
        <v>668</v>
      </c>
      <c r="U19" s="690" t="s">
        <v>669</v>
      </c>
      <c r="V19" s="690"/>
      <c r="W19" s="690"/>
      <c r="X19" s="688" t="s">
        <v>670</v>
      </c>
      <c r="Y19" s="688" t="s">
        <v>671</v>
      </c>
      <c r="Z19" s="688"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691"/>
      <c r="K20" s="691"/>
      <c r="L20" s="691"/>
      <c r="M20" s="691"/>
      <c r="N20" s="691"/>
      <c r="O20" s="691"/>
      <c r="P20" s="691"/>
      <c r="Q20" s="691"/>
      <c r="R20" s="691"/>
      <c r="S20" s="690"/>
      <c r="U20" s="690"/>
      <c r="V20" s="690"/>
      <c r="W20" s="690"/>
      <c r="X20" s="688"/>
      <c r="Y20" s="688"/>
      <c r="Z20" s="688"/>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93" t="str">
        <f>IF($J$17=$A$146,"Encargos Sociais incidentes sobre a mão de obra","Administração Central")</f>
        <v>Administração Central</v>
      </c>
      <c r="K21" s="693"/>
      <c r="L21" s="693"/>
      <c r="M21" s="693"/>
      <c r="N21" s="693"/>
      <c r="O21" s="693"/>
      <c r="P21" s="693"/>
      <c r="Q21" s="693"/>
      <c r="R21" s="60" t="str">
        <f>IF($J17=$A$146,"K1","AC")</f>
        <v>AC</v>
      </c>
      <c r="S21" s="61">
        <v>5.5E-2</v>
      </c>
      <c r="T21" s="572" t="str">
        <f ca="1">IF(AND($U$14&lt;&gt;"",$U$17="",R21&lt;&gt;"",S21=""),"◄","")</f>
        <v/>
      </c>
      <c r="U21" s="694" t="str">
        <f ca="1">IFERROR(IF(T21="◄","FALTA PREENCHER",IF(AND(OR(S21&gt;=X21,X21="-"),OR(S21&lt;=Z21,Z21="-")),"OK","FORA DO INTERVALO")),"-")</f>
        <v>OK</v>
      </c>
      <c r="V21" s="694"/>
      <c r="W21" s="694"/>
      <c r="X21" s="62">
        <f>VLOOKUP(CONCATENATE(J17,"-",R21),$C$2:$G$136,3,FALSE)</f>
        <v>0.03</v>
      </c>
      <c r="Y21" s="62">
        <f>VLOOKUP(CONCATENATE(J17,"-",R21),$C$2:$G$136,4,FALSE)</f>
        <v>0.04</v>
      </c>
      <c r="Z21" s="62">
        <f>VLOOKUP(CONCATENATE(J17,"-",R21),$C$2:$G$136,5,FALSE)</f>
        <v>5.5E-2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93" t="str">
        <f>IF($J$17=$A$146,"Administração Central da empresa ou consultoria - overhead","Seguro e Garantia")</f>
        <v>Seguro e Garantia</v>
      </c>
      <c r="K22" s="693"/>
      <c r="L22" s="693"/>
      <c r="M22" s="693"/>
      <c r="N22" s="693"/>
      <c r="O22" s="693"/>
      <c r="P22" s="693"/>
      <c r="Q22" s="693"/>
      <c r="R22" s="60" t="str">
        <f>IF($J17=$A$146,"K2","SG")</f>
        <v>SG</v>
      </c>
      <c r="S22" s="61">
        <v>0.01</v>
      </c>
      <c r="T22" s="572" t="str">
        <f t="shared" ref="T22:T26" ca="1" si="1">IF(AND($U$14&lt;&gt;"",$U$17="",R22&lt;&gt;"",S22=""),"◄","")</f>
        <v/>
      </c>
      <c r="U22" s="694" t="str">
        <f t="shared" ref="U22:U28" ca="1" si="2">IFERROR(IF(T22="◄","FALTA PREENCHER",IF(AND(OR(S22&gt;=X22,X22="-"),OR(S22&lt;=Z22,Z22="-")),"OK","FORA DO INTERVALO")),"-")</f>
        <v>OK</v>
      </c>
      <c r="V22" s="694"/>
      <c r="W22" s="694"/>
      <c r="X22" s="62">
        <f>VLOOKUP(CONCATENATE(J17,"-",R22),$C$2:$G$136,3,FALSE)</f>
        <v>8.0000000000000002E-3</v>
      </c>
      <c r="Y22" s="62">
        <f>VLOOKUP(CONCATENATE(J17,"-",R22),$C$2:$G$136,4,FALSE)</f>
        <v>8.0000000000000002E-3</v>
      </c>
      <c r="Z22" s="62">
        <f>VLOOKUP(CONCATENATE(J17,"-",R22),$C$2:$G$136,5,FALSE)</f>
        <v>0.01</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93" t="s">
        <v>942</v>
      </c>
      <c r="K23" s="693"/>
      <c r="L23" s="693"/>
      <c r="M23" s="693"/>
      <c r="N23" s="693"/>
      <c r="O23" s="693"/>
      <c r="P23" s="693"/>
      <c r="Q23" s="693"/>
      <c r="R23" s="60" t="str">
        <f>IF($J17=$A$146,"","R")</f>
        <v>R</v>
      </c>
      <c r="S23" s="61">
        <v>1.2699999999999999E-2</v>
      </c>
      <c r="T23" s="572" t="str">
        <f t="shared" ca="1" si="1"/>
        <v/>
      </c>
      <c r="U23" s="694" t="str">
        <f t="shared" ca="1" si="2"/>
        <v>OK</v>
      </c>
      <c r="V23" s="694"/>
      <c r="W23" s="694"/>
      <c r="X23" s="62">
        <f>VLOOKUP(CONCATENATE(J17,"-",R23),$C$2:$G$136,3,FALSE)</f>
        <v>9.7000000000000003E-3</v>
      </c>
      <c r="Y23" s="62">
        <f>VLOOKUP(CONCATENATE(J17,"-",R23),$C$2:$G$136,4,FALSE)</f>
        <v>1.2699999999999999E-2</v>
      </c>
      <c r="Z23" s="62">
        <f>VLOOKUP(CONCATENATE(J17,"-",R23),$C$2:$G$136,5,FALSE)</f>
        <v>1.2699999999999999E-2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93" t="s">
        <v>943</v>
      </c>
      <c r="K24" s="693"/>
      <c r="L24" s="693"/>
      <c r="M24" s="693"/>
      <c r="N24" s="693"/>
      <c r="O24" s="693"/>
      <c r="P24" s="693"/>
      <c r="Q24" s="693"/>
      <c r="R24" s="60" t="str">
        <f>IF($J17=$A$146,"","DF")</f>
        <v>DF</v>
      </c>
      <c r="S24" s="61">
        <v>1.23E-2</v>
      </c>
      <c r="T24" s="572" t="str">
        <f t="shared" ca="1" si="1"/>
        <v/>
      </c>
      <c r="U24" s="694" t="str">
        <f t="shared" ca="1" si="2"/>
        <v>OK</v>
      </c>
      <c r="V24" s="694"/>
      <c r="W24" s="694"/>
      <c r="X24" s="62">
        <f>VLOOKUP(CONCATENATE(J17,"-",R24),$C$2:$G$136,3,FALSE)</f>
        <v>5.8999999999999999E-3</v>
      </c>
      <c r="Y24" s="62">
        <f>VLOOKUP(CONCATENATE(J17,"-",R24),$C$2:$G$136,4,FALSE)</f>
        <v>1.23E-2</v>
      </c>
      <c r="Z24" s="62">
        <f>VLOOKUP(CONCATENATE(J17,"-",R24),$C$2:$G$136,5,FALSE)</f>
        <v>1.3899999999999999E-2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93" t="str">
        <f>IF($J$17=$A$146,"Margem bruta da empresa de consultoria","Lucro")</f>
        <v>Lucro</v>
      </c>
      <c r="K25" s="693"/>
      <c r="L25" s="693"/>
      <c r="M25" s="693"/>
      <c r="N25" s="693"/>
      <c r="O25" s="693"/>
      <c r="P25" s="693"/>
      <c r="Q25" s="693"/>
      <c r="R25" s="60" t="str">
        <f>IF($J17=$A$146,"K3","L")</f>
        <v>L</v>
      </c>
      <c r="S25" s="61">
        <v>7.3999999999999996E-2</v>
      </c>
      <c r="T25" s="572" t="str">
        <f t="shared" ca="1" si="1"/>
        <v/>
      </c>
      <c r="U25" s="694" t="str">
        <f t="shared" ca="1" si="2"/>
        <v>OK</v>
      </c>
      <c r="V25" s="694"/>
      <c r="W25" s="694"/>
      <c r="X25" s="62">
        <f>VLOOKUP(CONCATENATE(J17,"-",R25),$C$2:$G$136,3,FALSE)</f>
        <v>6.1600000000000002E-2</v>
      </c>
      <c r="Y25" s="62">
        <f>VLOOKUP(CONCATENATE(J17,"-",R25),$C$2:$G$136,4,FALSE)</f>
        <v>7.400000000000001E-2</v>
      </c>
      <c r="Z25" s="62">
        <f>VLOOKUP(CONCATENATE(J17,"-",R25),$C$2:$G$136,5,FALSE)</f>
        <v>8.9600000000000013E-2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93" t="s">
        <v>675</v>
      </c>
      <c r="K26" s="693"/>
      <c r="L26" s="693"/>
      <c r="M26" s="693"/>
      <c r="N26" s="693"/>
      <c r="O26" s="693"/>
      <c r="P26" s="693"/>
      <c r="Q26" s="693"/>
      <c r="R26" s="60" t="s">
        <v>456</v>
      </c>
      <c r="S26" s="61">
        <v>3.6499999999999998E-2</v>
      </c>
      <c r="T26" s="572" t="str">
        <f t="shared" ca="1" si="1"/>
        <v/>
      </c>
      <c r="U26" s="694" t="str">
        <f t="shared" ca="1" si="2"/>
        <v>OK</v>
      </c>
      <c r="V26" s="694"/>
      <c r="W26" s="694"/>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93" t="s">
        <v>676</v>
      </c>
      <c r="K27" s="693"/>
      <c r="L27" s="693"/>
      <c r="M27" s="693"/>
      <c r="N27" s="693"/>
      <c r="O27" s="693"/>
      <c r="P27" s="693"/>
      <c r="Q27" s="693"/>
      <c r="R27" s="60" t="s">
        <v>677</v>
      </c>
      <c r="S27" s="62">
        <f ca="1">IF(AND($J17&lt;&gt;$A$145,COUNTA(OFFSET(S20,1,0,6))&gt;0),$R$11*$R$10,0)</f>
        <v>2.5000000000000001E-2</v>
      </c>
      <c r="U27" s="694" t="str">
        <f t="shared" ca="1" si="2"/>
        <v>OK</v>
      </c>
      <c r="V27" s="694"/>
      <c r="W27" s="694"/>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93" t="s">
        <v>678</v>
      </c>
      <c r="K28" s="693"/>
      <c r="L28" s="693"/>
      <c r="M28" s="693"/>
      <c r="N28" s="693"/>
      <c r="O28" s="693"/>
      <c r="P28" s="693"/>
      <c r="Q28" s="693"/>
      <c r="R28" s="60" t="s">
        <v>679</v>
      </c>
      <c r="S28" s="62" cm="1">
        <f t="array" aca="1" ref="S28" ca="1">IF(BDI.Opcao&lt;&gt;"Desonerado",0,IF(AND($J17&lt;&gt;$A$145,COUNTA(OFFSET(S20,1,0,6))&gt;0),IF(YEAR(Import.DataBase)&lt;2025,4.5%,IF(YEAR(Import.DataBase)=2025,3.6%,IF(YEAR(Import.DataBase)=2026,2.7%,IF(YEAR(Import.DataBase)=2027,1.8%,0%)))),0%))</f>
        <v>0</v>
      </c>
      <c r="U28" s="694" t="str">
        <f t="shared" ca="1" si="2"/>
        <v>OK</v>
      </c>
      <c r="V28" s="694"/>
      <c r="W28" s="694"/>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93" t="s">
        <v>680</v>
      </c>
      <c r="K29" s="693"/>
      <c r="L29" s="693"/>
      <c r="M29" s="693"/>
      <c r="N29" s="693"/>
      <c r="O29" s="693"/>
      <c r="P29" s="693"/>
      <c r="Q29" s="693"/>
      <c r="R29" s="64" t="s">
        <v>656</v>
      </c>
      <c r="S29" s="62">
        <f ca="1">IF($J17=$A$145,0,ROUND((((1+S21+S22+S23)*(1+S24)*(1+S25)/(1-(S26+S27)))-1),4))</f>
        <v>0.2485</v>
      </c>
      <c r="U29" s="690" t="str">
        <f ca="1">IFERROR(IF(AND(OR(S29&gt;=X29,X29="-"),OR(S29&lt;=Z29,Z29="-")),"OK","FORA DO INTERVALO"),IF(S29=0,"OK","Selecione o Tipo de obra"))</f>
        <v>OK</v>
      </c>
      <c r="V29" s="690"/>
      <c r="W29" s="690"/>
      <c r="X29" s="62">
        <f>IF($J17=$A$145,0,VLOOKUP(CONCATENATE($J17,"-",$R29),$C$2:$G$136,3,FALSE))</f>
        <v>0.2034</v>
      </c>
      <c r="Y29" s="62">
        <f>IF($J17=$A$145,0,VLOOKUP(CONCATENATE($J17,"-",$R29),$C$2:$G$136,4,FALSE))</f>
        <v>0.22120000000000001</v>
      </c>
      <c r="Z29" s="62">
        <f>IF($J17=$A$145,0,VLOOKUP(CONCATENATE($J17,"-",$R29),$C$2:$G$136,5,FALSE))</f>
        <v>0.25</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7" t="s">
        <v>681</v>
      </c>
      <c r="K30" s="697"/>
      <c r="L30" s="697"/>
      <c r="M30" s="697"/>
      <c r="N30" s="697"/>
      <c r="O30" s="697"/>
      <c r="P30" s="697"/>
      <c r="Q30" s="697"/>
      <c r="R30" s="65" t="s">
        <v>682</v>
      </c>
      <c r="S30" s="66">
        <f ca="1">IF($J17=$A$145,0,ROUND((((1+S21+S22+S23)*(1+S24)*(1+S25)/(1-(S26+S27+S28)))-1),4))</f>
        <v>0.2485</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8" t="str">
        <f ca="1">IF(U29&lt;&gt;"ok","Anexo: Relatório Técnico Circunstanciado justificando a adoção do percentual de cada parcela do BDI.","")</f>
        <v/>
      </c>
      <c r="L32" s="698"/>
      <c r="M32" s="698"/>
      <c r="N32" s="698"/>
      <c r="O32" s="698"/>
      <c r="P32" s="698"/>
      <c r="Q32" s="698"/>
      <c r="R32" s="698"/>
      <c r="S32" s="698"/>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699" t="s">
        <v>683</v>
      </c>
      <c r="K34" s="699"/>
      <c r="L34" s="699"/>
      <c r="M34" s="699"/>
      <c r="N34" s="699"/>
      <c r="O34" s="699"/>
      <c r="P34" s="699"/>
      <c r="Q34" s="699"/>
      <c r="R34" s="699"/>
      <c r="S34" s="699"/>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00" t="s">
        <v>684</v>
      </c>
      <c r="N35" s="706" t="str">
        <f>IF($J17=$A$146,"(1+K1+K2)*(1+K3)","(1+AC + S + R + G)*(1 + DF)*(1+L)")</f>
        <v>(1+AC + S + R + G)*(1 + DF)*(1+L)</v>
      </c>
      <c r="O35" s="706"/>
      <c r="P35" s="706"/>
      <c r="Q35" s="707"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00"/>
      <c r="N36" s="695" t="s">
        <v>686</v>
      </c>
      <c r="O36" s="695"/>
      <c r="P36" s="695"/>
      <c r="Q36" s="707"/>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50%, com a respectiva alíquota de 5%.</v>
      </c>
      <c r="K38" s="696"/>
      <c r="L38" s="696"/>
      <c r="M38" s="696"/>
      <c r="N38" s="696"/>
      <c r="O38" s="696"/>
      <c r="P38" s="696"/>
      <c r="Q38" s="696"/>
      <c r="R38" s="696"/>
      <c r="S38" s="696"/>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96"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96"/>
      <c r="L40" s="696"/>
      <c r="M40" s="696"/>
      <c r="N40" s="696"/>
      <c r="O40" s="696"/>
      <c r="P40" s="696"/>
      <c r="Q40" s="696"/>
      <c r="R40" s="696"/>
      <c r="S40" s="696"/>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08"/>
      <c r="K43" s="708"/>
      <c r="L43" s="708"/>
      <c r="M43" s="708"/>
      <c r="N43" s="708"/>
      <c r="O43" s="708"/>
      <c r="P43" s="708"/>
      <c r="Q43" s="708"/>
      <c r="R43" s="708"/>
      <c r="S43" s="708"/>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02" t="str">
        <f>Import.Município</f>
        <v>BURITIZEIRO-MG</v>
      </c>
      <c r="K45" s="702"/>
      <c r="L45" s="702"/>
      <c r="M45" s="702"/>
      <c r="P45" s="703">
        <f>DADOS!$C$25</f>
        <v>46107</v>
      </c>
      <c r="Q45" s="703"/>
      <c r="R45" s="703"/>
      <c r="S45" s="703"/>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04" t="s">
        <v>693</v>
      </c>
      <c r="K46" s="704"/>
      <c r="L46" s="704"/>
      <c r="M46" s="704"/>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05"/>
      <c r="K48" s="705"/>
      <c r="L48" s="705"/>
      <c r="M48" s="705"/>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01" t="s">
        <v>696</v>
      </c>
      <c r="K49" s="701"/>
      <c r="L49" s="701"/>
      <c r="M49" s="701"/>
    </row>
    <row r="50" spans="1:26" ht="14.25" x14ac:dyDescent="0.2">
      <c r="B50" s="58"/>
      <c r="E50" s="54"/>
      <c r="F50" s="54"/>
      <c r="G50" s="54"/>
      <c r="I50" t="s">
        <v>536</v>
      </c>
      <c r="J50" s="77" t="s">
        <v>240</v>
      </c>
      <c r="K50" s="78" t="str">
        <f t="array" ref="K50:K52">Import.RespOrçamento</f>
        <v>RAFAEL LACERDA MAIA</v>
      </c>
      <c r="L50" s="79"/>
      <c r="M50" s="79"/>
      <c r="N50" s="76"/>
    </row>
    <row r="51" spans="1:26" ht="14.25" x14ac:dyDescent="0.2">
      <c r="A51"/>
      <c r="B51"/>
      <c r="C51"/>
      <c r="D51"/>
      <c r="E51"/>
      <c r="F51"/>
      <c r="G51"/>
      <c r="I51" t="s">
        <v>536</v>
      </c>
      <c r="J51" s="77" t="s">
        <v>243</v>
      </c>
      <c r="K51" s="78" t="str">
        <v>173.269/D</v>
      </c>
      <c r="L51" s="79"/>
      <c r="M51" s="79"/>
      <c r="N51" s="76"/>
    </row>
    <row r="52" spans="1:26" ht="14.25" x14ac:dyDescent="0.2">
      <c r="A52"/>
      <c r="B52"/>
      <c r="C52"/>
      <c r="D52"/>
      <c r="E52"/>
      <c r="F52"/>
      <c r="G52"/>
      <c r="I52" t="s">
        <v>536</v>
      </c>
      <c r="J52" s="77" t="s">
        <v>246</v>
      </c>
      <c r="K52" s="78" t="str">
        <v>MG20254479691</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F</v>
      </c>
      <c r="J54" s="692" t="s">
        <v>697</v>
      </c>
      <c r="K54" s="692"/>
      <c r="L54" s="692"/>
      <c r="M54" s="692"/>
      <c r="N54" s="692"/>
      <c r="O54" s="692"/>
      <c r="P54" s="692"/>
      <c r="Q54" s="692"/>
      <c r="R54" s="692"/>
      <c r="S54" s="692"/>
      <c r="U54" s="521" t="str">
        <f ca="1">IF(COUNTIF(ORÇAMENTO!$V$15:$V$93,BDI_2.Título)=0,"",IF(OR(Import.BDI.Tipo2="(SELECIONAR)",Import.BDI.Tipo2="",U57&lt;&gt;"",AND($J57&lt;&gt;$A$145,OR(S61="",S62="",AND($J57&lt;&gt;$A$146,OR(S63="",S64="")),S65="",S66=""))),"Falta preencher o BDI 2",""))</f>
        <v/>
      </c>
    </row>
    <row r="55" spans="1:26" x14ac:dyDescent="0.2">
      <c r="A55"/>
      <c r="B55"/>
      <c r="C55"/>
      <c r="D55"/>
      <c r="E55"/>
      <c r="F55"/>
      <c r="G55"/>
      <c r="I55" t="str">
        <f t="shared" ref="I55:I93" ca="1" si="3">IF($S$69=0,"","F")</f>
        <v>F</v>
      </c>
    </row>
    <row r="56" spans="1:26" x14ac:dyDescent="0.2">
      <c r="A56"/>
      <c r="B56"/>
      <c r="C56"/>
      <c r="D56"/>
      <c r="E56"/>
      <c r="F56"/>
      <c r="G56"/>
      <c r="I56" t="str">
        <f t="shared" ca="1" si="3"/>
        <v>F</v>
      </c>
      <c r="J56" s="683" t="s">
        <v>664</v>
      </c>
      <c r="K56" s="683"/>
      <c r="L56" s="683"/>
      <c r="M56" s="683"/>
      <c r="N56" s="683"/>
      <c r="O56" s="683"/>
      <c r="P56" s="683"/>
      <c r="Q56" s="683"/>
      <c r="R56" s="683"/>
      <c r="S56" s="683"/>
    </row>
    <row r="57" spans="1:26" ht="15" x14ac:dyDescent="0.25">
      <c r="A57"/>
      <c r="B57"/>
      <c r="C57"/>
      <c r="D57"/>
      <c r="E57"/>
      <c r="F57"/>
      <c r="G57"/>
      <c r="I57" t="str">
        <f t="shared" ca="1" si="3"/>
        <v>F</v>
      </c>
      <c r="J57" s="689" t="s">
        <v>665</v>
      </c>
      <c r="K57" s="689"/>
      <c r="L57" s="689"/>
      <c r="M57" s="689"/>
      <c r="N57" s="689"/>
      <c r="O57" s="689"/>
      <c r="P57" s="689"/>
      <c r="Q57" s="689"/>
      <c r="R57" s="689"/>
      <c r="S57" s="689"/>
      <c r="T57" s="563" t="str">
        <f ca="1">IF(U57="","","◄")</f>
        <v/>
      </c>
      <c r="U57" s="562" t="str">
        <f ca="1">IF(AND(OR(S69&gt;0,COUNTIF(ORÇAMENTO!$V$15:$V$93,BDI_2.Título)&gt;0),OR(Import.BDI.Tipo2="(SELECIONAR)",Import.BDI.Tipo2="")),"Selecione o Tipo de obra","")</f>
        <v/>
      </c>
    </row>
    <row r="58" spans="1:26" x14ac:dyDescent="0.2">
      <c r="A58"/>
      <c r="B58"/>
      <c r="C58"/>
      <c r="D58"/>
      <c r="E58"/>
      <c r="F58"/>
      <c r="G58"/>
      <c r="I58" t="str">
        <f t="shared" ca="1" si="3"/>
        <v>F</v>
      </c>
    </row>
    <row r="59" spans="1:26" ht="12.75" customHeight="1" x14ac:dyDescent="0.2">
      <c r="A59"/>
      <c r="B59"/>
      <c r="C59"/>
      <c r="D59"/>
      <c r="E59"/>
      <c r="F59"/>
      <c r="G59"/>
      <c r="I59" t="str">
        <f t="shared" ca="1" si="3"/>
        <v>F</v>
      </c>
      <c r="J59" s="691" t="s">
        <v>666</v>
      </c>
      <c r="K59" s="691"/>
      <c r="L59" s="691"/>
      <c r="M59" s="691"/>
      <c r="N59" s="691"/>
      <c r="O59" s="691"/>
      <c r="P59" s="691"/>
      <c r="Q59" s="691"/>
      <c r="R59" s="691" t="s">
        <v>667</v>
      </c>
      <c r="S59" s="690" t="s">
        <v>668</v>
      </c>
      <c r="U59" s="690" t="s">
        <v>669</v>
      </c>
      <c r="V59" s="690"/>
      <c r="W59" s="690"/>
      <c r="X59" s="688" t="s">
        <v>670</v>
      </c>
      <c r="Y59" s="688" t="s">
        <v>671</v>
      </c>
      <c r="Z59" s="688" t="s">
        <v>672</v>
      </c>
    </row>
    <row r="60" spans="1:26" ht="12.75" customHeight="1" x14ac:dyDescent="0.2">
      <c r="A60"/>
      <c r="B60"/>
      <c r="C60"/>
      <c r="D60"/>
      <c r="E60"/>
      <c r="F60"/>
      <c r="G60"/>
      <c r="I60" t="str">
        <f t="shared" ca="1" si="3"/>
        <v>F</v>
      </c>
      <c r="J60" s="691"/>
      <c r="K60" s="691"/>
      <c r="L60" s="691"/>
      <c r="M60" s="691"/>
      <c r="N60" s="691"/>
      <c r="O60" s="691"/>
      <c r="P60" s="691"/>
      <c r="Q60" s="691"/>
      <c r="R60" s="691"/>
      <c r="S60" s="690"/>
      <c r="U60" s="690"/>
      <c r="V60" s="690"/>
      <c r="W60" s="690"/>
      <c r="X60" s="688"/>
      <c r="Y60" s="688"/>
      <c r="Z60" s="688"/>
    </row>
    <row r="61" spans="1:26" ht="15" customHeight="1" x14ac:dyDescent="0.2">
      <c r="A61"/>
      <c r="B61"/>
      <c r="C61"/>
      <c r="D61"/>
      <c r="E61"/>
      <c r="F61"/>
      <c r="G61"/>
      <c r="I61" t="str">
        <f t="shared" ca="1" si="3"/>
        <v>F</v>
      </c>
      <c r="J61" s="693" t="str">
        <f>IF($J$57=$A$146,"Encargos Sociais incidentes sobre a mão de obra","Administração Central")</f>
        <v>Administração Central</v>
      </c>
      <c r="K61" s="693"/>
      <c r="L61" s="693"/>
      <c r="M61" s="693"/>
      <c r="N61" s="693"/>
      <c r="O61" s="693"/>
      <c r="P61" s="693"/>
      <c r="Q61" s="693"/>
      <c r="R61" s="60" t="str">
        <f>IF($J57=$A$146,"K1","AC")</f>
        <v>AC</v>
      </c>
      <c r="S61" s="61">
        <f>X61</f>
        <v>1.4999999999999999E-2</v>
      </c>
      <c r="T61" s="572" t="str">
        <f ca="1">IF(AND($U$54&lt;&gt;"",$U$57="",R61&lt;&gt;"",S61=""),"◄","")</f>
        <v/>
      </c>
      <c r="U61" s="694" t="str">
        <f ca="1">IFERROR(IF(T61="◄","FALTA PREENCHER",IF(AND(OR(S61&gt;=X61,X61="-"),OR(S61&lt;=Z61,Z61="-")),"OK","FORA DO INTERVALO")),"-")</f>
        <v>OK</v>
      </c>
      <c r="V61" s="694"/>
      <c r="W61" s="694"/>
      <c r="X61" s="62">
        <f>VLOOKUP(CONCATENATE(J57,"-",R61),$C$2:$G$136,3,FALSE)</f>
        <v>1.4999999999999999E-2</v>
      </c>
      <c r="Y61" s="62">
        <f>VLOOKUP(CONCATENATE(J57,"-",R61),$C$2:$G$136,4,FALSE)</f>
        <v>3.4500000000000003E-2</v>
      </c>
      <c r="Z61" s="62">
        <f>VLOOKUP(CONCATENATE(J57,"-",R61),$C$2:$G$136,5,FALSE)</f>
        <v>4.4900000000000002E-2</v>
      </c>
    </row>
    <row r="62" spans="1:26" ht="15" customHeight="1" x14ac:dyDescent="0.2">
      <c r="A62"/>
      <c r="B62"/>
      <c r="C62"/>
      <c r="D62"/>
      <c r="E62"/>
      <c r="F62"/>
      <c r="G62"/>
      <c r="I62" t="str">
        <f t="shared" ca="1" si="3"/>
        <v>F</v>
      </c>
      <c r="J62" s="693" t="str">
        <f>IF($J$57=$A$146,"Administração Central da empresa ou consultoria - overhead","Seguro e Garantia")</f>
        <v>Seguro e Garantia</v>
      </c>
      <c r="K62" s="693"/>
      <c r="L62" s="693"/>
      <c r="M62" s="693"/>
      <c r="N62" s="693"/>
      <c r="O62" s="693"/>
      <c r="P62" s="693"/>
      <c r="Q62" s="693"/>
      <c r="R62" s="60" t="str">
        <f>IF($J57=$A$146,"K2","SG")</f>
        <v>SG</v>
      </c>
      <c r="S62" s="61">
        <f t="shared" ref="S62:S66" si="4">X62</f>
        <v>3.0000000000000001E-3</v>
      </c>
      <c r="T62" s="572" t="str">
        <f t="shared" ref="T62:T66" ca="1" si="5">IF(AND($U$54&lt;&gt;"",$U$57="",R62&lt;&gt;"",S62=""),"◄","")</f>
        <v/>
      </c>
      <c r="U62" s="694" t="str">
        <f t="shared" ref="U62:U68" ca="1" si="6">IFERROR(IF(T62="◄","FALTA PREENCHER",IF(AND(OR(S62&gt;=X62,X62="-"),OR(S62&lt;=Z62,Z62="-")),"OK","FORA DO INTERVALO")),"-")</f>
        <v>OK</v>
      </c>
      <c r="V62" s="694"/>
      <c r="W62" s="694"/>
      <c r="X62" s="62">
        <f>VLOOKUP(CONCATENATE(J57,"-",R62),$C$2:$G$136,3,FALSE)</f>
        <v>3.0000000000000001E-3</v>
      </c>
      <c r="Y62" s="62">
        <f>VLOOKUP(CONCATENATE(J57,"-",R62),$C$2:$G$136,4,FALSE)</f>
        <v>4.7999999999999996E-3</v>
      </c>
      <c r="Z62" s="62">
        <f>VLOOKUP(CONCATENATE(J57,"-",R62),$C$2:$G$136,5,FALSE)</f>
        <v>8.199999999999999E-3</v>
      </c>
    </row>
    <row r="63" spans="1:26" ht="15" customHeight="1" x14ac:dyDescent="0.2">
      <c r="A63"/>
      <c r="B63"/>
      <c r="C63"/>
      <c r="D63"/>
      <c r="E63"/>
      <c r="F63"/>
      <c r="G63"/>
      <c r="I63" t="str">
        <f t="shared" ca="1" si="3"/>
        <v>F</v>
      </c>
      <c r="J63" s="693" t="s">
        <v>942</v>
      </c>
      <c r="K63" s="693"/>
      <c r="L63" s="693"/>
      <c r="M63" s="693"/>
      <c r="N63" s="693"/>
      <c r="O63" s="693"/>
      <c r="P63" s="693"/>
      <c r="Q63" s="693"/>
      <c r="R63" s="60" t="str">
        <f>IF($J57=$A$146,"","R")</f>
        <v>R</v>
      </c>
      <c r="S63" s="61">
        <v>8.8999999999999999E-3</v>
      </c>
      <c r="T63" s="572" t="str">
        <f t="shared" ca="1" si="5"/>
        <v/>
      </c>
      <c r="U63" s="694" t="str">
        <f t="shared" ca="1" si="6"/>
        <v>OK</v>
      </c>
      <c r="V63" s="694"/>
      <c r="W63" s="694"/>
      <c r="X63" s="62">
        <f>VLOOKUP(CONCATENATE(J57,"-",R63),$C$2:$G$136,3,FALSE)</f>
        <v>5.6000000000000008E-3</v>
      </c>
      <c r="Y63" s="62">
        <f>VLOOKUP(CONCATENATE(J57,"-",R63),$C$2:$G$136,4,FALSE)</f>
        <v>8.5000000000000006E-3</v>
      </c>
      <c r="Z63" s="62">
        <f>VLOOKUP(CONCATENATE(J57,"-",R63),$C$2:$G$136,5,FALSE)</f>
        <v>8.8999999999999999E-3</v>
      </c>
    </row>
    <row r="64" spans="1:26" ht="15" customHeight="1" x14ac:dyDescent="0.2">
      <c r="A64"/>
      <c r="B64"/>
      <c r="C64"/>
      <c r="D64"/>
      <c r="E64"/>
      <c r="F64"/>
      <c r="G64"/>
      <c r="I64" t="str">
        <f t="shared" ca="1" si="3"/>
        <v>F</v>
      </c>
      <c r="J64" s="693" t="s">
        <v>943</v>
      </c>
      <c r="K64" s="693"/>
      <c r="L64" s="693"/>
      <c r="M64" s="693"/>
      <c r="N64" s="693"/>
      <c r="O64" s="693"/>
      <c r="P64" s="693"/>
      <c r="Q64" s="693"/>
      <c r="R64" s="60" t="str">
        <f>IF($J57=$A$146,"","DF")</f>
        <v>DF</v>
      </c>
      <c r="S64" s="61">
        <v>1.0500000000000001E-2</v>
      </c>
      <c r="T64" s="572" t="str">
        <f t="shared" ca="1" si="5"/>
        <v/>
      </c>
      <c r="U64" s="694" t="str">
        <f t="shared" ca="1" si="6"/>
        <v>OK</v>
      </c>
      <c r="V64" s="694"/>
      <c r="W64" s="694"/>
      <c r="X64" s="62">
        <f>VLOOKUP(CONCATENATE(J57,"-",R64),$C$2:$G$136,3,FALSE)</f>
        <v>8.5000000000000006E-3</v>
      </c>
      <c r="Y64" s="62">
        <f>VLOOKUP(CONCATENATE(J57,"-",R64),$C$2:$G$136,4,FALSE)</f>
        <v>8.5000000000000006E-3</v>
      </c>
      <c r="Z64" s="62">
        <f>VLOOKUP(CONCATENATE(J57,"-",R64),$C$2:$G$136,5,FALSE)</f>
        <v>1.11E-2</v>
      </c>
    </row>
    <row r="65" spans="1:26" ht="15" customHeight="1" x14ac:dyDescent="0.2">
      <c r="A65"/>
      <c r="B65"/>
      <c r="C65"/>
      <c r="D65"/>
      <c r="E65"/>
      <c r="F65"/>
      <c r="G65"/>
      <c r="I65" t="str">
        <f t="shared" ca="1" si="3"/>
        <v>F</v>
      </c>
      <c r="J65" s="693" t="str">
        <f>IF($J$57=$A$146,"Margem bruta da empresa de consultoria","Lucro")</f>
        <v>Lucro</v>
      </c>
      <c r="K65" s="693"/>
      <c r="L65" s="693"/>
      <c r="M65" s="693"/>
      <c r="N65" s="693"/>
      <c r="O65" s="693"/>
      <c r="P65" s="693"/>
      <c r="Q65" s="693"/>
      <c r="R65" s="60" t="str">
        <f>IF($J57=$A$146,"K3","L")</f>
        <v>L</v>
      </c>
      <c r="S65" s="61">
        <v>3.5000000000000003E-2</v>
      </c>
      <c r="T65" s="572" t="str">
        <f t="shared" ca="1" si="5"/>
        <v/>
      </c>
      <c r="U65" s="694" t="str">
        <f t="shared" ca="1" si="6"/>
        <v>OK</v>
      </c>
      <c r="V65" s="694"/>
      <c r="W65" s="694"/>
      <c r="X65" s="62">
        <f>VLOOKUP(CONCATENATE(J57,"-",R65),$C$2:$G$136,3,FALSE)</f>
        <v>3.5000000000000003E-2</v>
      </c>
      <c r="Y65" s="62">
        <f>VLOOKUP(CONCATENATE(J57,"-",R65),$C$2:$G$136,4,FALSE)</f>
        <v>5.1100000000000007E-2</v>
      </c>
      <c r="Z65" s="62">
        <f>VLOOKUP(CONCATENATE(J57,"-",R65),$C$2:$G$136,5,FALSE)</f>
        <v>6.2199999999999998E-2</v>
      </c>
    </row>
    <row r="66" spans="1:26" ht="15" customHeight="1" x14ac:dyDescent="0.2">
      <c r="A66"/>
      <c r="B66"/>
      <c r="C66"/>
      <c r="D66"/>
      <c r="E66"/>
      <c r="F66"/>
      <c r="G66"/>
      <c r="I66" t="str">
        <f t="shared" ca="1" si="3"/>
        <v>F</v>
      </c>
      <c r="J66" s="693" t="s">
        <v>675</v>
      </c>
      <c r="K66" s="693"/>
      <c r="L66" s="693"/>
      <c r="M66" s="693"/>
      <c r="N66" s="693"/>
      <c r="O66" s="693"/>
      <c r="P66" s="693"/>
      <c r="Q66" s="693"/>
      <c r="R66" s="60" t="s">
        <v>456</v>
      </c>
      <c r="S66" s="61">
        <f t="shared" si="4"/>
        <v>3.6499999999999998E-2</v>
      </c>
      <c r="T66" s="572" t="str">
        <f t="shared" ca="1" si="5"/>
        <v/>
      </c>
      <c r="U66" s="694" t="str">
        <f t="shared" ca="1" si="6"/>
        <v>OK</v>
      </c>
      <c r="V66" s="694"/>
      <c r="W66" s="694"/>
      <c r="X66" s="62">
        <f>Y66</f>
        <v>3.6499999999999998E-2</v>
      </c>
      <c r="Y66" s="62">
        <f>IF($J57=$A$145,"-",3.65%)</f>
        <v>3.6499999999999998E-2</v>
      </c>
      <c r="Z66" s="62">
        <f>Y66</f>
        <v>3.6499999999999998E-2</v>
      </c>
    </row>
    <row r="67" spans="1:26" ht="15" customHeight="1" x14ac:dyDescent="0.2">
      <c r="A67"/>
      <c r="B67"/>
      <c r="C67"/>
      <c r="D67"/>
      <c r="E67"/>
      <c r="F67"/>
      <c r="G67"/>
      <c r="I67" t="str">
        <f t="shared" ca="1" si="3"/>
        <v>F</v>
      </c>
      <c r="J67" s="693" t="s">
        <v>676</v>
      </c>
      <c r="K67" s="693"/>
      <c r="L67" s="693"/>
      <c r="M67" s="693"/>
      <c r="N67" s="693"/>
      <c r="O67" s="693"/>
      <c r="P67" s="693"/>
      <c r="Q67" s="693"/>
      <c r="R67" s="60" t="s">
        <v>677</v>
      </c>
      <c r="S67" s="62">
        <f ca="1">IF(AND($J57&lt;&gt;$A$145,COUNTA(OFFSET(S60,1,0,6))&gt;0),$R$11*$R$10,0)</f>
        <v>2.5000000000000001E-2</v>
      </c>
      <c r="U67" s="694" t="str">
        <f t="shared" ca="1" si="6"/>
        <v>OK</v>
      </c>
      <c r="V67" s="694"/>
      <c r="W67" s="694"/>
      <c r="X67" s="62">
        <v>0</v>
      </c>
      <c r="Y67" s="62">
        <v>2.5000000000000001E-2</v>
      </c>
      <c r="Z67" s="62">
        <v>0.05</v>
      </c>
    </row>
    <row r="68" spans="1:26" ht="15" customHeight="1" x14ac:dyDescent="0.2">
      <c r="A68"/>
      <c r="B68"/>
      <c r="C68"/>
      <c r="D68"/>
      <c r="E68"/>
      <c r="F68"/>
      <c r="G68"/>
      <c r="I68" t="str">
        <f t="shared" ca="1" si="3"/>
        <v>F</v>
      </c>
      <c r="J68" s="693" t="s">
        <v>678</v>
      </c>
      <c r="K68" s="693"/>
      <c r="L68" s="693"/>
      <c r="M68" s="693"/>
      <c r="N68" s="693"/>
      <c r="O68" s="693"/>
      <c r="P68" s="693"/>
      <c r="Q68" s="693"/>
      <c r="R68" s="60" t="s">
        <v>679</v>
      </c>
      <c r="S68" s="62" cm="1">
        <f t="array" aca="1" ref="S68" ca="1">IF(BDI.Opcao&lt;&gt;"Desonerado",0,IF(AND($J57&lt;&gt;$A$145,COUNTA(OFFSET(S60,1,0,6))&gt;0),IF(YEAR(Import.DataBase)&lt;2025,4.5%,IF(YEAR(Import.DataBase)=2025,3.6%,IF(YEAR(Import.DataBase)=2026,2.7%,IF(YEAR(Import.DataBase)=2027,1.8%,0%)))),0%))</f>
        <v>0</v>
      </c>
      <c r="U68" s="694" t="str">
        <f t="shared" ca="1" si="6"/>
        <v>OK</v>
      </c>
      <c r="V68" s="694"/>
      <c r="W68" s="694"/>
      <c r="X68" s="63">
        <f ca="1">$S68</f>
        <v>0</v>
      </c>
      <c r="Y68" s="63">
        <f ca="1">$S68</f>
        <v>0</v>
      </c>
      <c r="Z68" s="63">
        <f ca="1">$S68</f>
        <v>0</v>
      </c>
    </row>
    <row r="69" spans="1:26" ht="15" customHeight="1" x14ac:dyDescent="0.2">
      <c r="A69"/>
      <c r="B69"/>
      <c r="C69"/>
      <c r="D69"/>
      <c r="E69"/>
      <c r="F69"/>
      <c r="G69"/>
      <c r="I69" t="str">
        <f t="shared" ca="1" si="3"/>
        <v>F</v>
      </c>
      <c r="J69" s="693" t="s">
        <v>680</v>
      </c>
      <c r="K69" s="693"/>
      <c r="L69" s="693"/>
      <c r="M69" s="693"/>
      <c r="N69" s="693"/>
      <c r="O69" s="693"/>
      <c r="P69" s="693"/>
      <c r="Q69" s="693"/>
      <c r="R69" s="64" t="s">
        <v>656</v>
      </c>
      <c r="S69" s="62">
        <f ca="1">IF($J57=$A$145,0,ROUND((((1+S61+S62+S63)*(1+S64)*(1+S65)/(1-(S66+S67)))-1),4))</f>
        <v>0.1444</v>
      </c>
      <c r="U69" s="690" t="str">
        <f ca="1">IFERROR(IF(AND(OR(S69&gt;=X69,X69="-"),OR(S69&lt;=Z69,Z69="-")),"OK","FORA DO INTERVALO"),IF(S69=0,"OK","Selecione o Tipo de obra"))</f>
        <v>OK</v>
      </c>
      <c r="V69" s="690"/>
      <c r="W69" s="690"/>
      <c r="X69" s="62">
        <f>IF($J57=$A$145,0,VLOOKUP(CONCATENATE($J57,"-",$R69),$C$2:$G$136,3,FALSE))</f>
        <v>0.111</v>
      </c>
      <c r="Y69" s="62">
        <f>IF($J57=$A$145,0,VLOOKUP(CONCATENATE($J57,"-",$R69),$C$2:$G$136,4,FALSE))</f>
        <v>0.14019999999999999</v>
      </c>
      <c r="Z69" s="62">
        <f>IF($J57=$A$145,0,VLOOKUP(CONCATENATE($J57,"-",$R69),$C$2:$G$136,5,FALSE))</f>
        <v>0.16800000000000001</v>
      </c>
    </row>
    <row r="70" spans="1:26" ht="15" customHeight="1" x14ac:dyDescent="0.2">
      <c r="A70"/>
      <c r="B70"/>
      <c r="C70"/>
      <c r="D70"/>
      <c r="E70"/>
      <c r="F70"/>
      <c r="G70"/>
      <c r="I70" t="str">
        <f t="shared" ca="1" si="3"/>
        <v>F</v>
      </c>
      <c r="J70" s="697" t="s">
        <v>681</v>
      </c>
      <c r="K70" s="697"/>
      <c r="L70" s="697"/>
      <c r="M70" s="697"/>
      <c r="N70" s="697"/>
      <c r="O70" s="697"/>
      <c r="P70" s="697"/>
      <c r="Q70" s="697"/>
      <c r="R70" s="65" t="s">
        <v>682</v>
      </c>
      <c r="S70" s="66">
        <f ca="1">IF($J57=$A$145,0,ROUND((((1+S61+S62+S63)*(1+S64)*(1+S65)/(1-(S66+S67+S68)))-1),4))</f>
        <v>0.1444</v>
      </c>
    </row>
    <row r="71" spans="1:26" ht="15" customHeight="1" x14ac:dyDescent="0.2">
      <c r="A71"/>
      <c r="B71"/>
      <c r="C71"/>
      <c r="D71"/>
      <c r="E71"/>
      <c r="F71"/>
      <c r="G71"/>
      <c r="I71" t="str">
        <f t="shared" ca="1" si="3"/>
        <v>F</v>
      </c>
    </row>
    <row r="72" spans="1:26" ht="15.75" x14ac:dyDescent="0.2">
      <c r="A72"/>
      <c r="B72"/>
      <c r="C72"/>
      <c r="D72"/>
      <c r="E72"/>
      <c r="F72"/>
      <c r="G72"/>
      <c r="I72" t="str">
        <f t="shared" ca="1" si="3"/>
        <v>F</v>
      </c>
      <c r="J72" s="67" t="str">
        <f ca="1">IF(U69&lt;&gt;"ok","X","")</f>
        <v/>
      </c>
      <c r="K72" s="698" t="str">
        <f ca="1">IF(U69&lt;&gt;"ok","Anexo: Relatório Técnico Circunstanciado justificando a adoção do percentual de cada parcela do BDI.","")</f>
        <v/>
      </c>
      <c r="L72" s="698"/>
      <c r="M72" s="698"/>
      <c r="N72" s="698"/>
      <c r="O72" s="698"/>
      <c r="P72" s="698"/>
      <c r="Q72" s="698"/>
      <c r="R72" s="698"/>
      <c r="S72" s="698"/>
    </row>
    <row r="73" spans="1:26" x14ac:dyDescent="0.2">
      <c r="A73"/>
      <c r="B73"/>
      <c r="C73"/>
      <c r="D73"/>
      <c r="E73"/>
      <c r="F73"/>
      <c r="G73"/>
      <c r="I73" t="str">
        <f t="shared" ca="1" si="3"/>
        <v>F</v>
      </c>
    </row>
    <row r="74" spans="1:26" x14ac:dyDescent="0.2">
      <c r="A74"/>
      <c r="B74"/>
      <c r="C74"/>
      <c r="D74"/>
      <c r="E74"/>
      <c r="F74"/>
      <c r="G74"/>
      <c r="I74" t="str">
        <f t="shared" ca="1" si="3"/>
        <v>F</v>
      </c>
      <c r="J74" s="699" t="s">
        <v>683</v>
      </c>
      <c r="K74" s="699"/>
      <c r="L74" s="699"/>
      <c r="M74" s="699"/>
      <c r="N74" s="699"/>
      <c r="O74" s="699"/>
      <c r="P74" s="699"/>
      <c r="Q74" s="699"/>
      <c r="R74" s="699"/>
      <c r="S74" s="699"/>
    </row>
    <row r="75" spans="1:26" ht="15.75" x14ac:dyDescent="0.25">
      <c r="A75"/>
      <c r="B75"/>
      <c r="C75"/>
      <c r="D75"/>
      <c r="E75"/>
      <c r="F75"/>
      <c r="G75"/>
      <c r="I75" t="str">
        <f t="shared" ca="1" si="3"/>
        <v>F</v>
      </c>
      <c r="J75" s="68"/>
      <c r="K75" s="68"/>
      <c r="L75" s="68"/>
      <c r="M75" s="700" t="s">
        <v>684</v>
      </c>
      <c r="N75" s="706" t="str">
        <f>IF($J57=$A$146,"(1+K1+K2)*(1+K3)","(1+AC + S + R + G)*(1 + DF)*(1+L)")</f>
        <v>(1+AC + S + R + G)*(1 + DF)*(1+L)</v>
      </c>
      <c r="O75" s="706"/>
      <c r="P75" s="706"/>
      <c r="Q75" s="707" t="s">
        <v>685</v>
      </c>
      <c r="R75" s="68"/>
      <c r="S75" s="68"/>
    </row>
    <row r="76" spans="1:26" ht="15.75" x14ac:dyDescent="0.2">
      <c r="A76"/>
      <c r="B76"/>
      <c r="C76"/>
      <c r="D76"/>
      <c r="E76"/>
      <c r="F76"/>
      <c r="G76"/>
      <c r="I76" t="str">
        <f t="shared" ca="1" si="3"/>
        <v>F</v>
      </c>
      <c r="J76" s="68"/>
      <c r="K76" s="68"/>
      <c r="L76" s="68"/>
      <c r="M76" s="700"/>
      <c r="N76" s="695" t="s">
        <v>686</v>
      </c>
      <c r="O76" s="695"/>
      <c r="P76" s="695"/>
      <c r="Q76" s="707"/>
      <c r="R76" s="68"/>
      <c r="S76" s="68"/>
    </row>
    <row r="77" spans="1:26" ht="15" customHeight="1" x14ac:dyDescent="0.2">
      <c r="A77"/>
      <c r="B77"/>
      <c r="C77"/>
      <c r="D77"/>
      <c r="E77"/>
      <c r="F77"/>
      <c r="G77"/>
      <c r="I77" t="str">
        <f t="shared" ca="1" si="3"/>
        <v>F</v>
      </c>
      <c r="J77" s="68"/>
      <c r="K77" s="68"/>
      <c r="L77" s="68"/>
      <c r="M77" s="69"/>
      <c r="N77" s="71"/>
      <c r="O77" s="71"/>
      <c r="P77" s="71"/>
      <c r="Q77" s="70"/>
      <c r="R77" s="68"/>
      <c r="S77" s="68"/>
    </row>
    <row r="78" spans="1:26" ht="50.1" customHeight="1" x14ac:dyDescent="0.2">
      <c r="A78"/>
      <c r="B78"/>
      <c r="C78"/>
      <c r="D78"/>
      <c r="E78"/>
      <c r="F78"/>
      <c r="G78"/>
      <c r="I78" t="str">
        <f t="shared" ca="1" si="3"/>
        <v>F</v>
      </c>
      <c r="J7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50%, com a respectiva alíquota de 5%.</v>
      </c>
      <c r="K78" s="696"/>
      <c r="L78" s="696"/>
      <c r="M78" s="696"/>
      <c r="N78" s="696"/>
      <c r="O78" s="696"/>
      <c r="P78" s="696"/>
      <c r="Q78" s="696"/>
      <c r="R78" s="696"/>
      <c r="S78" s="696"/>
    </row>
    <row r="79" spans="1:26" x14ac:dyDescent="0.2">
      <c r="A79"/>
      <c r="B79"/>
      <c r="C79"/>
      <c r="D79"/>
      <c r="E79"/>
      <c r="F79"/>
      <c r="G79"/>
      <c r="I79" t="str">
        <f t="shared" ca="1" si="3"/>
        <v>F</v>
      </c>
    </row>
    <row r="80" spans="1:26" ht="50.1" customHeight="1" x14ac:dyDescent="0.2">
      <c r="A80"/>
      <c r="B80"/>
      <c r="C80"/>
      <c r="D80"/>
      <c r="E80"/>
      <c r="F80"/>
      <c r="G80"/>
      <c r="I80" t="str">
        <f t="shared" ca="1" si="3"/>
        <v>F</v>
      </c>
      <c r="J80" s="696"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96"/>
      <c r="L80" s="696"/>
      <c r="M80" s="696"/>
      <c r="N80" s="696"/>
      <c r="O80" s="696"/>
      <c r="P80" s="696"/>
      <c r="Q80" s="696"/>
      <c r="R80" s="696"/>
      <c r="S80" s="696"/>
    </row>
    <row r="81" spans="1:21" x14ac:dyDescent="0.2">
      <c r="A81"/>
      <c r="B81"/>
      <c r="C81"/>
      <c r="D81"/>
      <c r="E81"/>
      <c r="F81"/>
      <c r="G81"/>
      <c r="I81" t="str">
        <f t="shared" ca="1" si="3"/>
        <v>F</v>
      </c>
    </row>
    <row r="82" spans="1:21" x14ac:dyDescent="0.2">
      <c r="A82"/>
      <c r="B82"/>
      <c r="C82"/>
      <c r="D82"/>
      <c r="E82"/>
      <c r="F82"/>
      <c r="G82"/>
      <c r="I82" t="str">
        <f t="shared" ca="1" si="3"/>
        <v>F</v>
      </c>
      <c r="J82" s="49" t="s">
        <v>689</v>
      </c>
    </row>
    <row r="83" spans="1:21" ht="99.95" customHeight="1" x14ac:dyDescent="0.2">
      <c r="A83"/>
      <c r="B83"/>
      <c r="C83"/>
      <c r="D83"/>
      <c r="E83"/>
      <c r="F83"/>
      <c r="G83"/>
      <c r="I83" t="str">
        <f t="shared" ca="1" si="3"/>
        <v>F</v>
      </c>
      <c r="J83" s="708"/>
      <c r="K83" s="708"/>
      <c r="L83" s="708"/>
      <c r="M83" s="708"/>
      <c r="N83" s="708"/>
      <c r="O83" s="708"/>
      <c r="P83" s="708"/>
      <c r="Q83" s="708"/>
      <c r="R83" s="708"/>
      <c r="S83" s="708"/>
    </row>
    <row r="84" spans="1:21" x14ac:dyDescent="0.2">
      <c r="A84"/>
      <c r="B84"/>
      <c r="C84"/>
      <c r="D84"/>
      <c r="E84"/>
      <c r="F84"/>
      <c r="G84"/>
      <c r="I84" t="str">
        <f t="shared" ca="1" si="3"/>
        <v>F</v>
      </c>
    </row>
    <row r="85" spans="1:21" x14ac:dyDescent="0.2">
      <c r="A85"/>
      <c r="B85"/>
      <c r="C85"/>
      <c r="D85"/>
      <c r="E85"/>
      <c r="F85"/>
      <c r="G85"/>
      <c r="I85" t="str">
        <f t="shared" ca="1" si="3"/>
        <v>F</v>
      </c>
      <c r="J85" s="702" t="str">
        <f>Import.Município</f>
        <v>BURITIZEIRO-MG</v>
      </c>
      <c r="K85" s="702"/>
      <c r="L85" s="702"/>
      <c r="M85" s="702"/>
      <c r="P85" s="703">
        <f>DADOS!$C$25</f>
        <v>46107</v>
      </c>
      <c r="Q85" s="703"/>
      <c r="R85" s="703"/>
      <c r="S85" s="703"/>
    </row>
    <row r="86" spans="1:21" x14ac:dyDescent="0.2">
      <c r="A86"/>
      <c r="B86"/>
      <c r="C86"/>
      <c r="D86"/>
      <c r="E86"/>
      <c r="F86"/>
      <c r="G86"/>
      <c r="I86" t="str">
        <f t="shared" ca="1" si="3"/>
        <v>F</v>
      </c>
      <c r="J86" s="704" t="s">
        <v>693</v>
      </c>
      <c r="K86" s="704"/>
      <c r="L86" s="704"/>
      <c r="M86" s="704"/>
      <c r="O86" s="73"/>
      <c r="P86" s="74" t="s">
        <v>694</v>
      </c>
      <c r="Q86" s="75"/>
      <c r="R86" s="75"/>
      <c r="S86" s="75"/>
    </row>
    <row r="87" spans="1:21" ht="30" customHeight="1" x14ac:dyDescent="0.2">
      <c r="A87"/>
      <c r="B87"/>
      <c r="C87"/>
      <c r="D87"/>
      <c r="E87"/>
      <c r="F87"/>
      <c r="G87"/>
      <c r="I87" t="str">
        <f t="shared" ca="1" si="3"/>
        <v>F</v>
      </c>
    </row>
    <row r="88" spans="1:21" ht="15" x14ac:dyDescent="0.2">
      <c r="A88"/>
      <c r="B88"/>
      <c r="C88"/>
      <c r="D88"/>
      <c r="E88"/>
      <c r="F88"/>
      <c r="G88"/>
      <c r="I88" t="str">
        <f t="shared" ca="1" si="3"/>
        <v>F</v>
      </c>
      <c r="J88" s="705"/>
      <c r="K88" s="705"/>
      <c r="L88" s="705"/>
      <c r="M88" s="705"/>
      <c r="N88" s="76"/>
    </row>
    <row r="89" spans="1:21" x14ac:dyDescent="0.2">
      <c r="A89"/>
      <c r="B89"/>
      <c r="C89"/>
      <c r="D89"/>
      <c r="E89"/>
      <c r="F89"/>
      <c r="G89"/>
      <c r="I89" t="str">
        <f t="shared" ca="1" si="3"/>
        <v>F</v>
      </c>
      <c r="J89" s="701" t="s">
        <v>696</v>
      </c>
      <c r="K89" s="701"/>
      <c r="L89" s="701"/>
      <c r="M89" s="701"/>
    </row>
    <row r="90" spans="1:21" ht="14.25" x14ac:dyDescent="0.2">
      <c r="A90"/>
      <c r="B90"/>
      <c r="C90"/>
      <c r="D90"/>
      <c r="E90"/>
      <c r="F90"/>
      <c r="G90"/>
      <c r="I90" t="str">
        <f t="shared" ca="1" si="3"/>
        <v>F</v>
      </c>
      <c r="J90" s="77" t="s">
        <v>240</v>
      </c>
      <c r="K90" s="78" t="str">
        <f t="array" ref="K90:K92">Import.RespOrçamento</f>
        <v>RAFAEL LACERDA MAIA</v>
      </c>
      <c r="L90" s="79"/>
      <c r="M90" s="79"/>
      <c r="N90" s="76"/>
    </row>
    <row r="91" spans="1:21" ht="14.25" x14ac:dyDescent="0.2">
      <c r="A91"/>
      <c r="B91"/>
      <c r="C91"/>
      <c r="D91"/>
      <c r="E91"/>
      <c r="F91"/>
      <c r="G91"/>
      <c r="I91" t="str">
        <f t="shared" ca="1" si="3"/>
        <v>F</v>
      </c>
      <c r="J91" s="77" t="s">
        <v>243</v>
      </c>
      <c r="K91" s="78" t="str">
        <v>173.269/D</v>
      </c>
      <c r="L91" s="79"/>
      <c r="M91" s="79"/>
      <c r="N91" s="76"/>
    </row>
    <row r="92" spans="1:21" ht="14.25" x14ac:dyDescent="0.2">
      <c r="A92"/>
      <c r="B92"/>
      <c r="C92"/>
      <c r="D92"/>
      <c r="E92"/>
      <c r="F92"/>
      <c r="G92"/>
      <c r="I92" t="str">
        <f t="shared" ca="1" si="3"/>
        <v>F</v>
      </c>
      <c r="J92" s="77" t="s">
        <v>246</v>
      </c>
      <c r="K92" s="78" t="str">
        <v>MG20254479691</v>
      </c>
      <c r="L92" s="79"/>
      <c r="M92" s="79"/>
      <c r="N92" s="76"/>
    </row>
    <row r="93" spans="1:21" ht="14.25" x14ac:dyDescent="0.2">
      <c r="A93"/>
      <c r="B93"/>
      <c r="C93"/>
      <c r="D93"/>
      <c r="E93"/>
      <c r="F93"/>
      <c r="G93"/>
      <c r="I93" t="str">
        <f t="shared" ca="1" si="3"/>
        <v>F</v>
      </c>
      <c r="J93" s="77"/>
      <c r="K93" s="80"/>
      <c r="L93" s="79"/>
      <c r="M93" s="79"/>
      <c r="N93" s="76"/>
    </row>
    <row r="94" spans="1:21" ht="15.75" hidden="1" x14ac:dyDescent="0.25">
      <c r="A94"/>
      <c r="B94"/>
      <c r="C94"/>
      <c r="D94"/>
      <c r="E94"/>
      <c r="F94"/>
      <c r="G94"/>
      <c r="I94" t="str">
        <f ca="1">IF($S$109=0,"","F")</f>
        <v/>
      </c>
      <c r="J94" s="692" t="s">
        <v>698</v>
      </c>
      <c r="K94" s="692"/>
      <c r="L94" s="692"/>
      <c r="M94" s="692"/>
      <c r="N94" s="692"/>
      <c r="O94" s="692"/>
      <c r="P94" s="692"/>
      <c r="Q94" s="692"/>
      <c r="R94" s="692"/>
      <c r="S94" s="692"/>
      <c r="U94" s="521" t="str">
        <f>IF(COUNTIF(ORÇAMENTO!$V$15:$V$93,BDI_3.Título)=0,"",IF(OR(Import.BDI.Tipo3="(SELECIONAR)",Import.BDI.Tipo3="",U97&lt;&gt;"",AND($J97&lt;&gt;$A$145,OR(S101="",S102="",AND($J97&lt;&gt;$A$146,OR(S103="",S104="")),S105="",S106=""))),"Falta preencher o BDI 3",""))</f>
        <v/>
      </c>
    </row>
    <row r="95" spans="1:21" hidden="1" x14ac:dyDescent="0.2">
      <c r="A95"/>
      <c r="B95"/>
      <c r="C95"/>
      <c r="D95"/>
      <c r="E95"/>
      <c r="F95"/>
      <c r="G95"/>
      <c r="I95" t="str">
        <f t="shared" ref="I95:I132" ca="1" si="7">IF($S$109=0,"","F")</f>
        <v/>
      </c>
    </row>
    <row r="96" spans="1:21" hidden="1" x14ac:dyDescent="0.2">
      <c r="A96"/>
      <c r="B96"/>
      <c r="C96"/>
      <c r="D96"/>
      <c r="E96"/>
      <c r="F96"/>
      <c r="G96"/>
      <c r="I96" t="str">
        <f t="shared" ca="1" si="7"/>
        <v/>
      </c>
      <c r="J96" s="683" t="s">
        <v>664</v>
      </c>
      <c r="K96" s="683"/>
      <c r="L96" s="683"/>
      <c r="M96" s="683"/>
      <c r="N96" s="683"/>
      <c r="O96" s="683"/>
      <c r="P96" s="683"/>
      <c r="Q96" s="683"/>
      <c r="R96" s="683"/>
      <c r="S96" s="683"/>
    </row>
    <row r="97" spans="1:26" ht="15" hidden="1" x14ac:dyDescent="0.25">
      <c r="A97"/>
      <c r="B97"/>
      <c r="C97"/>
      <c r="D97"/>
      <c r="E97"/>
      <c r="F97"/>
      <c r="G97"/>
      <c r="I97" t="str">
        <f t="shared" ca="1" si="7"/>
        <v/>
      </c>
      <c r="J97" s="689" t="s">
        <v>139</v>
      </c>
      <c r="K97" s="689"/>
      <c r="L97" s="689"/>
      <c r="M97" s="689"/>
      <c r="N97" s="689"/>
      <c r="O97" s="689"/>
      <c r="P97" s="689"/>
      <c r="Q97" s="689"/>
      <c r="R97" s="689"/>
      <c r="S97" s="689"/>
      <c r="T97" s="563" t="str">
        <f ca="1">IF(U97="","","◄")</f>
        <v/>
      </c>
      <c r="U97" s="562" t="str">
        <f ca="1">IF(AND(OR(S109&gt;0,COUNTIF(ORÇAMENTO!$V$15:$V$93,BDI_3.Título)&gt;0),OR(Import.BDI.Tipo3="(SELECIONAR)",Import.BDI.Tipo3="")),"Selecione o Tipo de obra","")</f>
        <v/>
      </c>
    </row>
    <row r="98" spans="1:26" hidden="1" x14ac:dyDescent="0.2">
      <c r="A98"/>
      <c r="B98"/>
      <c r="C98"/>
      <c r="D98"/>
      <c r="E98"/>
      <c r="F98"/>
      <c r="G98"/>
      <c r="I98" t="str">
        <f t="shared" ca="1" si="7"/>
        <v/>
      </c>
    </row>
    <row r="99" spans="1:26" ht="12.75" hidden="1" customHeight="1" x14ac:dyDescent="0.2">
      <c r="A99"/>
      <c r="B99"/>
      <c r="C99"/>
      <c r="D99"/>
      <c r="E99"/>
      <c r="F99"/>
      <c r="G99"/>
      <c r="I99" t="str">
        <f t="shared" ca="1" si="7"/>
        <v/>
      </c>
      <c r="J99" s="691" t="s">
        <v>666</v>
      </c>
      <c r="K99" s="691"/>
      <c r="L99" s="691"/>
      <c r="M99" s="691"/>
      <c r="N99" s="691"/>
      <c r="O99" s="691"/>
      <c r="P99" s="691"/>
      <c r="Q99" s="691"/>
      <c r="R99" s="691" t="s">
        <v>667</v>
      </c>
      <c r="S99" s="690" t="s">
        <v>668</v>
      </c>
      <c r="U99" s="690" t="s">
        <v>669</v>
      </c>
      <c r="V99" s="690"/>
      <c r="W99" s="690"/>
      <c r="X99" s="688" t="s">
        <v>670</v>
      </c>
      <c r="Y99" s="688" t="s">
        <v>671</v>
      </c>
      <c r="Z99" s="688" t="s">
        <v>672</v>
      </c>
    </row>
    <row r="100" spans="1:26" ht="12.75" hidden="1" customHeight="1" x14ac:dyDescent="0.2">
      <c r="A100"/>
      <c r="B100"/>
      <c r="C100"/>
      <c r="D100"/>
      <c r="E100"/>
      <c r="F100"/>
      <c r="G100"/>
      <c r="I100" t="str">
        <f t="shared" ca="1" si="7"/>
        <v/>
      </c>
      <c r="J100" s="691"/>
      <c r="K100" s="691"/>
      <c r="L100" s="691"/>
      <c r="M100" s="691"/>
      <c r="N100" s="691"/>
      <c r="O100" s="691"/>
      <c r="P100" s="691"/>
      <c r="Q100" s="691"/>
      <c r="R100" s="691"/>
      <c r="S100" s="690"/>
      <c r="U100" s="690"/>
      <c r="V100" s="690"/>
      <c r="W100" s="690"/>
      <c r="X100" s="688"/>
      <c r="Y100" s="688"/>
      <c r="Z100" s="688"/>
    </row>
    <row r="101" spans="1:26" ht="15" hidden="1" customHeight="1" x14ac:dyDescent="0.2">
      <c r="A101"/>
      <c r="B101"/>
      <c r="C101"/>
      <c r="D101"/>
      <c r="E101"/>
      <c r="F101"/>
      <c r="G101"/>
      <c r="I101" t="str">
        <f t="shared" ca="1" si="7"/>
        <v/>
      </c>
      <c r="J101" s="693" t="str">
        <f>IF($J$97=$A$146,"Encargos Sociais incidentes sobre a mão de obra","Administração Central")</f>
        <v>Administração Central</v>
      </c>
      <c r="K101" s="693"/>
      <c r="L101" s="693"/>
      <c r="M101" s="693"/>
      <c r="N101" s="693"/>
      <c r="O101" s="693"/>
      <c r="P101" s="693"/>
      <c r="Q101" s="693"/>
      <c r="R101" s="60" t="str">
        <f>IF($J97=$A$146,"K1","AC")</f>
        <v>AC</v>
      </c>
      <c r="S101" s="61"/>
      <c r="T101" s="572" t="str">
        <f ca="1">IF(AND($U$94&lt;&gt;"",$U$97="",R101&lt;&gt;"",S101=""),"◄","")</f>
        <v/>
      </c>
      <c r="U101" s="694" t="str">
        <f ca="1">IFERROR(IF(T101="◄","FALTA PREENCHER",IF(AND(OR(S101&gt;=X101,X101="-"),OR(S101&lt;=Z101,Z101="-")),"OK","FORA DO INTERVALO")),"-")</f>
        <v>-</v>
      </c>
      <c r="V101" s="694"/>
      <c r="W101" s="694"/>
      <c r="X101" s="62" t="e">
        <f>VLOOKUP(CONCATENATE(J97,"-",R101),$C$2:$G$136,3,FALSE)</f>
        <v>#N/A</v>
      </c>
      <c r="Y101" s="62" t="e">
        <f>VLOOKUP(CONCATENATE(J97,"-",R101),$C$2:$G$136,4,FALSE)</f>
        <v>#N/A</v>
      </c>
      <c r="Z101" s="62" t="e">
        <f>VLOOKUP(CONCATENATE(J97,"-",R101),$C$2:$G$136,5,FALSE)</f>
        <v>#N/A</v>
      </c>
    </row>
    <row r="102" spans="1:26" ht="15" hidden="1" customHeight="1" x14ac:dyDescent="0.2">
      <c r="A102"/>
      <c r="B102"/>
      <c r="C102"/>
      <c r="D102"/>
      <c r="E102"/>
      <c r="F102"/>
      <c r="G102"/>
      <c r="I102" t="str">
        <f t="shared" ca="1" si="7"/>
        <v/>
      </c>
      <c r="J102" s="693" t="str">
        <f>IF($J$97=$A$146,"Administração Central da empresa ou consultoria - overhead","Seguro e Garantia")</f>
        <v>Seguro e Garantia</v>
      </c>
      <c r="K102" s="693"/>
      <c r="L102" s="693"/>
      <c r="M102" s="693"/>
      <c r="N102" s="693"/>
      <c r="O102" s="693"/>
      <c r="P102" s="693"/>
      <c r="Q102" s="693"/>
      <c r="R102" s="60" t="str">
        <f>IF($J97=$A$146,"K2","SG")</f>
        <v>SG</v>
      </c>
      <c r="S102" s="61"/>
      <c r="T102" s="572" t="str">
        <f t="shared" ref="T102:T106" ca="1" si="8">IF(AND($U$94&lt;&gt;"",$U$97="",R102&lt;&gt;"",S102=""),"◄","")</f>
        <v/>
      </c>
      <c r="U102" s="694" t="str">
        <f t="shared" ref="U102:U108" ca="1" si="9">IFERROR(IF(T102="◄","FALTA PREENCHER",IF(AND(OR(S102&gt;=X102,X102="-"),OR(S102&lt;=Z102,Z102="-")),"OK","FORA DO INTERVALO")),"-")</f>
        <v>-</v>
      </c>
      <c r="V102" s="694"/>
      <c r="W102" s="694"/>
      <c r="X102" s="62" t="e">
        <f>VLOOKUP(CONCATENATE(J97,"-",R102),$C$2:$G$136,3,FALSE)</f>
        <v>#N/A</v>
      </c>
      <c r="Y102" s="62" t="e">
        <f>VLOOKUP(CONCATENATE(J97,"-",R102),$C$2:$G$136,4,FALSE)</f>
        <v>#N/A</v>
      </c>
      <c r="Z102" s="62" t="e">
        <f>VLOOKUP(CONCATENATE(J97,"-",R102),$C$2:$G$136,5,FALSE)</f>
        <v>#N/A</v>
      </c>
    </row>
    <row r="103" spans="1:26" ht="15" hidden="1" customHeight="1" x14ac:dyDescent="0.2">
      <c r="A103"/>
      <c r="B103"/>
      <c r="C103"/>
      <c r="D103"/>
      <c r="E103"/>
      <c r="F103"/>
      <c r="G103"/>
      <c r="I103" t="str">
        <f t="shared" ca="1" si="7"/>
        <v/>
      </c>
      <c r="J103" s="693" t="s">
        <v>942</v>
      </c>
      <c r="K103" s="693"/>
      <c r="L103" s="693"/>
      <c r="M103" s="693"/>
      <c r="N103" s="693"/>
      <c r="O103" s="693"/>
      <c r="P103" s="693"/>
      <c r="Q103" s="693"/>
      <c r="R103" s="60" t="str">
        <f>IF($J97=$A$146,"","R")</f>
        <v>R</v>
      </c>
      <c r="S103" s="61"/>
      <c r="T103" s="572" t="str">
        <f t="shared" ca="1" si="8"/>
        <v/>
      </c>
      <c r="U103" s="694" t="str">
        <f t="shared" ca="1" si="9"/>
        <v>-</v>
      </c>
      <c r="V103" s="694"/>
      <c r="W103" s="694"/>
      <c r="X103" s="62" t="e">
        <f>VLOOKUP(CONCATENATE(J97,"-",R103),$C$2:$G$136,3,FALSE)</f>
        <v>#N/A</v>
      </c>
      <c r="Y103" s="62" t="e">
        <f>VLOOKUP(CONCATENATE(J97,"-",R103),$C$2:$G$136,4,FALSE)</f>
        <v>#N/A</v>
      </c>
      <c r="Z103" s="62" t="e">
        <f>VLOOKUP(CONCATENATE(J97,"-",R103),$C$2:$G$136,5,FALSE)</f>
        <v>#N/A</v>
      </c>
    </row>
    <row r="104" spans="1:26" ht="15" hidden="1" customHeight="1" x14ac:dyDescent="0.2">
      <c r="A104"/>
      <c r="B104"/>
      <c r="C104"/>
      <c r="D104"/>
      <c r="E104"/>
      <c r="F104"/>
      <c r="G104"/>
      <c r="I104" t="str">
        <f t="shared" ca="1" si="7"/>
        <v/>
      </c>
      <c r="J104" s="693" t="s">
        <v>943</v>
      </c>
      <c r="K104" s="693"/>
      <c r="L104" s="693"/>
      <c r="M104" s="693"/>
      <c r="N104" s="693"/>
      <c r="O104" s="693"/>
      <c r="P104" s="693"/>
      <c r="Q104" s="693"/>
      <c r="R104" s="60" t="str">
        <f>IF($J97=$A$146,"","DF")</f>
        <v>DF</v>
      </c>
      <c r="S104" s="61"/>
      <c r="T104" s="572" t="str">
        <f t="shared" ca="1" si="8"/>
        <v/>
      </c>
      <c r="U104" s="694" t="str">
        <f t="shared" ca="1" si="9"/>
        <v>-</v>
      </c>
      <c r="V104" s="694"/>
      <c r="W104" s="694"/>
      <c r="X104" s="62" t="e">
        <f>VLOOKUP(CONCATENATE(J97,"-",R104),$C$2:$G$136,3,FALSE)</f>
        <v>#N/A</v>
      </c>
      <c r="Y104" s="62" t="e">
        <f>VLOOKUP(CONCATENATE(J97,"-",R104),$C$2:$G$136,4,FALSE)</f>
        <v>#N/A</v>
      </c>
      <c r="Z104" s="62" t="e">
        <f>VLOOKUP(CONCATENATE(J97,"-",R104),$C$2:$G$136,5,FALSE)</f>
        <v>#N/A</v>
      </c>
    </row>
    <row r="105" spans="1:26" ht="15" hidden="1" customHeight="1" x14ac:dyDescent="0.2">
      <c r="A105"/>
      <c r="B105"/>
      <c r="C105"/>
      <c r="D105"/>
      <c r="E105"/>
      <c r="F105"/>
      <c r="G105"/>
      <c r="I105" t="str">
        <f t="shared" ca="1" si="7"/>
        <v/>
      </c>
      <c r="J105" s="693" t="str">
        <f>IF($J$57=$A$146,"Margem bruta da empresa de consultoria","Lucro")</f>
        <v>Lucro</v>
      </c>
      <c r="K105" s="693"/>
      <c r="L105" s="693"/>
      <c r="M105" s="693"/>
      <c r="N105" s="693"/>
      <c r="O105" s="693"/>
      <c r="P105" s="693"/>
      <c r="Q105" s="693"/>
      <c r="R105" s="60" t="str">
        <f>IF($J97=$A$146,"K3","L")</f>
        <v>L</v>
      </c>
      <c r="S105" s="61"/>
      <c r="T105" s="572" t="str">
        <f t="shared" ca="1" si="8"/>
        <v/>
      </c>
      <c r="U105" s="694" t="str">
        <f t="shared" ca="1" si="9"/>
        <v>-</v>
      </c>
      <c r="V105" s="694"/>
      <c r="W105" s="694"/>
      <c r="X105" s="62" t="e">
        <f>VLOOKUP(CONCATENATE(J97,"-",R105),$C$2:$G$136,3,FALSE)</f>
        <v>#N/A</v>
      </c>
      <c r="Y105" s="62" t="e">
        <f>VLOOKUP(CONCATENATE(J97,"-",R105),$C$2:$G$136,4,FALSE)</f>
        <v>#N/A</v>
      </c>
      <c r="Z105" s="62" t="e">
        <f>VLOOKUP(CONCATENATE(J97,"-",R105),$C$2:$G$136,5,FALSE)</f>
        <v>#N/A</v>
      </c>
    </row>
    <row r="106" spans="1:26" ht="15" hidden="1" customHeight="1" x14ac:dyDescent="0.2">
      <c r="A106"/>
      <c r="B106"/>
      <c r="C106"/>
      <c r="D106"/>
      <c r="E106"/>
      <c r="F106"/>
      <c r="G106"/>
      <c r="I106" t="str">
        <f t="shared" ca="1" si="7"/>
        <v/>
      </c>
      <c r="J106" s="693" t="s">
        <v>675</v>
      </c>
      <c r="K106" s="693"/>
      <c r="L106" s="693"/>
      <c r="M106" s="693"/>
      <c r="N106" s="693"/>
      <c r="O106" s="693"/>
      <c r="P106" s="693"/>
      <c r="Q106" s="693"/>
      <c r="R106" s="60" t="s">
        <v>456</v>
      </c>
      <c r="S106" s="61"/>
      <c r="T106" s="572" t="str">
        <f t="shared" ca="1" si="8"/>
        <v/>
      </c>
      <c r="U106" s="694" t="str">
        <f t="shared" ca="1" si="9"/>
        <v>FORA DO INTERVALO</v>
      </c>
      <c r="V106" s="694"/>
      <c r="W106" s="694"/>
      <c r="X106" s="62">
        <f>Y106</f>
        <v>3.6499999999999998E-2</v>
      </c>
      <c r="Y106" s="62">
        <f>IF($J97=$A$145,"-",3.65%)</f>
        <v>3.6499999999999998E-2</v>
      </c>
      <c r="Z106" s="62">
        <f>Y106</f>
        <v>3.6499999999999998E-2</v>
      </c>
    </row>
    <row r="107" spans="1:26" ht="15" hidden="1" customHeight="1" x14ac:dyDescent="0.2">
      <c r="A107"/>
      <c r="B107"/>
      <c r="C107"/>
      <c r="D107"/>
      <c r="E107"/>
      <c r="F107"/>
      <c r="G107"/>
      <c r="I107" t="str">
        <f t="shared" ca="1" si="7"/>
        <v/>
      </c>
      <c r="J107" s="693" t="s">
        <v>676</v>
      </c>
      <c r="K107" s="693"/>
      <c r="L107" s="693"/>
      <c r="M107" s="693"/>
      <c r="N107" s="693"/>
      <c r="O107" s="693"/>
      <c r="P107" s="693"/>
      <c r="Q107" s="693"/>
      <c r="R107" s="60" t="s">
        <v>677</v>
      </c>
      <c r="S107" s="62">
        <f ca="1">IF(AND($J97&lt;&gt;$A$145,COUNTA(OFFSET(S100,1,0,6))&gt;0),$R$11*$R$10,0)</f>
        <v>0</v>
      </c>
      <c r="U107" s="694" t="str">
        <f t="shared" ca="1" si="9"/>
        <v>OK</v>
      </c>
      <c r="V107" s="694"/>
      <c r="W107" s="694"/>
      <c r="X107" s="62">
        <v>0</v>
      </c>
      <c r="Y107" s="62">
        <v>2.5000000000000001E-2</v>
      </c>
      <c r="Z107" s="62">
        <v>0.05</v>
      </c>
    </row>
    <row r="108" spans="1:26" ht="15" hidden="1" customHeight="1" x14ac:dyDescent="0.2">
      <c r="A108"/>
      <c r="B108"/>
      <c r="C108"/>
      <c r="D108"/>
      <c r="E108"/>
      <c r="F108"/>
      <c r="G108"/>
      <c r="I108" t="str">
        <f t="shared" ca="1" si="7"/>
        <v/>
      </c>
      <c r="J108" s="693" t="s">
        <v>678</v>
      </c>
      <c r="K108" s="693"/>
      <c r="L108" s="693"/>
      <c r="M108" s="693"/>
      <c r="N108" s="693"/>
      <c r="O108" s="693"/>
      <c r="P108" s="693"/>
      <c r="Q108" s="693"/>
      <c r="R108" s="60" t="s">
        <v>679</v>
      </c>
      <c r="S108" s="62" cm="1">
        <f t="array" aca="1" ref="S108" ca="1">IF(BDI.Opcao&lt;&gt;"Desonerado",0,IF(AND($J97&lt;&gt;$A$145,COUNTA(OFFSET(S100,1,0,6))&gt;0),IF(YEAR(Import.DataBase)&lt;2025,4.5%,IF(YEAR(Import.DataBase)=2025,3.6%,IF(YEAR(Import.DataBase)=2026,2.7%,IF(YEAR(Import.DataBase)=2027,1.8%,0%)))),0%))</f>
        <v>0</v>
      </c>
      <c r="U108" s="694" t="str">
        <f t="shared" ca="1" si="9"/>
        <v>OK</v>
      </c>
      <c r="V108" s="694"/>
      <c r="W108" s="694"/>
      <c r="X108" s="63">
        <f ca="1">$S108</f>
        <v>0</v>
      </c>
      <c r="Y108" s="63">
        <f ca="1">$S108</f>
        <v>0</v>
      </c>
      <c r="Z108" s="63">
        <f ca="1">$S108</f>
        <v>0</v>
      </c>
    </row>
    <row r="109" spans="1:26" ht="15" hidden="1" customHeight="1" x14ac:dyDescent="0.2">
      <c r="A109"/>
      <c r="B109"/>
      <c r="C109"/>
      <c r="D109"/>
      <c r="E109"/>
      <c r="F109"/>
      <c r="G109"/>
      <c r="I109" t="str">
        <f t="shared" ca="1" si="7"/>
        <v/>
      </c>
      <c r="J109" s="693" t="s">
        <v>680</v>
      </c>
      <c r="K109" s="693"/>
      <c r="L109" s="693"/>
      <c r="M109" s="693"/>
      <c r="N109" s="693"/>
      <c r="O109" s="693"/>
      <c r="P109" s="693"/>
      <c r="Q109" s="693"/>
      <c r="R109" s="64" t="s">
        <v>656</v>
      </c>
      <c r="S109" s="62">
        <f ca="1">IF($J97=$A$145,0,ROUND((((1+S101+S102+S103)*(1+S104)*(1+S105)/(1-(S106+S107)))-1),4))</f>
        <v>0</v>
      </c>
      <c r="U109" s="690" t="str">
        <f ca="1">IFERROR(IF(AND(OR(S109&gt;=X109,X109="-"),OR(S109&lt;=Z109,Z109="-")),"OK","FORA DO INTERVALO"),IF(S109=0,"OK","Selecione o Tipo de obra"))</f>
        <v>OK</v>
      </c>
      <c r="V109" s="690"/>
      <c r="W109" s="690"/>
      <c r="X109" s="62" t="e">
        <f>IF($J97=$A$145,0,VLOOKUP(CONCATENATE($J97,"-",$R109),$C$2:$G$136,3,FALSE))</f>
        <v>#N/A</v>
      </c>
      <c r="Y109" s="62" t="e">
        <f>IF($J97=$A$145,0,VLOOKUP(CONCATENATE($J97,"-",$R109),$C$2:$G$136,4,FALSE))</f>
        <v>#N/A</v>
      </c>
      <c r="Z109" s="62" t="e">
        <f>IF($J97=$A$145,0,VLOOKUP(CONCATENATE($J97,"-",$R109),$C$2:$G$136,5,FALSE))</f>
        <v>#N/A</v>
      </c>
    </row>
    <row r="110" spans="1:26" ht="15" hidden="1" customHeight="1" x14ac:dyDescent="0.2">
      <c r="A110"/>
      <c r="B110"/>
      <c r="C110"/>
      <c r="D110"/>
      <c r="E110"/>
      <c r="F110"/>
      <c r="G110"/>
      <c r="I110" t="str">
        <f t="shared" ca="1" si="7"/>
        <v/>
      </c>
      <c r="J110" s="697" t="s">
        <v>681</v>
      </c>
      <c r="K110" s="697"/>
      <c r="L110" s="697"/>
      <c r="M110" s="697"/>
      <c r="N110" s="697"/>
      <c r="O110" s="697"/>
      <c r="P110" s="697"/>
      <c r="Q110" s="697"/>
      <c r="R110" s="65" t="s">
        <v>682</v>
      </c>
      <c r="S110" s="66">
        <f ca="1">IF($J97=$A$145,0,ROUND((((1+S101+S102+S103)*(1+S104)*(1+S105)/(1-(S106+S107+S108)))-1),4))</f>
        <v>0</v>
      </c>
    </row>
    <row r="111" spans="1:26" ht="15" hidden="1" customHeight="1" x14ac:dyDescent="0.2">
      <c r="A111"/>
      <c r="B111"/>
      <c r="C111"/>
      <c r="D111"/>
      <c r="E111"/>
      <c r="F111"/>
      <c r="G111"/>
      <c r="I111" t="str">
        <f t="shared" ca="1" si="7"/>
        <v/>
      </c>
    </row>
    <row r="112" spans="1:26" ht="15.75" hidden="1" x14ac:dyDescent="0.2">
      <c r="A112"/>
      <c r="B112"/>
      <c r="C112"/>
      <c r="D112"/>
      <c r="E112"/>
      <c r="F112"/>
      <c r="G112"/>
      <c r="I112" t="str">
        <f t="shared" ca="1" si="7"/>
        <v/>
      </c>
      <c r="J112" s="67" t="str">
        <f ca="1">IF(U109&lt;&gt;"ok","X","")</f>
        <v/>
      </c>
      <c r="K112" s="698" t="str">
        <f ca="1">IF(U109&lt;&gt;"ok","Anexo: Relatório Técnico Circunstanciado justificando a adoção do percentual de cada parcela do BDI.","")</f>
        <v/>
      </c>
      <c r="L112" s="698"/>
      <c r="M112" s="698"/>
      <c r="N112" s="698"/>
      <c r="O112" s="698"/>
      <c r="P112" s="698"/>
      <c r="Q112" s="698"/>
      <c r="R112" s="698"/>
      <c r="S112" s="698"/>
    </row>
    <row r="113" spans="1:19" hidden="1" x14ac:dyDescent="0.2">
      <c r="A113"/>
      <c r="B113"/>
      <c r="C113"/>
      <c r="D113"/>
      <c r="E113"/>
      <c r="F113"/>
      <c r="G113"/>
      <c r="I113" t="str">
        <f t="shared" ca="1" si="7"/>
        <v/>
      </c>
    </row>
    <row r="114" spans="1:19" hidden="1" x14ac:dyDescent="0.2">
      <c r="A114"/>
      <c r="B114"/>
      <c r="C114"/>
      <c r="D114"/>
      <c r="E114"/>
      <c r="F114"/>
      <c r="G114"/>
      <c r="I114" t="str">
        <f t="shared" ca="1" si="7"/>
        <v/>
      </c>
      <c r="J114" s="699" t="s">
        <v>683</v>
      </c>
      <c r="K114" s="699"/>
      <c r="L114" s="699"/>
      <c r="M114" s="699"/>
      <c r="N114" s="699"/>
      <c r="O114" s="699"/>
      <c r="P114" s="699"/>
      <c r="Q114" s="699"/>
      <c r="R114" s="699"/>
      <c r="S114" s="699"/>
    </row>
    <row r="115" spans="1:19" ht="15.75" hidden="1" x14ac:dyDescent="0.25">
      <c r="A115"/>
      <c r="B115"/>
      <c r="C115"/>
      <c r="D115"/>
      <c r="E115"/>
      <c r="F115"/>
      <c r="G115"/>
      <c r="I115" t="str">
        <f t="shared" ca="1" si="7"/>
        <v/>
      </c>
      <c r="J115" s="68"/>
      <c r="K115" s="68"/>
      <c r="L115" s="68"/>
      <c r="M115" s="700" t="s">
        <v>684</v>
      </c>
      <c r="N115" s="706" t="str">
        <f>IF($J97=$A$146,"(1+K1+K2)*(1+K3)","(1+AC + S + R + G)*(1 + DF)*(1+L)")</f>
        <v>(1+AC + S + R + G)*(1 + DF)*(1+L)</v>
      </c>
      <c r="O115" s="706"/>
      <c r="P115" s="706"/>
      <c r="Q115" s="707" t="s">
        <v>685</v>
      </c>
      <c r="R115" s="68"/>
      <c r="S115" s="68"/>
    </row>
    <row r="116" spans="1:19" ht="15.75" hidden="1" x14ac:dyDescent="0.2">
      <c r="A116"/>
      <c r="B116"/>
      <c r="C116"/>
      <c r="D116"/>
      <c r="E116"/>
      <c r="F116"/>
      <c r="G116"/>
      <c r="I116" t="str">
        <f t="shared" ca="1" si="7"/>
        <v/>
      </c>
      <c r="J116" s="68"/>
      <c r="K116" s="68"/>
      <c r="L116" s="68"/>
      <c r="M116" s="700"/>
      <c r="N116" s="695" t="s">
        <v>686</v>
      </c>
      <c r="O116" s="695"/>
      <c r="P116" s="695"/>
      <c r="Q116" s="707"/>
      <c r="R116" s="68"/>
      <c r="S116" s="68"/>
    </row>
    <row r="117" spans="1:19" ht="15" hidden="1" customHeight="1" x14ac:dyDescent="0.2">
      <c r="A117"/>
      <c r="B117"/>
      <c r="C117"/>
      <c r="D117"/>
      <c r="E117"/>
      <c r="F117"/>
      <c r="G117"/>
      <c r="I117" t="str">
        <f t="shared" ca="1" si="7"/>
        <v/>
      </c>
      <c r="J117" s="68"/>
      <c r="K117" s="68"/>
      <c r="L117" s="68"/>
      <c r="M117" s="69"/>
      <c r="N117" s="71"/>
      <c r="O117" s="71"/>
      <c r="P117" s="71"/>
      <c r="Q117" s="70"/>
      <c r="R117" s="68"/>
      <c r="S117" s="68"/>
    </row>
    <row r="118" spans="1:19" ht="50.1" hidden="1" customHeight="1" x14ac:dyDescent="0.2">
      <c r="A118"/>
      <c r="B118"/>
      <c r="C118"/>
      <c r="D118"/>
      <c r="E118"/>
      <c r="F118"/>
      <c r="G118"/>
      <c r="I118" t="str">
        <f t="shared" ca="1" si="7"/>
        <v/>
      </c>
      <c r="J11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50%, com a respectiva alíquota de 5%.</v>
      </c>
      <c r="K118" s="696"/>
      <c r="L118" s="696"/>
      <c r="M118" s="696"/>
      <c r="N118" s="696"/>
      <c r="O118" s="696"/>
      <c r="P118" s="696"/>
      <c r="Q118" s="696"/>
      <c r="R118" s="696"/>
      <c r="S118" s="696"/>
    </row>
    <row r="119" spans="1:19" hidden="1" x14ac:dyDescent="0.2">
      <c r="A119"/>
      <c r="B119"/>
      <c r="C119"/>
      <c r="D119"/>
      <c r="E119"/>
      <c r="F119"/>
      <c r="G119"/>
      <c r="I119" t="str">
        <f t="shared" ca="1" si="7"/>
        <v/>
      </c>
    </row>
    <row r="120" spans="1:19" ht="50.1" hidden="1" customHeight="1" x14ac:dyDescent="0.2">
      <c r="A120"/>
      <c r="B120"/>
      <c r="C120"/>
      <c r="D120"/>
      <c r="E120"/>
      <c r="F120"/>
      <c r="G120"/>
      <c r="I120" t="str">
        <f t="shared" ca="1" si="7"/>
        <v/>
      </c>
      <c r="J120" s="696"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96"/>
      <c r="L120" s="696"/>
      <c r="M120" s="696"/>
      <c r="N120" s="696"/>
      <c r="O120" s="696"/>
      <c r="P120" s="696"/>
      <c r="Q120" s="696"/>
      <c r="R120" s="696"/>
      <c r="S120" s="696"/>
    </row>
    <row r="121" spans="1:19" hidden="1" x14ac:dyDescent="0.2">
      <c r="A121"/>
      <c r="B121"/>
      <c r="C121"/>
      <c r="D121"/>
      <c r="E121"/>
      <c r="F121"/>
      <c r="G121"/>
      <c r="I121" t="str">
        <f t="shared" ca="1" si="7"/>
        <v/>
      </c>
    </row>
    <row r="122" spans="1:19" hidden="1" x14ac:dyDescent="0.2">
      <c r="A122"/>
      <c r="B122"/>
      <c r="C122"/>
      <c r="D122"/>
      <c r="E122"/>
      <c r="F122"/>
      <c r="G122"/>
      <c r="I122" t="str">
        <f t="shared" ca="1" si="7"/>
        <v/>
      </c>
      <c r="J122" s="49" t="s">
        <v>689</v>
      </c>
    </row>
    <row r="123" spans="1:19" ht="110.1" hidden="1" customHeight="1" x14ac:dyDescent="0.2">
      <c r="A123"/>
      <c r="B123"/>
      <c r="C123"/>
      <c r="D123"/>
      <c r="E123"/>
      <c r="F123"/>
      <c r="G123"/>
      <c r="I123" t="str">
        <f t="shared" ca="1" si="7"/>
        <v/>
      </c>
      <c r="J123" s="708"/>
      <c r="K123" s="708"/>
      <c r="L123" s="708"/>
      <c r="M123" s="708"/>
      <c r="N123" s="708"/>
      <c r="O123" s="708"/>
      <c r="P123" s="708"/>
      <c r="Q123" s="708"/>
      <c r="R123" s="708"/>
      <c r="S123" s="708"/>
    </row>
    <row r="124" spans="1:19" hidden="1" x14ac:dyDescent="0.2">
      <c r="A124"/>
      <c r="B124"/>
      <c r="C124"/>
      <c r="D124"/>
      <c r="E124"/>
      <c r="F124"/>
      <c r="G124"/>
      <c r="I124" t="str">
        <f t="shared" ca="1" si="7"/>
        <v/>
      </c>
    </row>
    <row r="125" spans="1:19" hidden="1" x14ac:dyDescent="0.2">
      <c r="A125"/>
      <c r="B125"/>
      <c r="C125"/>
      <c r="D125"/>
      <c r="E125"/>
      <c r="F125"/>
      <c r="G125"/>
      <c r="I125" t="str">
        <f t="shared" ca="1" si="7"/>
        <v/>
      </c>
      <c r="J125" s="702" t="str">
        <f>Import.Município</f>
        <v>BURITIZEIRO-MG</v>
      </c>
      <c r="K125" s="702"/>
      <c r="L125" s="702"/>
      <c r="M125" s="702"/>
      <c r="P125" s="703">
        <f>DADOS!$C$25</f>
        <v>46107</v>
      </c>
      <c r="Q125" s="703"/>
      <c r="R125" s="703"/>
      <c r="S125" s="703"/>
    </row>
    <row r="126" spans="1:19" hidden="1" x14ac:dyDescent="0.2">
      <c r="A126"/>
      <c r="B126"/>
      <c r="C126"/>
      <c r="D126"/>
      <c r="E126"/>
      <c r="F126"/>
      <c r="G126"/>
      <c r="I126" t="str">
        <f t="shared" ca="1" si="7"/>
        <v/>
      </c>
      <c r="J126" s="704" t="s">
        <v>693</v>
      </c>
      <c r="K126" s="704"/>
      <c r="L126" s="704"/>
      <c r="M126" s="704"/>
      <c r="O126" s="73"/>
      <c r="P126" s="74" t="s">
        <v>694</v>
      </c>
      <c r="Q126" s="75"/>
      <c r="R126" s="75"/>
      <c r="S126" s="75"/>
    </row>
    <row r="127" spans="1:19" ht="30" hidden="1" customHeight="1" x14ac:dyDescent="0.2">
      <c r="A127"/>
      <c r="B127"/>
      <c r="C127"/>
      <c r="D127"/>
      <c r="E127"/>
      <c r="F127"/>
      <c r="G127"/>
      <c r="I127" t="str">
        <f t="shared" ca="1" si="7"/>
        <v/>
      </c>
    </row>
    <row r="128" spans="1:19" ht="15" hidden="1" x14ac:dyDescent="0.2">
      <c r="A128"/>
      <c r="B128"/>
      <c r="C128"/>
      <c r="D128"/>
      <c r="E128"/>
      <c r="F128"/>
      <c r="G128"/>
      <c r="I128" t="str">
        <f t="shared" ca="1" si="7"/>
        <v/>
      </c>
      <c r="J128" s="705"/>
      <c r="K128" s="705"/>
      <c r="L128" s="705"/>
      <c r="M128" s="705"/>
      <c r="N128" s="76"/>
    </row>
    <row r="129" spans="1:14" hidden="1" x14ac:dyDescent="0.2">
      <c r="A129"/>
      <c r="B129"/>
      <c r="C129"/>
      <c r="D129"/>
      <c r="E129"/>
      <c r="F129"/>
      <c r="G129"/>
      <c r="I129" t="str">
        <f t="shared" ca="1" si="7"/>
        <v/>
      </c>
      <c r="J129" s="701" t="s">
        <v>696</v>
      </c>
      <c r="K129" s="701"/>
      <c r="L129" s="701"/>
      <c r="M129" s="701"/>
    </row>
    <row r="130" spans="1:14" ht="14.25" hidden="1" x14ac:dyDescent="0.2">
      <c r="A130"/>
      <c r="B130"/>
      <c r="C130"/>
      <c r="D130"/>
      <c r="E130"/>
      <c r="F130"/>
      <c r="G130"/>
      <c r="I130" t="str">
        <f t="shared" ca="1" si="7"/>
        <v/>
      </c>
      <c r="J130" s="77" t="s">
        <v>240</v>
      </c>
      <c r="K130" s="78" t="str">
        <f t="array" ref="K130:K132">Import.RespOrçamento</f>
        <v>RAFAEL LACERDA MAIA</v>
      </c>
      <c r="L130" s="79"/>
      <c r="M130" s="79"/>
      <c r="N130" s="76"/>
    </row>
    <row r="131" spans="1:14" ht="14.25" hidden="1" x14ac:dyDescent="0.2">
      <c r="A131"/>
      <c r="B131"/>
      <c r="C131"/>
      <c r="D131"/>
      <c r="E131"/>
      <c r="F131"/>
      <c r="G131"/>
      <c r="I131" t="str">
        <f t="shared" ca="1" si="7"/>
        <v/>
      </c>
      <c r="J131" s="77" t="s">
        <v>243</v>
      </c>
      <c r="K131" s="78" t="str">
        <v>173.269/D</v>
      </c>
      <c r="L131" s="79"/>
      <c r="M131" s="79"/>
      <c r="N131" s="76"/>
    </row>
    <row r="132" spans="1:14" ht="14.25" hidden="1" x14ac:dyDescent="0.2">
      <c r="A132"/>
      <c r="B132"/>
      <c r="C132"/>
      <c r="D132"/>
      <c r="E132"/>
      <c r="F132"/>
      <c r="G132"/>
      <c r="I132" t="str">
        <f t="shared" ca="1" si="7"/>
        <v/>
      </c>
      <c r="J132" s="77" t="s">
        <v>246</v>
      </c>
      <c r="K132" s="78" t="str">
        <v>MG20254479691</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7GletuqvQ1AtYLurtWakQw6j0JlYExP8GlDWx1Y03cOKONKh29tsN2H/44uECNYsZCldOMPk5cqi6iClYE4+Ng==" saltValue="GkXkKAXaDoYr/y7L+De+Rg==" spinCount="100000" sheet="1" objects="1" scenarios="1" autoFilter="0"/>
  <autoFilter ref="I11:I132" xr:uid="{00000000-0009-0000-0000-000003000000}">
    <filterColumn colId="0">
      <filters>
        <filter val="F"/>
      </filters>
    </filterColumn>
  </autoFilter>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556" priority="11" stopIfTrue="1">
      <formula>DESONERACAO="não"</formula>
    </cfRule>
  </conditionalFormatting>
  <conditionalFormatting sqref="U69:W69 U29:W29 U109:W109">
    <cfRule type="expression" dxfId="555" priority="12" stopIfTrue="1">
      <formula>AND(U29&lt;&gt;"OK",U29&lt;&gt;"-",U29&lt;&gt;"")</formula>
    </cfRule>
    <cfRule type="cellIs" dxfId="554" priority="13" stopIfTrue="1" operator="equal">
      <formula>"OK"</formula>
    </cfRule>
  </conditionalFormatting>
  <conditionalFormatting sqref="S29 S69 S109">
    <cfRule type="expression" dxfId="553" priority="14" stopIfTrue="1">
      <formula>DESONERACAO="não"</formula>
    </cfRule>
  </conditionalFormatting>
  <conditionalFormatting sqref="J23:S24">
    <cfRule type="expression" dxfId="552" priority="9">
      <formula>$J$17=$A$146</formula>
    </cfRule>
  </conditionalFormatting>
  <conditionalFormatting sqref="S21:S26">
    <cfRule type="expression" dxfId="551" priority="8">
      <formula>$J$17=$A$145</formula>
    </cfRule>
  </conditionalFormatting>
  <conditionalFormatting sqref="J63:S64">
    <cfRule type="expression" dxfId="550" priority="7">
      <formula>$J$57=$A$146</formula>
    </cfRule>
  </conditionalFormatting>
  <conditionalFormatting sqref="S61:S66">
    <cfRule type="expression" dxfId="549" priority="6">
      <formula>$J$57=$A$145</formula>
    </cfRule>
  </conditionalFormatting>
  <conditionalFormatting sqref="J103:S104">
    <cfRule type="expression" dxfId="548" priority="5">
      <formula>$J$97=$A$146</formula>
    </cfRule>
  </conditionalFormatting>
  <conditionalFormatting sqref="S101:S106">
    <cfRule type="expression" dxfId="547" priority="4">
      <formula>$J$97=$A$145</formula>
    </cfRule>
  </conditionalFormatting>
  <conditionalFormatting sqref="U21:W28">
    <cfRule type="cellIs" dxfId="546" priority="3" operator="notEqual">
      <formula>"OK"</formula>
    </cfRule>
  </conditionalFormatting>
  <conditionalFormatting sqref="U61:W68">
    <cfRule type="cellIs" dxfId="545" priority="2" operator="notEqual">
      <formula>"OK"</formula>
    </cfRule>
  </conditionalFormatting>
  <conditionalFormatting sqref="U101:W108">
    <cfRule type="cellIs" dxfId="544"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filterMode="1">
    <pageSetUpPr fitToPage="1"/>
  </sheetPr>
  <dimension ref="A1:AN65623"/>
  <sheetViews>
    <sheetView showGridLines="0" tabSelected="1" zoomScale="80" zoomScaleNormal="80" zoomScaleSheetLayoutView="90" workbookViewId="0">
      <pane xSplit="19" ySplit="15" topLeftCell="T16"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OGU</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683" t="s">
        <v>650</v>
      </c>
      <c r="P4" s="683"/>
      <c r="Q4" s="87" t="s">
        <v>707</v>
      </c>
      <c r="R4" s="87" t="s">
        <v>652</v>
      </c>
      <c r="S4" s="683" t="s">
        <v>708</v>
      </c>
      <c r="T4" s="683"/>
      <c r="U4" s="683"/>
      <c r="V4" s="683"/>
      <c r="W4" s="683"/>
      <c r="X4" s="683"/>
      <c r="Y4" s="77"/>
      <c r="Z4" s="77"/>
      <c r="AA4" s="77"/>
      <c r="AB4" s="77"/>
    </row>
    <row r="5" spans="1:40" ht="12.75" customHeight="1" x14ac:dyDescent="0.2">
      <c r="A5" s="450">
        <f ca="1">MAX($C$15:$C$93)</f>
        <v>3</v>
      </c>
      <c r="B5" s="7"/>
      <c r="C5" s="7"/>
      <c r="D5" s="7"/>
      <c r="E5" s="7"/>
      <c r="F5" s="663">
        <f ca="1">IF(BDI.Opcao="DESONERADO",BDI!$S$30,BDI!$S$29)</f>
        <v>0.2485</v>
      </c>
      <c r="G5" s="663">
        <f ca="1">IF(BDI.Opcao="DESONERADO",BDI!$S$70,BDI!$S$69)</f>
        <v>0.1444</v>
      </c>
      <c r="H5" s="663">
        <f ca="1">IF(BDI.Opcao="DESONERADO",BDI!$S$110,BDI!$S$109)</f>
        <v>0</v>
      </c>
      <c r="I5" s="7"/>
      <c r="O5" s="680" t="str">
        <f>Import.CR</f>
        <v>1099388-52</v>
      </c>
      <c r="P5" s="680"/>
      <c r="Q5" s="90" t="str" cm="1">
        <f t="array" ref="Q5">Import.TransfereGOV</f>
        <v>974020</v>
      </c>
      <c r="R5" s="91" t="str">
        <f>Import.Proponente</f>
        <v>MINISTÉRIO DAS CIDADES</v>
      </c>
      <c r="S5" s="680" t="str">
        <f>Import.Apelido</f>
        <v>USINA DE TRIAGEM MECANIZADA</v>
      </c>
      <c r="T5" s="680"/>
      <c r="U5" s="680"/>
      <c r="V5" s="680"/>
      <c r="W5" s="680"/>
      <c r="X5" s="680"/>
      <c r="Y5" s="92"/>
      <c r="Z5" s="92"/>
      <c r="AA5" s="92"/>
      <c r="AB5" s="92"/>
      <c r="AE5" s="720" t="s">
        <v>709</v>
      </c>
      <c r="AF5" s="720"/>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683" t="s">
        <v>710</v>
      </c>
      <c r="P7" s="683"/>
      <c r="Q7" s="87" t="s">
        <v>711</v>
      </c>
      <c r="R7" s="87" t="str" cm="1">
        <f t="array" ref="R7">IF(TIPOORCAMENTO="Licitado","NOME DA EMPRESA","DESCRIÇÃO DO LOTE")</f>
        <v>DESCRIÇÃO DO LOTE</v>
      </c>
      <c r="S7" s="721" t="str" cm="1">
        <f t="array" ref="S7">IF(TIPOORCAMENTO="Licitado","REGIME DE EXECUÇÃO","MUNICÍPIO / UF")</f>
        <v>MUNICÍPIO / UF</v>
      </c>
      <c r="T7" s="721"/>
      <c r="U7" s="721"/>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IF(COUNTIFS($L$15:$L$93,"F",$AC$15:$AC$93,"JUSTIFICAR BDI")&gt;0,"JUSTIFICAR BDI","")</f>
        <v/>
      </c>
      <c r="AE7" s="88" t="s">
        <v>712</v>
      </c>
      <c r="AF7" s="89" t="b">
        <v>1</v>
      </c>
      <c r="AJ7" s="724" t="s">
        <v>713</v>
      </c>
      <c r="AL7" s="722" t="s">
        <v>714</v>
      </c>
    </row>
    <row r="8" spans="1:40" ht="12.75" customHeight="1" x14ac:dyDescent="0.2">
      <c r="A8" s="7"/>
      <c r="B8" s="7"/>
      <c r="C8" s="7"/>
      <c r="E8" s="506" t="s">
        <v>996</v>
      </c>
      <c r="F8" s="718" t="str" cm="1">
        <f t="array" aca="1" ref="F8" ca="1">IF(LEN(INFO("release"))&gt;5,"'Referência "&amp;Excel_BuiltIn_Database&amp;".xlsm'#Banco.$a5:$a$65536","'[Referência "&amp;Excel_BuiltIn_Database&amp;".xlsm]Banco'!$a5:$a$65536")</f>
        <v>'[Referência 09-2025.xlsm]Banco'!$a5:$a$65536</v>
      </c>
      <c r="G8" s="718"/>
      <c r="H8" s="718"/>
      <c r="I8" s="718"/>
      <c r="J8" s="718"/>
      <c r="K8" s="718"/>
      <c r="L8" s="709" t="s">
        <v>655</v>
      </c>
      <c r="O8" s="680" t="str" cm="1">
        <f t="array" aca="1" ref="O8" ca="1">IF(ISERROR(INDIRECT($F$9)),"(N/D: 'Referência "&amp;Excel_BuiltIn_Database&amp;".xlsm)",INDIRECT($F$9))</f>
        <v>(N/D: 'Referência 09-2025.xlsm)</v>
      </c>
      <c r="P8" s="680"/>
      <c r="Q8" s="99" t="str" cm="1">
        <f t="array" aca="1" ref="Q8" ca="1">TEXT(Import.DataBase,"mm-aa")&amp;IF(DESONERACAO="Sim"," (DES.)"," (N DES.)")</f>
        <v>09-25 (N DES.)</v>
      </c>
      <c r="R8" s="91" t="str" cm="1">
        <f t="array" ref="R8">IF(TIPOORCAMENTO="Licitado",Import.empresa,Import.DescLote)</f>
        <v>Implantação de uma Usina de Triagem Mecanizada de Resíduos Sólidos em Buritizeiro/MG, que atenderá também as cidades de Várzea da Palma/MG, Lassance/MG e Jequitaí/MG.</v>
      </c>
      <c r="S8" s="719" t="str" cm="1">
        <f t="array" ref="S8">IF(TIPOORCAMENTO="Licitado",Import.RegimeExecução,Import.Município)</f>
        <v>BURITIZEIRO-MG</v>
      </c>
      <c r="T8" s="719"/>
      <c r="U8" s="719"/>
      <c r="V8" s="100" t="str" cm="1">
        <f t="array" aca="1" ref="V8" ca="1">IF(TIPOORCAMENTO="Licitado","",TEXT(F5,"0,00%"))</f>
        <v>24,85%</v>
      </c>
      <c r="W8" s="100" t="str" cm="1">
        <f t="array" aca="1" ref="W8" ca="1">IF(TIPOORCAMENTO="Licitado","",TEXT(G5,"0,00%"))</f>
        <v>14,44%</v>
      </c>
      <c r="X8" s="101" t="str" cm="1">
        <f t="array" aca="1" ref="X8" ca="1">IF(TIPOORCAMENTO="Licitado",Import.CTEF,TEXT(H5,"0,00%"))</f>
        <v>0,00%</v>
      </c>
      <c r="Y8" s="709" t="s">
        <v>715</v>
      </c>
      <c r="Z8" s="709" t="s">
        <v>716</v>
      </c>
      <c r="AA8" s="102"/>
      <c r="AB8" s="102"/>
      <c r="AE8" s="88" t="s">
        <v>717</v>
      </c>
      <c r="AF8" s="89" t="b">
        <v>1</v>
      </c>
      <c r="AJ8" s="724"/>
      <c r="AL8" s="722"/>
    </row>
    <row r="9" spans="1:40" ht="12.75" customHeight="1" x14ac:dyDescent="0.2">
      <c r="E9" s="506" t="s">
        <v>994</v>
      </c>
      <c r="F9" s="718" t="str" cm="1">
        <f t="array" aca="1" ref="F9" ca="1">IF(LEN(INFO("release"))&gt;5,"'Referência "&amp;Excel_BuiltIn_Database&amp;".xlsm'#Banco.$d$3","'[Referência "&amp;Excel_BuiltIn_Database&amp;".xlsm]Banco'!$d$3")</f>
        <v>'[Referência 09-2025.xlsm]Banco'!$d$3</v>
      </c>
      <c r="G9" s="718"/>
      <c r="H9" s="718"/>
      <c r="I9" s="718"/>
      <c r="J9" s="718"/>
      <c r="K9" s="718"/>
      <c r="L9" s="709"/>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709"/>
      <c r="Z9" s="709"/>
      <c r="AE9" s="88" t="s">
        <v>23</v>
      </c>
      <c r="AF9" s="89" t="b">
        <v>1</v>
      </c>
      <c r="AJ9" s="724"/>
      <c r="AL9" s="722"/>
    </row>
    <row r="10" spans="1:40" x14ac:dyDescent="0.2">
      <c r="E10" s="506" t="s">
        <v>995</v>
      </c>
      <c r="F10" s="718" t="str" cm="1">
        <f t="array" aca="1" ref="F10" ca="1">IF(LEN(INFO("release"))&gt;5,"'Referência "&amp;Excel_BuiltIn_Database&amp;".xlsm'#Banco.$B$3","'[Referência "&amp;Excel_BuiltIn_Database&amp;".xlsm]Banco'!$B$3")</f>
        <v>'[Referência 09-2025.xlsm]Banco'!$B$3</v>
      </c>
      <c r="G10" s="718"/>
      <c r="H10" s="718"/>
      <c r="I10" s="718"/>
      <c r="J10" s="718"/>
      <c r="K10" s="718"/>
      <c r="L10" s="709"/>
      <c r="Y10" s="709"/>
      <c r="Z10" s="709"/>
      <c r="AC10" s="103" t="s">
        <v>718</v>
      </c>
      <c r="AE10" s="88" t="s">
        <v>719</v>
      </c>
      <c r="AF10" s="89" t="b">
        <v>1</v>
      </c>
      <c r="AJ10" s="724"/>
      <c r="AL10" s="722"/>
    </row>
    <row r="11" spans="1:40" x14ac:dyDescent="0.2">
      <c r="F11" s="661" t="str" cm="1">
        <f t="array" aca="1" ref="F11" ca="1">IFERROR(INDIRECT(F10),"")</f>
        <v/>
      </c>
      <c r="G11" s="665" t="str" cm="1">
        <f t="array" aca="1" ref="G11" ca="1">IFERROR(TEXT(Import.DataBase,"mm/aaaa"),"")</f>
        <v>09/2025</v>
      </c>
      <c r="H11" s="104"/>
      <c r="L11" s="709"/>
      <c r="Y11" s="709"/>
      <c r="Z11" s="709"/>
      <c r="AC11" s="105" t="str">
        <f ca="1">IF(COUNTIFS($L$15:$L$93,"F",$AC$15:$AC$93,"&lt;&gt;"&amp;" ",$AC$15:$AC$93,"&lt;&gt;"&amp;"JUSTIFICAR BDI")&gt;0,"NÃO OK","OK")</f>
        <v>NÃO OK</v>
      </c>
      <c r="AE11" s="88" t="s">
        <v>720</v>
      </c>
      <c r="AF11" s="89" t="b">
        <v>1</v>
      </c>
      <c r="AJ11" s="724"/>
      <c r="AL11" s="722"/>
    </row>
    <row r="12" spans="1:40" ht="20.100000000000001" customHeight="1" x14ac:dyDescent="0.2">
      <c r="G12" s="85"/>
      <c r="H12" s="85"/>
      <c r="L12" s="709"/>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IF(COUNTIF($AC$15:$AC$93,"FONTE")&gt;0,"Falta preencher a Fonte (coluna P) na Linha "&amp;(14+MATCH("FONTE",$AC$15:$AC$93,0)),
 IF(COUNTIF($AC$15:$AC$93,"CÓDIGO")&gt;0,"Falta preencher o Código (coluna Q) na Linha "&amp;(14+MATCH("CÓDIGO",$AC$15:$AC$93,0)),
 IF(COUNTIF($AC$15:$AC$93,"CÓDIGO N/ID")&gt;0,"Código (coluna Q) não identificado na Linha "&amp;(14+MATCH("CÓDIGO N/ID",$AC$15:$AC$93,0))&amp;". Verifique se o código está correto ou busque outro código",
 IF(COUNTIF($AC$15:$AC$93,"DESCRIÇÃO")&gt;0,"Falta preencher a Descrição (coluna R) na Linha "&amp;(14+MATCH("DESCRIÇÃO",$AC$15:$AC$93,0)),
 IF(COUNTIF($AC$15:$AC$93,"UNIDADE")&gt;0,"Falta preencher a Unidade (coluna S) na Linha "&amp;(14+MATCH("UNIDADE",$AC$15:$AC$93,0)),
 IF(COUNTIF($AC$15:$AC$93,"SEM CUSTO")&gt;0,"Falta preencher o Custo Unitário (coluna U) na Linha "&amp;(14+MATCH("SEM CUSTO",$AC$15:$AC$93,0)),
 IF(COUNTIF($AC$15:$AC$93,"SEM PREÇO")&gt;0,"Falta preencher o Preço Unitário licitado (coluna AL) na Linha "&amp;(14+MATCH("SEM CUSTO",$AC$15:$AC$93,0)),
 IF(COUNTIF($AC$15:$AC$93,"BDI")&gt;0,"Falta definir o BDI (coluna V) na Linha "&amp;(14+MATCH("BDI",$AC$15:$AC$93,0)),
 IF(COUNTIF($AC$15:$AC$93,"ACIMA REF.")&gt;0,
         IF(TIPOORCAMENTO="Proposto","O custo unitário (coluna U) na Linha "&amp;(14+MATCH("ACIMA REF.",$AC$15:$AC$93,0))&amp;" está acima do custo referencial (coluna AG)",
            "O preço unitário licitado (coluna AL) na Linha "&amp;(14+MATCH("ACIMA REF.",$AC$15:$AC$93,0))&amp;" está acima do preço referencial do edital (coluna AN)"),
 IF(COUNTIF($AC$15:$AC$93,"QUANT.")&gt;0,"Falta a Quantidade do serviço na Linha "&amp;(14+MATCH("QUANT.",$AC$15:$AC$93,0))&amp;IF(ACOMPANHAMENTO="PLE",". Preencher na aba CÁLCULO",". Preencher na coluna AJ"),
 IF(COUNTIF($AC$15:$AC$93,"Código &gt;13")&gt;0,"O tamanho do código do serviço no TransfereGOV é limitado a 13 caracteres. Resuma o código (coluna Q) na Linha "&amp;(14+MATCH("Código &gt;13",$AC$15:$AC$93,0)),
 IF(COUNTIF($AC$15:$AC$93,"Descrição &gt;100")&gt;0,"O tamanho da descrição de macrosserviço no TransfereGOV é limitado a 100 caracteres. Resuma a descrição (coluna R) na Linha "&amp;(14+MATCH("Descrição &gt;100",$AC$15:$AC$93,0)),
 IF(COUNTIF($AC$15:$AC$93,"Descrição &gt;500")&gt;0,"O tamanho da descrição de serviço no TransfereGOV é limitado a 500 caracteres. Resuma a descrição (coluna R) na Linha "&amp;(14+MATCH("Descrição &gt;500",$AC$15:$AC$93,0)),
 IF(COUNTIF($AC$15:$AC$93,"Unid. Não Disp")&gt;0,"Unidade não disponível na lista do TransfereGOV. Reveja a unidade (coluna S) na Linha "&amp;(14+MATCH("Unid. Não Disp",$AC$15:$AC$93,0)),
 IF(AND(TIPOORCAMENTO="Proposto",LEFT($O$8,5)="(N/D:"),"Abra o arquivo Referência "&amp;Excel_BuiltIn_Database&amp;".xlsm","")))))))))))))))))</f>
        <v>Código (coluna Q) não identificado na Linha 19. Verifique se o código está correto ou busque outro código</v>
      </c>
      <c r="Y12" s="709"/>
      <c r="Z12" s="709"/>
      <c r="AA12" s="723" t="s">
        <v>721</v>
      </c>
      <c r="AB12" s="723"/>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IF($C14=1,OFFSET(E14,-1,0)+MAX(1,COUNTIF(QCI!$A$13:$A$15,OFFSET(ORÇAMENTO!E14,-1,0))),OFFSET(E14,-1,0))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IF(OR($C14="S",$C14=0),0,MATCH(0,OFFSET($D14,1,$C14,ROW($C$93)-ROW($C14)),0))</f>
        <v>0</v>
      </c>
      <c r="K14">
        <f ca="1">IF(OR($C14="S",$C14=0),0,MATCH(OFFSET($D14,0,$C14)+IF($C14&lt;&gt;1,1,COUNTIF(QCI!$A$13:$A$15,ORÇAMENTO!E14)),OFFSET($D14,1,$C14,ROW($C$93)-ROW($C14)),0))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IF(C14&lt;=CRONO.NivelExibicao,MAX($AD$15:OFFSET(AD14,-1,0))+IF($C14&lt;&gt;1,1,MAX(1,COUNTIF(QCI!$A$13:$A$15,OFFSET($E14,-1,0)))),"")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0.2485</v>
      </c>
      <c r="AJ14" s="431"/>
      <c r="AL14" s="439"/>
      <c r="AM14" s="336">
        <f t="shared" ref="AM14:AM92" ca="1" si="0">$X14</f>
        <v>0</v>
      </c>
      <c r="AN14" s="470" cm="1">
        <f t="array" aca="1" ref="AN14" ca="1">ROUND(ORÇAMENTO.CustoUnitario*(1+$AH14),2)</f>
        <v>0</v>
      </c>
    </row>
    <row r="15" spans="1:40" ht="12.75" customHeight="1" x14ac:dyDescent="0.2">
      <c r="A15">
        <v>0</v>
      </c>
      <c r="C15" t="s">
        <v>654</v>
      </c>
      <c r="D15">
        <f ca="1">COUNTA(OFFSET(D15,1,0):D$93)</f>
        <v>77</v>
      </c>
      <c r="E15">
        <v>0</v>
      </c>
      <c r="L15" s="114" t="s">
        <v>536</v>
      </c>
      <c r="M15" s="130" t="str" cm="1">
        <f t="array" ref="M15">IF(TIPOORCAMENTO="LICITADO","CTEF","LOTE")</f>
        <v>LOTE</v>
      </c>
      <c r="N15" s="130" t="str" cm="1">
        <f t="array" ref="N15">IF(TIPOORCAMENTO="LICITADO","CTEF","LOTE")</f>
        <v>LOTE</v>
      </c>
      <c r="O15" s="711" t="str">
        <f>Import.DescLote</f>
        <v>Implantação de uma Usina de Triagem Mecanizada de Resíduos Sólidos em Buritizeiro/MG, que atenderá também as cidades de Várzea da Palma/MG, Lassance/MG e Jequitaí/MG.</v>
      </c>
      <c r="P15" s="712"/>
      <c r="Q15" s="712"/>
      <c r="R15" s="712"/>
      <c r="S15" s="613"/>
      <c r="T15" s="614"/>
      <c r="U15" s="614"/>
      <c r="V15" s="615"/>
      <c r="W15" s="614"/>
      <c r="X15" s="131">
        <f ca="1">SUMIF(OFFSET($C15,1,0,ROW(X93)-ROW(X15)-1),"S",OFFSET(X15,1,0,ROW(X93)-ROW(X15)-1))</f>
        <v>21394861.289999999</v>
      </c>
      <c r="Y15" s="7"/>
      <c r="Z15" t="str">
        <f ca="1">IF(AND($C15="S",$X15&gt;0),LEFT($Y15,2),"")</f>
        <v/>
      </c>
      <c r="AA15" s="426">
        <f ca="1">SUMIF(OFFSET($C15,1,0,ROW(AA93)-ROW(AA15)-1),"S",OFFSET(AA15,1,0,ROW(AA93)-ROW(AA15)-1))</f>
        <v>0</v>
      </c>
      <c r="AB15" s="132">
        <f ca="1">SUMIF(OFFSET($C15,1,0,ROW(AB93)-ROW(AB15)-1),"S",OFFSET(AB15,1,0,ROW(AB93)-ROW(AB15)-1))</f>
        <v>0</v>
      </c>
      <c r="AC15" s="565" t="s">
        <v>752</v>
      </c>
      <c r="AG15" s="441"/>
      <c r="AH15" s="442"/>
      <c r="AJ15" s="430"/>
      <c r="AL15" s="440"/>
      <c r="AM15" s="471">
        <f t="shared" ca="1" si="0"/>
        <v>21394861.289999999</v>
      </c>
      <c r="AN15" s="472"/>
    </row>
    <row r="16" spans="1:40" x14ac:dyDescent="0.2">
      <c r="A16">
        <f t="shared" ref="A16:A79" si="1">CHOOSE(1+LOG(1+2*(ORÇAMENTO.Nivel="Meta")+4*(ORÇAMENTO.Nivel="Nível 2")+8*(ORÇAMENTO.Nivel="Nível 3")+16*(ORÇAMENTO.Nivel="Nível 4")+32*(ORÇAMENTO.Nivel="Serviço"),2),0,1,2,3,4,"S")</f>
        <v>1</v>
      </c>
      <c r="B16">
        <f t="shared" ref="B16:B79" ca="1" si="2">IF(OR(C16="s",C16=0),OFFSET(B16,-1,0),C16)</f>
        <v>1</v>
      </c>
      <c r="C16">
        <f t="shared" ref="C16:C79" ca="1" si="3">IF(OFFSET(C16,-1,0)="L",1,IF(OFFSET(C16,-1,0)=1,2,IF(OR(A16="s",A16=0),"S",IF(AND(OFFSET(C16,-1,0)=2,A16=4),3,IF(AND(OR(OFFSET(C16,-1,0)="s",OFFSET(C16,-1,0)=0),A16&lt;&gt;"s",A16&gt;OFFSET(B16,-1,0)),OFFSET(B16,-1,0),A16)))))</f>
        <v>1</v>
      </c>
      <c r="D16">
        <f t="shared" ref="D16:D79" ca="1" si="4">IF(OR(C16="S",C16=0),0,IF(ISERROR(K16),J16,SMALL(J16:K16,1)))</f>
        <v>77</v>
      </c>
      <c r="E16">
        <f ca="1">IF($C16=1,OFFSET(E16,-1,0)+MAX(1,COUNTIF(QCI!$A$13:$A$15,OFFSET(ORÇAMENTO!E16,-1,0))),OFFSET(E16,-1,0))</f>
        <v>1</v>
      </c>
      <c r="F16">
        <f t="shared" ref="F16:F79" ca="1" si="5">IF($C16=1,0,IF($C16=2,OFFSET(F16,-1,0)+1,OFFSET(F16,-1,0)))</f>
        <v>0</v>
      </c>
      <c r="G16">
        <f t="shared" ref="G16:G79" ca="1" si="6">IF(AND($C16&lt;=2,$C16&lt;&gt;0),0,IF($C16=3,OFFSET(G16,-1,0)+1,OFFSET(G16,-1,0)))</f>
        <v>0</v>
      </c>
      <c r="H16">
        <f t="shared" ref="H16:H79" ca="1" si="7">IF(AND($C16&lt;=3,$C16&lt;&gt;0),0,IF($C16=4,OFFSET(H16,-1,0)+1,OFFSET(H16,-1,0)))</f>
        <v>0</v>
      </c>
      <c r="I16">
        <f t="shared" ref="I16:I79" ca="1" si="8">IF(AND($C16&lt;=4,$C16&lt;&gt;0),0,IF(AND($C16="S",$X16&gt;0),OFFSET(I16,-1,0)+1,OFFSET(I16,-1,0)))</f>
        <v>0</v>
      </c>
      <c r="J16">
        <f t="shared" ref="J16:J47" ca="1" si="9">IF(OR($C16="S",$C16=0),0,MATCH(0,OFFSET($D16,1,$C16,ROW($C$93)-ROW($C16)),0))</f>
        <v>77</v>
      </c>
      <c r="K16" t="e">
        <f ca="1">IF(OR($C16="S",$C16=0),0,MATCH(OFFSET($D16,0,$C16)+IF($C16&lt;&gt;1,1,COUNTIF(QCI!$A$13:$A$15,ORÇAMENTO!E16)),OFFSET($D16,1,$C16,ROW($C$93)-ROW($C16)),0))</f>
        <v>#N/A</v>
      </c>
      <c r="L16" s="114" t="str">
        <f t="shared" ref="L16:L79" ca="1" si="10">IF(OR($X16&gt;0,$C16=1,$C16=2,$C16=3,$C16=4),"F","")</f>
        <v>F</v>
      </c>
      <c r="M16" s="115" t="s">
        <v>701</v>
      </c>
      <c r="N16" s="116" t="str">
        <f t="shared" ref="N16:N79" ca="1" si="11">CHOOSE(1+LOG(1+2*(C16=1)+4*(C16=2)+8*(C16=3)+16*(C16=4)+32*(C16="S"),2),"","Meta","Nível 2","Nível 3","Nível 4","Serviço")</f>
        <v>Meta</v>
      </c>
      <c r="O16" s="117" t="str">
        <f t="shared" ref="O16:O79" ca="1" si="12">IF(OR($C16=0,$L16=""),"-",CONCATENATE(E16&amp;".",IF(AND($A$5&gt;=2,$C16&gt;=2),F16&amp;".",""),IF(AND($A$5&gt;=3,$C16&gt;=3),G16&amp;".",""),IF(AND($A$5&gt;=4,$C16&gt;=4),H16&amp;".",""),IF($C16="S",I16&amp;".","")))</f>
        <v>1.</v>
      </c>
      <c r="P16" s="118" t="s">
        <v>750</v>
      </c>
      <c r="Q16" s="119"/>
      <c r="R16" s="120" t="s">
        <v>1069</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21394861.289999999</v>
      </c>
      <c r="Y16" s="126" t="s">
        <v>751</v>
      </c>
      <c r="Z16" t="str">
        <f t="shared" ref="Z16:Z79" ca="1" si="13">IF(AND($C16="S",$X16&gt;0),IF(ISBLANK($Y16),"RA",LEFT($Y16,2)),"")</f>
        <v/>
      </c>
      <c r="AA16" s="127" cm="1">
        <f t="array" aca="1" ref="AA16" ca="1">IF($C16="S",IF($Z16="CP",$X16,IF($Z16="RA",(($X16)*QCI!$AA$3),0)),SomaAgrup)</f>
        <v>0</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IF(C16&lt;=CRONO.NivelExibicao,MAX($AD$15:OFFSET(AD16,-1,0))+IF($C16&lt;&gt;1,1,MAX(1,COUNTIF(QCI!$A$13:$A$15,OFFSET($E16,-1,0)))),"")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79" ca="1" si="14">ROUND(IF(ISNUMBER(ORÇAMENTO.OpcaoBDI),ORÇAMENTO.OpcaoBDI,IF(LEFT(ORÇAMENTO.OpcaoBDI,3)="BDI",HLOOKUP(ORÇAMENTO.OpcaoBDI,$F$4:$H$5,2,FALSE),0)),15-11*$AF$9)</f>
        <v>0.2485</v>
      </c>
      <c r="AJ16" s="431"/>
      <c r="AL16" s="439"/>
      <c r="AM16" s="336">
        <f t="shared" ca="1" si="0"/>
        <v>21394861.289999999</v>
      </c>
      <c r="AN16" s="470" cm="1">
        <f t="array" aca="1" ref="AN16" ca="1">ROUND(ORÇAMENTO.CustoUnitario*(1+$AH16),2)</f>
        <v>0</v>
      </c>
    </row>
    <row r="17" spans="1:40" x14ac:dyDescent="0.2">
      <c r="A17">
        <f t="shared" si="1"/>
        <v>2</v>
      </c>
      <c r="B17">
        <f t="shared" ca="1" si="2"/>
        <v>2</v>
      </c>
      <c r="C17">
        <f t="shared" ca="1" si="3"/>
        <v>2</v>
      </c>
      <c r="D17">
        <f t="shared" ca="1" si="4"/>
        <v>22</v>
      </c>
      <c r="E17">
        <f ca="1">IF($C17=1,OFFSET(E17,-1,0)+MAX(1,COUNTIF(QCI!$A$13:$A$15,OFFSET(ORÇAMENTO!E17,-1,0))),OFFSET(E17,-1,0))</f>
        <v>1</v>
      </c>
      <c r="F17">
        <f t="shared" ca="1" si="5"/>
        <v>1</v>
      </c>
      <c r="G17">
        <f t="shared" ca="1" si="6"/>
        <v>0</v>
      </c>
      <c r="H17">
        <f t="shared" ca="1" si="7"/>
        <v>0</v>
      </c>
      <c r="I17">
        <f t="shared" ca="1" si="8"/>
        <v>0</v>
      </c>
      <c r="J17">
        <f t="shared" ca="1" si="9"/>
        <v>76</v>
      </c>
      <c r="K17">
        <f ca="1">IF(OR($C17="S",$C17=0),0,MATCH(OFFSET($D17,0,$C17)+IF($C17&lt;&gt;1,1,COUNTIF(QCI!$A$13:$A$15,ORÇAMENTO!E17)),OFFSET($D17,1,$C17,ROW($C$93)-ROW($C17)),0))</f>
        <v>22</v>
      </c>
      <c r="L17" s="114" t="str">
        <f t="shared" ca="1" si="10"/>
        <v>F</v>
      </c>
      <c r="M17" s="115" t="s">
        <v>702</v>
      </c>
      <c r="N17" s="116" t="str">
        <f t="shared" ca="1" si="11"/>
        <v>Nível 2</v>
      </c>
      <c r="O17" s="117" t="str">
        <f t="shared" ca="1" si="12"/>
        <v>1.1.</v>
      </c>
      <c r="P17" s="118" t="s">
        <v>750</v>
      </c>
      <c r="Q17" s="119"/>
      <c r="R17" s="120" t="s">
        <v>1019</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164265.45000000001</v>
      </c>
      <c r="Y17" s="126" t="s">
        <v>751</v>
      </c>
      <c r="Z17" t="str">
        <f t="shared" ca="1" si="13"/>
        <v/>
      </c>
      <c r="AA17" s="127" cm="1">
        <f t="array" aca="1" ref="AA17" ca="1">IF($C17="S",IF($Z17="CP",$X17,IF($Z17="RA",(($X17)*QCI!$AA$3),0)),SomaAgrup)</f>
        <v>0</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IF(C17&lt;=CRONO.NivelExibicao,MAX($AD$15:OFFSET(AD17,-1,0))+IF($C17&lt;&gt;1,1,MAX(1,COUNTIF(QCI!$A$13:$A$15,OFFSET($E17,-1,0)))),"")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0.2485</v>
      </c>
      <c r="AJ17" s="431"/>
      <c r="AL17" s="439"/>
      <c r="AM17" s="336">
        <f t="shared" ca="1" si="0"/>
        <v>164265.45000000001</v>
      </c>
      <c r="AN17" s="470" cm="1">
        <f t="array" aca="1" ref="AN17" ca="1">ROUND(ORÇAMENTO.CustoUnitario*(1+$AH17),2)</f>
        <v>0</v>
      </c>
    </row>
    <row r="18" spans="1:40" x14ac:dyDescent="0.2">
      <c r="A18">
        <f>CHOOSE(1+LOG(1+2*(ORÇAMENTO.Nivel="Meta")+4*(ORÇAMENTO.Nivel="Nível 2")+8*(ORÇAMENTO.Nivel="Nível 3")+16*(ORÇAMENTO.Nivel="Nível 4")+32*(ORÇAMENTO.Nivel="Serviço"),2),0,1,2,3,4,"S")</f>
        <v>3</v>
      </c>
      <c r="B18">
        <f ca="1">IF(OR(C18="s",C18=0),OFFSET(B18,-1,0),C18)</f>
        <v>3</v>
      </c>
      <c r="C18">
        <f ca="1">IF(OFFSET(C18,-1,0)="L",1,IF(OFFSET(C18,-1,0)=1,2,IF(OR(A18="s",A18=0),"S",IF(AND(OFFSET(C18,-1,0)=2,A18=4),3,IF(AND(OR(OFFSET(C18,-1,0)="s",OFFSET(C18,-1,0)=0),A18&lt;&gt;"s",A18&gt;OFFSET(B18,-1,0)),OFFSET(B18,-1,0),A18)))))</f>
        <v>3</v>
      </c>
      <c r="D18">
        <f ca="1">IF(OR(C18="S",C18=0),0,IF(ISERROR(K18),J18,SMALL(J18:K18,1)))</f>
        <v>21</v>
      </c>
      <c r="E18">
        <f ca="1">IF($C18=1,OFFSET(E18,-1,0)+MAX(1,COUNTIF(QCI!$A$13:$A$15,OFFSET(ORÇAMENTO!E18,-1,0))),OFFSET(E18,-1,0))</f>
        <v>1</v>
      </c>
      <c r="F18">
        <f ca="1">IF($C18=1,0,IF($C18=2,OFFSET(F18,-1,0)+1,OFFSET(F18,-1,0)))</f>
        <v>1</v>
      </c>
      <c r="G18">
        <f ca="1">IF(AND($C18&lt;=2,$C18&lt;&gt;0),0,IF($C18=3,OFFSET(G18,-1,0)+1,OFFSET(G18,-1,0)))</f>
        <v>1</v>
      </c>
      <c r="H18">
        <f ca="1">IF(AND($C18&lt;=3,$C18&lt;&gt;0),0,IF($C18=4,OFFSET(H18,-1,0)+1,OFFSET(H18,-1,0)))</f>
        <v>0</v>
      </c>
      <c r="I18">
        <f ca="1">IF(AND($C18&lt;=4,$C18&lt;&gt;0),0,IF(AND($C18="S",$X18&gt;0),OFFSET(I18,-1,0)+1,OFFSET(I18,-1,0)))</f>
        <v>0</v>
      </c>
      <c r="J18">
        <f t="shared" ca="1" si="9"/>
        <v>21</v>
      </c>
      <c r="K18">
        <f ca="1">IF(OR($C18="S",$C18=0),0,MATCH(OFFSET($D18,0,$C18)+IF($C18&lt;&gt;1,1,COUNTIF(QCI!$A$13:$A$15,ORÇAMENTO!E18)),OFFSET($D18,1,$C18,ROW($C$93)-ROW($C18)),0))</f>
        <v>26</v>
      </c>
      <c r="L18" s="114" t="str">
        <f ca="1">IF(OR($X18&gt;0,$C18=1,$C18=2,$C18=3,$C18=4),"F","")</f>
        <v>F</v>
      </c>
      <c r="M18" s="115" t="s">
        <v>703</v>
      </c>
      <c r="N18" s="116" t="str">
        <f ca="1">CHOOSE(1+LOG(1+2*(C18=1)+4*(C18=2)+8*(C18=3)+16*(C18=4)+32*(C18="S"),2),"","Meta","Nível 2","Nível 3","Nível 4","Serviço")</f>
        <v>Nível 3</v>
      </c>
      <c r="O18" s="117" t="str">
        <f ca="1">IF(OR($C18=0,$L18=""),"-",CONCATENATE(E18&amp;".",IF(AND($A$5&gt;=2,$C18&gt;=2),F18&amp;".",""),IF(AND($A$5&gt;=3,$C18&gt;=3),G18&amp;".",""),IF(AND($A$5&gt;=4,$C18&gt;=4),H18&amp;".",""),IF($C18="S",I18&amp;".","")))</f>
        <v>1.1.1.</v>
      </c>
      <c r="P18" s="118" t="s">
        <v>750</v>
      </c>
      <c r="Q18" s="119"/>
      <c r="R18" s="120" t="str">
        <f ca="1">IF($C18="S",REFERENCIA.Descricao,"Elaboração de estudos e projetos do empreendimento")</f>
        <v>Elaboração de estudos e projetos do empreendimento</v>
      </c>
      <c r="S18" s="121" t="str" cm="1">
        <f t="array" aca="1" ref="S18" ca="1">REFERENCIA.Unidade</f>
        <v>-</v>
      </c>
      <c r="T18" s="122">
        <f ca="1">OFFSET(CÁLCULO!H$15,ROW($T18)-ROW(T$15),0)</f>
        <v>0</v>
      </c>
      <c r="U18" s="123"/>
      <c r="V18" s="124" t="s">
        <v>663</v>
      </c>
      <c r="W18" s="122" cm="1">
        <f t="array" aca="1" ref="W18" ca="1">IF($C18="S",ROUND(IF(TIPOORCAMENTO="Proposto",ORÇAMENTO.CustoUnitario*(1+$AH18),ORÇAMENTO.PrecoUnitarioLicitado),15-13*$AF$10),0)</f>
        <v>0</v>
      </c>
      <c r="X18" s="125" cm="1">
        <f t="array" aca="1" ref="X18" ca="1">IF($C18="S",IF(OR(Import.TipoArredondamento&lt;&gt;"TransfereGOV",ACOMPANHAMENTO="BM"),VTOTAL1,SUM(OFFSET(CÁLCULO!$AA$15,ROW($X18)-ROW($X$15),1):OFFSET(CÁLCULO!$AL$15,ROW($X18)-ROW($X$15),-1))),IF($C18=0,0,ROUND(SomaAgrup,15-13*$AF$11)))</f>
        <v>164265.45000000001</v>
      </c>
      <c r="Y18" s="126" t="s">
        <v>751</v>
      </c>
      <c r="Z18" t="str">
        <f ca="1">IF(AND($C18="S",$X18&gt;0),IF(ISBLANK($Y18),"RA",LEFT($Y18,2)),"")</f>
        <v/>
      </c>
      <c r="AA18" s="127" cm="1">
        <f t="array" aca="1" ref="AA18" ca="1">IF($C18="S",IF($Z18="CP",$X18,IF($Z18="RA",(($X18)*QCI!$AA$3),0)),SomaAgrup)</f>
        <v>0</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IF(C18&lt;=CRONO.NivelExibicao,MAX($AD$15:OFFSET(AD18,-1,0))+IF($C18&lt;&gt;1,1,MAX(1,COUNTIF(QCI!$A$13:$A$15,OFFSET($E18,-1,0)))),"")</f>
        <v/>
      </c>
      <c r="AE18" s="7" t="b" cm="1">
        <f t="array" aca="1" ref="AE18" ca="1">IF(AND($C18="S",ORÇAMENTO.CodBarra&lt;&gt;""),IF(ORÇAMENTO.Fonte="",ORÇAMENTO.CodBarra,CONCATENATE(ORÇAMENTO.Fonte," ",ORÇAMENTO.CodBarra)))</f>
        <v>0</v>
      </c>
      <c r="AF18" s="12" t="str"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(Sem Código)</v>
      </c>
      <c r="AG18" s="428" cm="1">
        <f t="array" aca="1" ref="AG18" ca="1">ROUND(IF(DESONERACAO="sim",REFERENCIA.Desonerado,REFERENCIA.NaoDesonerado),2)</f>
        <v>0</v>
      </c>
      <c r="AH18" s="429">
        <f ca="1">ROUND(IF(ISNUMBER(ORÇAMENTO.OpcaoBDI),ORÇAMENTO.OpcaoBDI,IF(LEFT(ORÇAMENTO.OpcaoBDI,3)="BDI",HLOOKUP(ORÇAMENTO.OpcaoBDI,$F$4:$H$5,2,FALSE),0)),15-11*$AF$9)</f>
        <v>0.2485</v>
      </c>
      <c r="AJ18" s="431"/>
      <c r="AL18" s="439"/>
      <c r="AM18" s="336">
        <f t="shared" ca="1" si="0"/>
        <v>164265.45000000001</v>
      </c>
      <c r="AN18" s="470" cm="1">
        <f t="array" aca="1" ref="AN18" ca="1">ROUND(ORÇAMENTO.CustoUnitario*(1+$AH18),2)</f>
        <v>0</v>
      </c>
    </row>
    <row r="19" spans="1:40" ht="25.5" x14ac:dyDescent="0.2">
      <c r="A19" t="str">
        <f t="shared" si="1"/>
        <v>S</v>
      </c>
      <c r="B19">
        <f t="shared" ca="1" si="2"/>
        <v>3</v>
      </c>
      <c r="C19" t="str">
        <f t="shared" ca="1" si="3"/>
        <v>S</v>
      </c>
      <c r="D19">
        <f t="shared" ca="1" si="4"/>
        <v>0</v>
      </c>
      <c r="E19">
        <f ca="1">IF($C19=1,OFFSET(E19,-1,0)+MAX(1,COUNTIF(QCI!$A$13:$A$15,OFFSET(ORÇAMENTO!E19,-1,0))),OFFSET(E19,-1,0))</f>
        <v>1</v>
      </c>
      <c r="F19">
        <f t="shared" ca="1" si="5"/>
        <v>1</v>
      </c>
      <c r="G19">
        <f t="shared" ca="1" si="6"/>
        <v>1</v>
      </c>
      <c r="H19">
        <f t="shared" ca="1" si="7"/>
        <v>0</v>
      </c>
      <c r="I19">
        <f t="shared" ca="1" si="8"/>
        <v>1</v>
      </c>
      <c r="J19">
        <f t="shared" ca="1" si="9"/>
        <v>0</v>
      </c>
      <c r="K19">
        <f ca="1">IF(OR($C19="S",$C19=0),0,MATCH(OFFSET($D19,0,$C19)+IF($C19&lt;&gt;1,1,COUNTIF(QCI!$A$13:$A$15,ORÇAMENTO!E19)),OFFSET($D19,1,$C19,ROW($C$93)-ROW($C19)),0))</f>
        <v>0</v>
      </c>
      <c r="L19" s="114" t="str">
        <f t="shared" ca="1" si="10"/>
        <v>F</v>
      </c>
      <c r="M19" s="115" t="s">
        <v>705</v>
      </c>
      <c r="N19" s="116" t="str">
        <f t="shared" ca="1" si="11"/>
        <v>Serviço</v>
      </c>
      <c r="O19" s="117" t="str">
        <f t="shared" ca="1" si="12"/>
        <v>1.1.1.1.</v>
      </c>
      <c r="P19" s="118" t="s">
        <v>1020</v>
      </c>
      <c r="Q19" s="119" t="s">
        <v>1021</v>
      </c>
      <c r="R19" s="120" t="str" cm="1">
        <f t="array" aca="1" ref="R19" ca="1">IF($C19="S",REFERENCIA.Descricao,"(digite a descrição aqui)")</f>
        <v>(Código não identificado nas referências)</v>
      </c>
      <c r="S19" s="121" t="s">
        <v>615</v>
      </c>
      <c r="T19" s="122">
        <f ca="1">OFFSET(CÁLCULO!H$15,ROW($T19)-ROW(T$15),0)</f>
        <v>32</v>
      </c>
      <c r="U19" s="123">
        <v>188.83</v>
      </c>
      <c r="V19" s="124" t="s">
        <v>663</v>
      </c>
      <c r="W19" s="122" cm="1">
        <f t="array" aca="1" ref="W19" ca="1">IF($C19="S",ROUND(IF(TIPOORCAMENTO="Proposto",ORÇAMENTO.CustoUnitario*(1+$AH19),ORÇAMENTO.PrecoUnitarioLicitado),15-13*$AF$10),0)</f>
        <v>235.75</v>
      </c>
      <c r="X19" s="125" cm="1">
        <f t="array" aca="1" ref="X19" ca="1">IF($C19="S",IF(OR(Import.TipoArredondamento&lt;&gt;"TransfereGOV",ACOMPANHAMENTO="BM"),VTOTAL1,SUM(OFFSET(CÁLCULO!$AA$15,ROW($X19)-ROW($X$15),1):OFFSET(CÁLCULO!$AL$15,ROW($X19)-ROW($X$15),-1))),IF($C19=0,0,ROUND(SomaAgrup,15-13*$AF$11)))</f>
        <v>7544</v>
      </c>
      <c r="Y19" s="126" t="s">
        <v>751</v>
      </c>
      <c r="Z19" t="str">
        <f t="shared" ca="1" si="13"/>
        <v>RA</v>
      </c>
      <c r="AA19" s="127" cm="1">
        <f t="array" aca="1" ref="AA19" ca="1">IF($C19="S",IF($Z19="CP",$X19,IF($Z19="RA",(($X19)*QCI!$AA$3),0)),SomaAgrup)</f>
        <v>0</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CÓDIGO N/ID</v>
      </c>
      <c r="AD19" t="str">
        <f ca="1">IF(C19&lt;=CRONO.NivelExibicao,MAX($AD$15:OFFSET(AD19,-1,0))+IF($C19&lt;&gt;1,1,MAX(1,COUNTIF(QCI!$A$13:$A$15,OFFSET($E19,-1,0)))),"")</f>
        <v/>
      </c>
      <c r="AE19" s="7" t="str" cm="1">
        <f t="array" aca="1" ref="AE19" ca="1">IF(AND($C19="S",ORÇAMENTO.CodBarra&lt;&gt;""),IF(ORÇAMENTO.Fonte="",ORÇAMENTO.CodBarra,CONCATENATE(ORÇAMENTO.Fonte," ",ORÇAMENTO.CodBarra)))</f>
        <v>SEINFRA CO-27342</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(Código não identificado nas referências)</v>
      </c>
      <c r="AG19" s="428" cm="1">
        <f t="array" aca="1" ref="AG19" ca="1">ROUND(IF(DESONERACAO="sim",REFERENCIA.Desonerado,REFERENCIA.NaoDesonerado),2)</f>
        <v>0</v>
      </c>
      <c r="AH19" s="429">
        <f t="shared" ca="1" si="14"/>
        <v>0.2485</v>
      </c>
      <c r="AJ19" s="431"/>
      <c r="AL19" s="439"/>
      <c r="AM19" s="336">
        <f t="shared" ca="1" si="0"/>
        <v>7544</v>
      </c>
      <c r="AN19" s="470" cm="1">
        <f t="array" aca="1" ref="AN19" ca="1">ROUND(ORÇAMENTO.CustoUnitario*(1+$AH19),2)</f>
        <v>235.75</v>
      </c>
    </row>
    <row r="20" spans="1:40" ht="25.5" x14ac:dyDescent="0.2">
      <c r="A20" t="str">
        <f t="shared" si="1"/>
        <v>S</v>
      </c>
      <c r="B20">
        <f t="shared" ca="1" si="2"/>
        <v>3</v>
      </c>
      <c r="C20" t="str">
        <f t="shared" ca="1" si="3"/>
        <v>S</v>
      </c>
      <c r="D20">
        <f t="shared" ca="1" si="4"/>
        <v>0</v>
      </c>
      <c r="E20">
        <f ca="1">IF($C20=1,OFFSET(E20,-1,0)+MAX(1,COUNTIF(QCI!$A$13:$A$15,OFFSET(ORÇAMENTO!E20,-1,0))),OFFSET(E20,-1,0))</f>
        <v>1</v>
      </c>
      <c r="F20">
        <f t="shared" ca="1" si="5"/>
        <v>1</v>
      </c>
      <c r="G20">
        <f t="shared" ca="1" si="6"/>
        <v>1</v>
      </c>
      <c r="H20">
        <f t="shared" ca="1" si="7"/>
        <v>0</v>
      </c>
      <c r="I20">
        <f t="shared" ca="1" si="8"/>
        <v>2</v>
      </c>
      <c r="J20">
        <f t="shared" ca="1" si="9"/>
        <v>0</v>
      </c>
      <c r="K20">
        <f ca="1">IF(OR($C20="S",$C20=0),0,MATCH(OFFSET($D20,0,$C20)+IF($C20&lt;&gt;1,1,COUNTIF(QCI!$A$13:$A$15,ORÇAMENTO!E20)),OFFSET($D20,1,$C20,ROW($C$93)-ROW($C20)),0))</f>
        <v>0</v>
      </c>
      <c r="L20" s="114" t="str">
        <f t="shared" ca="1" si="10"/>
        <v>F</v>
      </c>
      <c r="M20" s="115" t="s">
        <v>705</v>
      </c>
      <c r="N20" s="116" t="str">
        <f t="shared" ca="1" si="11"/>
        <v>Serviço</v>
      </c>
      <c r="O20" s="117" t="str">
        <f t="shared" ca="1" si="12"/>
        <v>1.1.1.2.</v>
      </c>
      <c r="P20" s="118" t="s">
        <v>1020</v>
      </c>
      <c r="Q20" s="119" t="s">
        <v>1022</v>
      </c>
      <c r="R20" s="120" t="str" cm="1">
        <f t="array" aca="1" ref="R20" ca="1">IF($C20="S",REFERENCIA.Descricao,"(digite a descrição aqui)")</f>
        <v>(Código não identificado nas referências)</v>
      </c>
      <c r="S20" s="121" t="s">
        <v>623</v>
      </c>
      <c r="T20" s="122">
        <f ca="1">OFFSET(CÁLCULO!H$15,ROW($T20)-ROW(T$15),0)</f>
        <v>15000</v>
      </c>
      <c r="U20" s="123">
        <v>0.45</v>
      </c>
      <c r="V20" s="124" t="s">
        <v>663</v>
      </c>
      <c r="W20" s="122" cm="1">
        <f t="array" aca="1" ref="W20" ca="1">IF($C20="S",ROUND(IF(TIPOORCAMENTO="Proposto",ORÇAMENTO.CustoUnitario*(1+$AH20),ORÇAMENTO.PrecoUnitarioLicitado),15-13*$AF$10),0)</f>
        <v>0.56000000000000005</v>
      </c>
      <c r="X20" s="125" cm="1">
        <f t="array" aca="1" ref="X20" ca="1">IF($C20="S",IF(OR(Import.TipoArredondamento&lt;&gt;"TransfereGOV",ACOMPANHAMENTO="BM"),VTOTAL1,SUM(OFFSET(CÁLCULO!$AA$15,ROW($X20)-ROW($X$15),1):OFFSET(CÁLCULO!$AL$15,ROW($X20)-ROW($X$15),-1))),IF($C20=0,0,ROUND(SomaAgrup,15-13*$AF$11)))</f>
        <v>8400</v>
      </c>
      <c r="Y20" s="126" t="s">
        <v>751</v>
      </c>
      <c r="Z20" t="str">
        <f t="shared" ca="1" si="13"/>
        <v>RA</v>
      </c>
      <c r="AA20" s="127" cm="1">
        <f t="array" aca="1" ref="AA20" ca="1">IF($C20="S",IF($Z20="CP",$X20,IF($Z20="RA",(($X20)*QCI!$AA$3),0)),SomaAgrup)</f>
        <v>0</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CÓDIGO N/ID</v>
      </c>
      <c r="AD20" t="str">
        <f ca="1">IF(C20&lt;=CRONO.NivelExibicao,MAX($AD$15:OFFSET(AD20,-1,0))+IF($C20&lt;&gt;1,1,MAX(1,COUNTIF(QCI!$A$13:$A$15,OFFSET($E20,-1,0)))),"")</f>
        <v/>
      </c>
      <c r="AE20" s="7" t="str" cm="1">
        <f t="array" aca="1" ref="AE20" ca="1">IF(AND($C20="S",ORÇAMENTO.CodBarra&lt;&gt;""),IF(ORÇAMENTO.Fonte="",ORÇAMENTO.CodBarra,CONCATENATE(ORÇAMENTO.Fonte," ",ORÇAMENTO.CodBarra)))</f>
        <v>SEINFRA CO-27367</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428" cm="1">
        <f t="array" aca="1" ref="AG20" ca="1">ROUND(IF(DESONERACAO="sim",REFERENCIA.Desonerado,REFERENCIA.NaoDesonerado),2)</f>
        <v>0</v>
      </c>
      <c r="AH20" s="429">
        <f t="shared" ca="1" si="14"/>
        <v>0.2485</v>
      </c>
      <c r="AJ20" s="431"/>
      <c r="AL20" s="439"/>
      <c r="AM20" s="336">
        <f t="shared" ca="1" si="0"/>
        <v>8400</v>
      </c>
      <c r="AN20" s="470" cm="1">
        <f t="array" aca="1" ref="AN20" ca="1">ROUND(ORÇAMENTO.CustoUnitario*(1+$AH20),2)</f>
        <v>0.56000000000000005</v>
      </c>
    </row>
    <row r="21" spans="1:40" x14ac:dyDescent="0.2">
      <c r="A21" t="str">
        <f t="shared" si="1"/>
        <v>S</v>
      </c>
      <c r="B21">
        <f t="shared" ca="1" si="2"/>
        <v>3</v>
      </c>
      <c r="C21" t="str">
        <f t="shared" ca="1" si="3"/>
        <v>S</v>
      </c>
      <c r="D21">
        <f t="shared" ca="1" si="4"/>
        <v>0</v>
      </c>
      <c r="E21">
        <f ca="1">IF($C21=1,OFFSET(E21,-1,0)+MAX(1,COUNTIF(QCI!$A$13:$A$15,OFFSET(ORÇAMENTO!E21,-1,0))),OFFSET(E21,-1,0))</f>
        <v>1</v>
      </c>
      <c r="F21">
        <f t="shared" ca="1" si="5"/>
        <v>1</v>
      </c>
      <c r="G21">
        <f t="shared" ca="1" si="6"/>
        <v>1</v>
      </c>
      <c r="H21">
        <f t="shared" ca="1" si="7"/>
        <v>0</v>
      </c>
      <c r="I21">
        <f t="shared" ca="1" si="8"/>
        <v>3</v>
      </c>
      <c r="J21">
        <f t="shared" ca="1" si="9"/>
        <v>0</v>
      </c>
      <c r="K21">
        <f ca="1">IF(OR($C21="S",$C21=0),0,MATCH(OFFSET($D21,0,$C21)+IF($C21&lt;&gt;1,1,COUNTIF(QCI!$A$13:$A$15,ORÇAMENTO!E21)),OFFSET($D21,1,$C21,ROW($C$93)-ROW($C21)),0))</f>
        <v>0</v>
      </c>
      <c r="L21" s="114" t="str">
        <f t="shared" ca="1" si="10"/>
        <v>F</v>
      </c>
      <c r="M21" s="115" t="s">
        <v>705</v>
      </c>
      <c r="N21" s="116" t="str">
        <f t="shared" ca="1" si="11"/>
        <v>Serviço</v>
      </c>
      <c r="O21" s="117" t="str">
        <f t="shared" ca="1" si="12"/>
        <v>1.1.1.3.</v>
      </c>
      <c r="P21" s="118" t="s">
        <v>456</v>
      </c>
      <c r="Q21" s="119" t="s">
        <v>1023</v>
      </c>
      <c r="R21" s="120" t="str" cm="1">
        <f t="array" aca="1" ref="R21" ca="1">IF($C21="S",REFERENCIA.Descricao,"(digite a descrição aqui)")</f>
        <v>(Código não identificado nas referências)</v>
      </c>
      <c r="S21" s="121" t="s">
        <v>639</v>
      </c>
      <c r="T21" s="122">
        <f ca="1">OFFSET(CÁLCULO!H$15,ROW($T21)-ROW(T$15),0)</f>
        <v>1</v>
      </c>
      <c r="U21" s="123">
        <v>13589.07</v>
      </c>
      <c r="V21" s="124" t="s">
        <v>663</v>
      </c>
      <c r="W21" s="122" cm="1">
        <f t="array" aca="1" ref="W21" ca="1">IF($C21="S",ROUND(IF(TIPOORCAMENTO="Proposto",ORÇAMENTO.CustoUnitario*(1+$AH21),ORÇAMENTO.PrecoUnitarioLicitado),15-13*$AF$10),0)</f>
        <v>16965.95</v>
      </c>
      <c r="X21" s="125" cm="1">
        <f t="array" aca="1" ref="X21" ca="1">IF($C21="S",IF(OR(Import.TipoArredondamento&lt;&gt;"TransfereGOV",ACOMPANHAMENTO="BM"),VTOTAL1,SUM(OFFSET(CÁLCULO!$AA$15,ROW($X21)-ROW($X$15),1):OFFSET(CÁLCULO!$AL$15,ROW($X21)-ROW($X$15),-1))),IF($C21=0,0,ROUND(SomaAgrup,15-13*$AF$11)))</f>
        <v>16965.95</v>
      </c>
      <c r="Y21" s="126" t="s">
        <v>751</v>
      </c>
      <c r="Z21" t="str">
        <f t="shared" ca="1" si="13"/>
        <v>RA</v>
      </c>
      <c r="AA21" s="127" cm="1">
        <f t="array" aca="1" ref="AA21" ca="1">IF($C21="S",IF($Z21="CP",$X21,IF($Z21="RA",(($X21)*QCI!$AA$3),0)),SomaAgrup)</f>
        <v>0</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CÓDIGO N/ID</v>
      </c>
      <c r="AD21" t="str">
        <f ca="1">IF(C21&lt;=CRONO.NivelExibicao,MAX($AD$15:OFFSET(AD21,-1,0))+IF($C21&lt;&gt;1,1,MAX(1,COUNTIF(QCI!$A$13:$A$15,OFFSET($E21,-1,0)))),"")</f>
        <v/>
      </c>
      <c r="AE21" s="7" t="str" cm="1">
        <f t="array" aca="1" ref="AE21" ca="1">IF(AND($C21="S",ORÇAMENTO.CodBarra&lt;&gt;""),IF(ORÇAMENTO.Fonte="",ORÇAMENTO.CodBarra,CONCATENATE(ORÇAMENTO.Fonte," ",ORÇAMENTO.CodBarra)))</f>
        <v>CP CP-PROJ-01</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(Código não identificado nas referências)</v>
      </c>
      <c r="AG21" s="428" cm="1">
        <f t="array" aca="1" ref="AG21" ca="1">ROUND(IF(DESONERACAO="sim",REFERENCIA.Desonerado,REFERENCIA.NaoDesonerado),2)</f>
        <v>0</v>
      </c>
      <c r="AH21" s="429">
        <f t="shared" ca="1" si="14"/>
        <v>0.2485</v>
      </c>
      <c r="AJ21" s="431"/>
      <c r="AL21" s="439"/>
      <c r="AM21" s="336">
        <f t="shared" ca="1" si="0"/>
        <v>16965.95</v>
      </c>
      <c r="AN21" s="470" cm="1">
        <f t="array" aca="1" ref="AN21" ca="1">ROUND(ORÇAMENTO.CustoUnitario*(1+$AH21),2)</f>
        <v>16965.95</v>
      </c>
    </row>
    <row r="22" spans="1:40" x14ac:dyDescent="0.2">
      <c r="A22" t="str">
        <f t="shared" si="1"/>
        <v>S</v>
      </c>
      <c r="B22">
        <f t="shared" ca="1" si="2"/>
        <v>3</v>
      </c>
      <c r="C22" t="str">
        <f t="shared" ca="1" si="3"/>
        <v>S</v>
      </c>
      <c r="D22">
        <f t="shared" ca="1" si="4"/>
        <v>0</v>
      </c>
      <c r="E22">
        <f ca="1">IF($C22=1,OFFSET(E22,-1,0)+MAX(1,COUNTIF(QCI!$A$13:$A$15,OFFSET(ORÇAMENTO!E22,-1,0))),OFFSET(E22,-1,0))</f>
        <v>1</v>
      </c>
      <c r="F22">
        <f t="shared" ca="1" si="5"/>
        <v>1</v>
      </c>
      <c r="G22">
        <f t="shared" ca="1" si="6"/>
        <v>1</v>
      </c>
      <c r="H22">
        <f t="shared" ca="1" si="7"/>
        <v>0</v>
      </c>
      <c r="I22">
        <f t="shared" ca="1" si="8"/>
        <v>4</v>
      </c>
      <c r="J22">
        <f t="shared" ca="1" si="9"/>
        <v>0</v>
      </c>
      <c r="K22">
        <f ca="1">IF(OR($C22="S",$C22=0),0,MATCH(OFFSET($D22,0,$C22)+IF($C22&lt;&gt;1,1,COUNTIF(QCI!$A$13:$A$15,ORÇAMENTO!E22)),OFFSET($D22,1,$C22,ROW($C$93)-ROW($C22)),0))</f>
        <v>0</v>
      </c>
      <c r="L22" s="114" t="str">
        <f t="shared" ca="1" si="10"/>
        <v>F</v>
      </c>
      <c r="M22" s="115" t="s">
        <v>705</v>
      </c>
      <c r="N22" s="116" t="str">
        <f t="shared" ca="1" si="11"/>
        <v>Serviço</v>
      </c>
      <c r="O22" s="117" t="str">
        <f t="shared" ca="1" si="12"/>
        <v>1.1.1.4.</v>
      </c>
      <c r="P22" s="118" t="s">
        <v>1020</v>
      </c>
      <c r="Q22" s="119" t="s">
        <v>1024</v>
      </c>
      <c r="R22" s="120" t="str" cm="1">
        <f t="array" aca="1" ref="R22" ca="1">IF($C22="S",REFERENCIA.Descricao,"(digite a descrição aqui)")</f>
        <v>(Código não identificado nas referências)</v>
      </c>
      <c r="S22" s="121" t="s">
        <v>639</v>
      </c>
      <c r="T22" s="122">
        <f ca="1">OFFSET(CÁLCULO!H$15,ROW($T22)-ROW(T$15),0)</f>
        <v>6</v>
      </c>
      <c r="U22" s="123">
        <v>2020.53</v>
      </c>
      <c r="V22" s="124" t="s">
        <v>663</v>
      </c>
      <c r="W22" s="122" cm="1">
        <f t="array" aca="1" ref="W22" ca="1">IF($C22="S",ROUND(IF(TIPOORCAMENTO="Proposto",ORÇAMENTO.CustoUnitario*(1+$AH22),ORÇAMENTO.PrecoUnitarioLicitado),15-13*$AF$10),0)</f>
        <v>2522.63</v>
      </c>
      <c r="X22" s="125" cm="1">
        <f t="array" aca="1" ref="X22" ca="1">IF($C22="S",IF(OR(Import.TipoArredondamento&lt;&gt;"TransfereGOV",ACOMPANHAMENTO="BM"),VTOTAL1,SUM(OFFSET(CÁLCULO!$AA$15,ROW($X22)-ROW($X$15),1):OFFSET(CÁLCULO!$AL$15,ROW($X22)-ROW($X$15),-1))),IF($C22=0,0,ROUND(SomaAgrup,15-13*$AF$11)))</f>
        <v>15135.79</v>
      </c>
      <c r="Y22" s="126" t="s">
        <v>751</v>
      </c>
      <c r="Z22" t="str">
        <f t="shared" ca="1" si="13"/>
        <v>RA</v>
      </c>
      <c r="AA22" s="127" cm="1">
        <f t="array" aca="1" ref="AA22" ca="1">IF($C22="S",IF($Z22="CP",$X22,IF($Z22="RA",(($X22)*QCI!$AA$3),0)),SomaAgrup)</f>
        <v>0</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CÓDIGO N/ID</v>
      </c>
      <c r="AD22" t="str">
        <f ca="1">IF(C22&lt;=CRONO.NivelExibicao,MAX($AD$15:OFFSET(AD22,-1,0))+IF($C22&lt;&gt;1,1,MAX(1,COUNTIF(QCI!$A$13:$A$15,OFFSET($E22,-1,0)))),"")</f>
        <v/>
      </c>
      <c r="AE22" s="7" t="str" cm="1">
        <f t="array" aca="1" ref="AE22" ca="1">IF(AND($C22="S",ORÇAMENTO.CodBarra&lt;&gt;""),IF(ORÇAMENTO.Fonte="",ORÇAMENTO.CodBarra,CONCATENATE(ORÇAMENTO.Fonte," ",ORÇAMENTO.CodBarra)))</f>
        <v>SEINFRA CO-27422</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(Código não identificado nas referências)</v>
      </c>
      <c r="AG22" s="428" cm="1">
        <f t="array" aca="1" ref="AG22" ca="1">ROUND(IF(DESONERACAO="sim",REFERENCIA.Desonerado,REFERENCIA.NaoDesonerado),2)</f>
        <v>0</v>
      </c>
      <c r="AH22" s="429">
        <f t="shared" ca="1" si="14"/>
        <v>0.2485</v>
      </c>
      <c r="AJ22" s="431"/>
      <c r="AL22" s="439"/>
      <c r="AM22" s="336">
        <f t="shared" ca="1" si="0"/>
        <v>15135.79</v>
      </c>
      <c r="AN22" s="470" cm="1">
        <f t="array" aca="1" ref="AN22" ca="1">ROUND(ORÇAMENTO.CustoUnitario*(1+$AH22),2)</f>
        <v>2522.63</v>
      </c>
    </row>
    <row r="23" spans="1:40" x14ac:dyDescent="0.2">
      <c r="A23" t="str">
        <f t="shared" si="1"/>
        <v>S</v>
      </c>
      <c r="B23">
        <f t="shared" ca="1" si="2"/>
        <v>3</v>
      </c>
      <c r="C23" t="str">
        <f t="shared" ca="1" si="3"/>
        <v>S</v>
      </c>
      <c r="D23">
        <f t="shared" ca="1" si="4"/>
        <v>0</v>
      </c>
      <c r="E23">
        <f ca="1">IF($C23=1,OFFSET(E23,-1,0)+MAX(1,COUNTIF(QCI!$A$13:$A$15,OFFSET(ORÇAMENTO!E23,-1,0))),OFFSET(E23,-1,0))</f>
        <v>1</v>
      </c>
      <c r="F23">
        <f t="shared" ca="1" si="5"/>
        <v>1</v>
      </c>
      <c r="G23">
        <f t="shared" ca="1" si="6"/>
        <v>1</v>
      </c>
      <c r="H23">
        <f t="shared" ca="1" si="7"/>
        <v>0</v>
      </c>
      <c r="I23">
        <f t="shared" ca="1" si="8"/>
        <v>5</v>
      </c>
      <c r="J23">
        <f t="shared" ca="1" si="9"/>
        <v>0</v>
      </c>
      <c r="K23">
        <f ca="1">IF(OR($C23="S",$C23=0),0,MATCH(OFFSET($D23,0,$C23)+IF($C23&lt;&gt;1,1,COUNTIF(QCI!$A$13:$A$15,ORÇAMENTO!E23)),OFFSET($D23,1,$C23,ROW($C$93)-ROW($C23)),0))</f>
        <v>0</v>
      </c>
      <c r="L23" s="114" t="str">
        <f t="shared" ca="1" si="10"/>
        <v>F</v>
      </c>
      <c r="M23" s="115" t="s">
        <v>705</v>
      </c>
      <c r="N23" s="116" t="str">
        <f t="shared" ca="1" si="11"/>
        <v>Serviço</v>
      </c>
      <c r="O23" s="117" t="str">
        <f t="shared" ca="1" si="12"/>
        <v>1.1.1.5.</v>
      </c>
      <c r="P23" s="118" t="s">
        <v>1020</v>
      </c>
      <c r="Q23" s="119" t="s">
        <v>1025</v>
      </c>
      <c r="R23" s="120" t="str" cm="1">
        <f t="array" aca="1" ref="R23" ca="1">IF($C23="S",REFERENCIA.Descricao,"(digite a descrição aqui)")</f>
        <v>(Código não identificado nas referências)</v>
      </c>
      <c r="S23" s="121" t="s">
        <v>639</v>
      </c>
      <c r="T23" s="122">
        <f ca="1">OFFSET(CÁLCULO!H$15,ROW($T23)-ROW(T$15),0)</f>
        <v>7</v>
      </c>
      <c r="U23" s="123">
        <v>1480.18</v>
      </c>
      <c r="V23" s="124" t="s">
        <v>663</v>
      </c>
      <c r="W23" s="122" cm="1">
        <f t="array" aca="1" ref="W23" ca="1">IF($C23="S",ROUND(IF(TIPOORCAMENTO="Proposto",ORÇAMENTO.CustoUnitario*(1+$AH23),ORÇAMENTO.PrecoUnitarioLicitado),15-13*$AF$10),0)</f>
        <v>1848</v>
      </c>
      <c r="X23" s="125" cm="1">
        <f t="array" aca="1" ref="X23" ca="1">IF($C23="S",IF(OR(Import.TipoArredondamento&lt;&gt;"TransfereGOV",ACOMPANHAMENTO="BM"),VTOTAL1,SUM(OFFSET(CÁLCULO!$AA$15,ROW($X23)-ROW($X$15),1):OFFSET(CÁLCULO!$AL$15,ROW($X23)-ROW($X$15),-1))),IF($C23=0,0,ROUND(SomaAgrup,15-13*$AF$11)))</f>
        <v>12936</v>
      </c>
      <c r="Y23" s="126" t="s">
        <v>751</v>
      </c>
      <c r="Z23" t="str">
        <f t="shared" ca="1" si="13"/>
        <v>RA</v>
      </c>
      <c r="AA23" s="127" cm="1">
        <f t="array" aca="1" ref="AA23" ca="1">IF($C23="S",IF($Z23="CP",$X23,IF($Z23="RA",(($X23)*QCI!$AA$3),0)),SomaAgrup)</f>
        <v>0</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CÓDIGO N/ID</v>
      </c>
      <c r="AD23" t="str">
        <f ca="1">IF(C23&lt;=CRONO.NivelExibicao,MAX($AD$15:OFFSET(AD23,-1,0))+IF($C23&lt;&gt;1,1,MAX(1,COUNTIF(QCI!$A$13:$A$15,OFFSET($E23,-1,0)))),"")</f>
        <v/>
      </c>
      <c r="AE23" s="7" t="str" cm="1">
        <f t="array" aca="1" ref="AE23" ca="1">IF(AND($C23="S",ORÇAMENTO.CodBarra&lt;&gt;""),IF(ORÇAMENTO.Fonte="",ORÇAMENTO.CodBarra,CONCATENATE(ORÇAMENTO.Fonte," ",ORÇAMENTO.CodBarra)))</f>
        <v>SEINFRA CO-27427</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(Código não identificado nas referências)</v>
      </c>
      <c r="AG23" s="428" cm="1">
        <f t="array" aca="1" ref="AG23" ca="1">ROUND(IF(DESONERACAO="sim",REFERENCIA.Desonerado,REFERENCIA.NaoDesonerado),2)</f>
        <v>0</v>
      </c>
      <c r="AH23" s="429">
        <f t="shared" ca="1" si="14"/>
        <v>0.2485</v>
      </c>
      <c r="AJ23" s="431"/>
      <c r="AL23" s="439"/>
      <c r="AM23" s="336">
        <f t="shared" ca="1" si="0"/>
        <v>12936</v>
      </c>
      <c r="AN23" s="470" cm="1">
        <f t="array" aca="1" ref="AN23" ca="1">ROUND(ORÇAMENTO.CustoUnitario*(1+$AH23),2)</f>
        <v>1848</v>
      </c>
    </row>
    <row r="24" spans="1:40" x14ac:dyDescent="0.2">
      <c r="A24" t="str">
        <f t="shared" si="1"/>
        <v>S</v>
      </c>
      <c r="B24">
        <f t="shared" ca="1" si="2"/>
        <v>3</v>
      </c>
      <c r="C24" t="str">
        <f t="shared" ca="1" si="3"/>
        <v>S</v>
      </c>
      <c r="D24">
        <f t="shared" ca="1" si="4"/>
        <v>0</v>
      </c>
      <c r="E24">
        <f ca="1">IF($C24=1,OFFSET(E24,-1,0)+MAX(1,COUNTIF(QCI!$A$13:$A$15,OFFSET(ORÇAMENTO!E24,-1,0))),OFFSET(E24,-1,0))</f>
        <v>1</v>
      </c>
      <c r="F24">
        <f t="shared" ca="1" si="5"/>
        <v>1</v>
      </c>
      <c r="G24">
        <f t="shared" ca="1" si="6"/>
        <v>1</v>
      </c>
      <c r="H24">
        <f t="shared" ca="1" si="7"/>
        <v>0</v>
      </c>
      <c r="I24">
        <f t="shared" ca="1" si="8"/>
        <v>6</v>
      </c>
      <c r="J24">
        <f t="shared" ca="1" si="9"/>
        <v>0</v>
      </c>
      <c r="K24">
        <f ca="1">IF(OR($C24="S",$C24=0),0,MATCH(OFFSET($D24,0,$C24)+IF($C24&lt;&gt;1,1,COUNTIF(QCI!$A$13:$A$15,ORÇAMENTO!E24)),OFFSET($D24,1,$C24,ROW($C$93)-ROW($C24)),0))</f>
        <v>0</v>
      </c>
      <c r="L24" s="114" t="str">
        <f t="shared" ca="1" si="10"/>
        <v>F</v>
      </c>
      <c r="M24" s="115" t="s">
        <v>705</v>
      </c>
      <c r="N24" s="116" t="str">
        <f t="shared" ca="1" si="11"/>
        <v>Serviço</v>
      </c>
      <c r="O24" s="117" t="str">
        <f t="shared" ca="1" si="12"/>
        <v>1.1.1.6.</v>
      </c>
      <c r="P24" s="118" t="s">
        <v>1020</v>
      </c>
      <c r="Q24" s="119" t="s">
        <v>1026</v>
      </c>
      <c r="R24" s="120" t="str" cm="1">
        <f t="array" aca="1" ref="R24" ca="1">IF($C24="S",REFERENCIA.Descricao,"(digite a descrição aqui)")</f>
        <v>(Código não identificado nas referências)</v>
      </c>
      <c r="S24" s="121" t="s">
        <v>639</v>
      </c>
      <c r="T24" s="122">
        <f ca="1">OFFSET(CÁLCULO!H$15,ROW($T24)-ROW(T$15),0)</f>
        <v>2</v>
      </c>
      <c r="U24" s="123">
        <v>2180.8200000000002</v>
      </c>
      <c r="V24" s="124" t="s">
        <v>663</v>
      </c>
      <c r="W24" s="122" cm="1">
        <f t="array" aca="1" ref="W24" ca="1">IF($C24="S",ROUND(IF(TIPOORCAMENTO="Proposto",ORÇAMENTO.CustoUnitario*(1+$AH24),ORÇAMENTO.PrecoUnitarioLicitado),15-13*$AF$10),0)</f>
        <v>2722.75</v>
      </c>
      <c r="X24" s="125" cm="1">
        <f t="array" aca="1" ref="X24" ca="1">IF($C24="S",IF(OR(Import.TipoArredondamento&lt;&gt;"TransfereGOV",ACOMPANHAMENTO="BM"),VTOTAL1,SUM(OFFSET(CÁLCULO!$AA$15,ROW($X24)-ROW($X$15),1):OFFSET(CÁLCULO!$AL$15,ROW($X24)-ROW($X$15),-1))),IF($C24=0,0,ROUND(SomaAgrup,15-13*$AF$11)))</f>
        <v>5445.51</v>
      </c>
      <c r="Y24" s="126" t="s">
        <v>751</v>
      </c>
      <c r="Z24" t="str">
        <f t="shared" ca="1" si="13"/>
        <v>RA</v>
      </c>
      <c r="AA24" s="127" cm="1">
        <f t="array" aca="1" ref="AA24" ca="1">IF($C24="S",IF($Z24="CP",$X24,IF($Z24="RA",(($X24)*QCI!$AA$3),0)),SomaAgrup)</f>
        <v>0</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CÓDIGO N/ID</v>
      </c>
      <c r="AD24" t="str">
        <f ca="1">IF(C24&lt;=CRONO.NivelExibicao,MAX($AD$15:OFFSET(AD24,-1,0))+IF($C24&lt;&gt;1,1,MAX(1,COUNTIF(QCI!$A$13:$A$15,OFFSET($E24,-1,0)))),"")</f>
        <v/>
      </c>
      <c r="AE24" s="7" t="str" cm="1">
        <f t="array" aca="1" ref="AE24" ca="1">IF(AND($C24="S",ORÇAMENTO.CodBarra&lt;&gt;""),IF(ORÇAMENTO.Fonte="",ORÇAMENTO.CodBarra,CONCATENATE(ORÇAMENTO.Fonte," ",ORÇAMENTO.CodBarra)))</f>
        <v>SEINFRA CO-27428</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(Código não identificado nas referências)</v>
      </c>
      <c r="AG24" s="428" cm="1">
        <f t="array" aca="1" ref="AG24" ca="1">ROUND(IF(DESONERACAO="sim",REFERENCIA.Desonerado,REFERENCIA.NaoDesonerado),2)</f>
        <v>0</v>
      </c>
      <c r="AH24" s="429">
        <f t="shared" ca="1" si="14"/>
        <v>0.2485</v>
      </c>
      <c r="AJ24" s="431"/>
      <c r="AL24" s="439"/>
      <c r="AM24" s="336">
        <f t="shared" ca="1" si="0"/>
        <v>5445.51</v>
      </c>
      <c r="AN24" s="470" cm="1">
        <f t="array" aca="1" ref="AN24" ca="1">ROUND(ORÇAMENTO.CustoUnitario*(1+$AH24),2)</f>
        <v>2722.75</v>
      </c>
    </row>
    <row r="25" spans="1:40" x14ac:dyDescent="0.2">
      <c r="A25" t="str">
        <f t="shared" si="1"/>
        <v>S</v>
      </c>
      <c r="B25">
        <f t="shared" ca="1" si="2"/>
        <v>3</v>
      </c>
      <c r="C25" t="str">
        <f t="shared" ca="1" si="3"/>
        <v>S</v>
      </c>
      <c r="D25">
        <f t="shared" ca="1" si="4"/>
        <v>0</v>
      </c>
      <c r="E25">
        <f ca="1">IF($C25=1,OFFSET(E25,-1,0)+MAX(1,COUNTIF(QCI!$A$13:$A$15,OFFSET(ORÇAMENTO!E25,-1,0))),OFFSET(E25,-1,0))</f>
        <v>1</v>
      </c>
      <c r="F25">
        <f t="shared" ca="1" si="5"/>
        <v>1</v>
      </c>
      <c r="G25">
        <f t="shared" ca="1" si="6"/>
        <v>1</v>
      </c>
      <c r="H25">
        <f t="shared" ca="1" si="7"/>
        <v>0</v>
      </c>
      <c r="I25">
        <f t="shared" ca="1" si="8"/>
        <v>7</v>
      </c>
      <c r="J25">
        <f t="shared" ca="1" si="9"/>
        <v>0</v>
      </c>
      <c r="K25">
        <f ca="1">IF(OR($C25="S",$C25=0),0,MATCH(OFFSET($D25,0,$C25)+IF($C25&lt;&gt;1,1,COUNTIF(QCI!$A$13:$A$15,ORÇAMENTO!E25)),OFFSET($D25,1,$C25,ROW($C$93)-ROW($C25)),0))</f>
        <v>0</v>
      </c>
      <c r="L25" s="114" t="str">
        <f t="shared" ca="1" si="10"/>
        <v>F</v>
      </c>
      <c r="M25" s="115" t="s">
        <v>705</v>
      </c>
      <c r="N25" s="116" t="str">
        <f t="shared" ca="1" si="11"/>
        <v>Serviço</v>
      </c>
      <c r="O25" s="117" t="str">
        <f t="shared" ca="1" si="12"/>
        <v>1.1.1.7.</v>
      </c>
      <c r="P25" s="118" t="s">
        <v>1020</v>
      </c>
      <c r="Q25" s="119" t="s">
        <v>1027</v>
      </c>
      <c r="R25" s="120" t="str" cm="1">
        <f t="array" aca="1" ref="R25" ca="1">IF($C25="S",REFERENCIA.Descricao,"(digite a descrição aqui)")</f>
        <v>(Código não identificado nas referências)</v>
      </c>
      <c r="S25" s="121" t="s">
        <v>639</v>
      </c>
      <c r="T25" s="122">
        <f ca="1">OFFSET(CÁLCULO!H$15,ROW($T25)-ROW(T$15),0)</f>
        <v>2</v>
      </c>
      <c r="U25" s="123">
        <v>1352.47</v>
      </c>
      <c r="V25" s="124" t="s">
        <v>663</v>
      </c>
      <c r="W25" s="122" cm="1">
        <f t="array" aca="1" ref="W25" ca="1">IF($C25="S",ROUND(IF(TIPOORCAMENTO="Proposto",ORÇAMENTO.CustoUnitario*(1+$AH25),ORÇAMENTO.PrecoUnitarioLicitado),15-13*$AF$10),0)</f>
        <v>1688.56</v>
      </c>
      <c r="X25" s="125" cm="1">
        <f t="array" aca="1" ref="X25" ca="1">IF($C25="S",IF(OR(Import.TipoArredondamento&lt;&gt;"TransfereGOV",ACOMPANHAMENTO="BM"),VTOTAL1,SUM(OFFSET(CÁLCULO!$AA$15,ROW($X25)-ROW($X$15),1):OFFSET(CÁLCULO!$AL$15,ROW($X25)-ROW($X$15),-1))),IF($C25=0,0,ROUND(SomaAgrup,15-13*$AF$11)))</f>
        <v>3377.12</v>
      </c>
      <c r="Y25" s="126" t="s">
        <v>751</v>
      </c>
      <c r="Z25" t="str">
        <f t="shared" ca="1" si="13"/>
        <v>RA</v>
      </c>
      <c r="AA25" s="127" cm="1">
        <f t="array" aca="1" ref="AA25" ca="1">IF($C25="S",IF($Z25="CP",$X25,IF($Z25="RA",(($X25)*QCI!$AA$3),0)),SomaAgrup)</f>
        <v>0</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CÓDIGO N/ID</v>
      </c>
      <c r="AD25" t="str">
        <f ca="1">IF(C25&lt;=CRONO.NivelExibicao,MAX($AD$15:OFFSET(AD25,-1,0))+IF($C25&lt;&gt;1,1,MAX(1,COUNTIF(QCI!$A$13:$A$15,OFFSET($E25,-1,0)))),"")</f>
        <v/>
      </c>
      <c r="AE25" s="7" t="str" cm="1">
        <f t="array" aca="1" ref="AE25" ca="1">IF(AND($C25="S",ORÇAMENTO.CodBarra&lt;&gt;""),IF(ORÇAMENTO.Fonte="",ORÇAMENTO.CodBarra,CONCATENATE(ORÇAMENTO.Fonte," ",ORÇAMENTO.CodBarra)))</f>
        <v>SEINFRA CO-27426</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(Código não identificado nas referências)</v>
      </c>
      <c r="AG25" s="428" cm="1">
        <f t="array" aca="1" ref="AG25" ca="1">ROUND(IF(DESONERACAO="sim",REFERENCIA.Desonerado,REFERENCIA.NaoDesonerado),2)</f>
        <v>0</v>
      </c>
      <c r="AH25" s="429">
        <f t="shared" ca="1" si="14"/>
        <v>0.2485</v>
      </c>
      <c r="AJ25" s="431"/>
      <c r="AL25" s="439"/>
      <c r="AM25" s="336">
        <f t="shared" ca="1" si="0"/>
        <v>3377.12</v>
      </c>
      <c r="AN25" s="470" cm="1">
        <f t="array" aca="1" ref="AN25" ca="1">ROUND(ORÇAMENTO.CustoUnitario*(1+$AH25),2)</f>
        <v>1688.56</v>
      </c>
    </row>
    <row r="26" spans="1:40" x14ac:dyDescent="0.2">
      <c r="A26" t="str">
        <f t="shared" si="1"/>
        <v>S</v>
      </c>
      <c r="B26">
        <f t="shared" ca="1" si="2"/>
        <v>3</v>
      </c>
      <c r="C26" t="str">
        <f t="shared" ca="1" si="3"/>
        <v>S</v>
      </c>
      <c r="D26">
        <f t="shared" ca="1" si="4"/>
        <v>0</v>
      </c>
      <c r="E26">
        <f ca="1">IF($C26=1,OFFSET(E26,-1,0)+MAX(1,COUNTIF(QCI!$A$13:$A$15,OFFSET(ORÇAMENTO!E26,-1,0))),OFFSET(E26,-1,0))</f>
        <v>1</v>
      </c>
      <c r="F26">
        <f t="shared" ca="1" si="5"/>
        <v>1</v>
      </c>
      <c r="G26">
        <f t="shared" ca="1" si="6"/>
        <v>1</v>
      </c>
      <c r="H26">
        <f t="shared" ca="1" si="7"/>
        <v>0</v>
      </c>
      <c r="I26">
        <f t="shared" ca="1" si="8"/>
        <v>8</v>
      </c>
      <c r="J26">
        <f t="shared" ca="1" si="9"/>
        <v>0</v>
      </c>
      <c r="K26">
        <f ca="1">IF(OR($C26="S",$C26=0),0,MATCH(OFFSET($D26,0,$C26)+IF($C26&lt;&gt;1,1,COUNTIF(QCI!$A$13:$A$15,ORÇAMENTO!E26)),OFFSET($D26,1,$C26,ROW($C$93)-ROW($C26)),0))</f>
        <v>0</v>
      </c>
      <c r="L26" s="114" t="str">
        <f t="shared" ca="1" si="10"/>
        <v>F</v>
      </c>
      <c r="M26" s="115" t="s">
        <v>705</v>
      </c>
      <c r="N26" s="116" t="str">
        <f t="shared" ca="1" si="11"/>
        <v>Serviço</v>
      </c>
      <c r="O26" s="117" t="str">
        <f t="shared" ca="1" si="12"/>
        <v>1.1.1.8.</v>
      </c>
      <c r="P26" s="118" t="s">
        <v>1020</v>
      </c>
      <c r="Q26" s="119" t="s">
        <v>1028</v>
      </c>
      <c r="R26" s="120" t="str" cm="1">
        <f t="array" aca="1" ref="R26" ca="1">IF($C26="S",REFERENCIA.Descricao,"(digite a descrição aqui)")</f>
        <v>(Código não identificado nas referências)</v>
      </c>
      <c r="S26" s="121" t="s">
        <v>639</v>
      </c>
      <c r="T26" s="122">
        <f ca="1">OFFSET(CÁLCULO!H$15,ROW($T26)-ROW(T$15),0)</f>
        <v>2</v>
      </c>
      <c r="U26" s="123">
        <v>1808.2</v>
      </c>
      <c r="V26" s="124" t="s">
        <v>663</v>
      </c>
      <c r="W26" s="122" cm="1">
        <f t="array" aca="1" ref="W26" ca="1">IF($C26="S",ROUND(IF(TIPOORCAMENTO="Proposto",ORÇAMENTO.CustoUnitario*(1+$AH26),ORÇAMENTO.PrecoUnitarioLicitado),15-13*$AF$10),0)</f>
        <v>2257.54</v>
      </c>
      <c r="X26" s="125" cm="1">
        <f t="array" aca="1" ref="X26" ca="1">IF($C26="S",IF(OR(Import.TipoArredondamento&lt;&gt;"TransfereGOV",ACOMPANHAMENTO="BM"),VTOTAL1,SUM(OFFSET(CÁLCULO!$AA$15,ROW($X26)-ROW($X$15),1):OFFSET(CÁLCULO!$AL$15,ROW($X26)-ROW($X$15),-1))),IF($C26=0,0,ROUND(SomaAgrup,15-13*$AF$11)))</f>
        <v>4515.08</v>
      </c>
      <c r="Y26" s="126" t="s">
        <v>751</v>
      </c>
      <c r="Z26" t="str">
        <f t="shared" ca="1" si="13"/>
        <v>RA</v>
      </c>
      <c r="AA26" s="127" cm="1">
        <f t="array" aca="1" ref="AA26" ca="1">IF($C26="S",IF($Z26="CP",$X26,IF($Z26="RA",(($X26)*QCI!$AA$3),0)),SomaAgrup)</f>
        <v>0</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CÓDIGO N/ID</v>
      </c>
      <c r="AD26" t="str">
        <f ca="1">IF(C26&lt;=CRONO.NivelExibicao,MAX($AD$15:OFFSET(AD26,-1,0))+IF($C26&lt;&gt;1,1,MAX(1,COUNTIF(QCI!$A$13:$A$15,OFFSET($E26,-1,0)))),"")</f>
        <v/>
      </c>
      <c r="AE26" s="7" t="str" cm="1">
        <f t="array" aca="1" ref="AE26" ca="1">IF(AND($C26="S",ORÇAMENTO.CodBarra&lt;&gt;""),IF(ORÇAMENTO.Fonte="",ORÇAMENTO.CodBarra,CONCATENATE(ORÇAMENTO.Fonte," ",ORÇAMENTO.CodBarra)))</f>
        <v>SEINFRA CO-27431</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(Código não identificado nas referências)</v>
      </c>
      <c r="AG26" s="428" cm="1">
        <f t="array" aca="1" ref="AG26" ca="1">ROUND(IF(DESONERACAO="sim",REFERENCIA.Desonerado,REFERENCIA.NaoDesonerado),2)</f>
        <v>0</v>
      </c>
      <c r="AH26" s="429">
        <f t="shared" ca="1" si="14"/>
        <v>0.2485</v>
      </c>
      <c r="AJ26" s="431"/>
      <c r="AL26" s="439"/>
      <c r="AM26" s="336">
        <f t="shared" ca="1" si="0"/>
        <v>4515.08</v>
      </c>
      <c r="AN26" s="470" cm="1">
        <f t="array" aca="1" ref="AN26" ca="1">ROUND(ORÇAMENTO.CustoUnitario*(1+$AH26),2)</f>
        <v>2257.54</v>
      </c>
    </row>
    <row r="27" spans="1:40" x14ac:dyDescent="0.2">
      <c r="A27" t="str">
        <f t="shared" si="1"/>
        <v>S</v>
      </c>
      <c r="B27">
        <f t="shared" ca="1" si="2"/>
        <v>3</v>
      </c>
      <c r="C27" t="str">
        <f t="shared" ca="1" si="3"/>
        <v>S</v>
      </c>
      <c r="D27">
        <f t="shared" ca="1" si="4"/>
        <v>0</v>
      </c>
      <c r="E27">
        <f ca="1">IF($C27=1,OFFSET(E27,-1,0)+MAX(1,COUNTIF(QCI!$A$13:$A$15,OFFSET(ORÇAMENTO!E27,-1,0))),OFFSET(E27,-1,0))</f>
        <v>1</v>
      </c>
      <c r="F27">
        <f t="shared" ca="1" si="5"/>
        <v>1</v>
      </c>
      <c r="G27">
        <f t="shared" ca="1" si="6"/>
        <v>1</v>
      </c>
      <c r="H27">
        <f t="shared" ca="1" si="7"/>
        <v>0</v>
      </c>
      <c r="I27">
        <f t="shared" ca="1" si="8"/>
        <v>9</v>
      </c>
      <c r="J27">
        <f t="shared" ca="1" si="9"/>
        <v>0</v>
      </c>
      <c r="K27">
        <f ca="1">IF(OR($C27="S",$C27=0),0,MATCH(OFFSET($D27,0,$C27)+IF($C27&lt;&gt;1,1,COUNTIF(QCI!$A$13:$A$15,ORÇAMENTO!E27)),OFFSET($D27,1,$C27,ROW($C$93)-ROW($C27)),0))</f>
        <v>0</v>
      </c>
      <c r="L27" s="114" t="str">
        <f t="shared" ca="1" si="10"/>
        <v>F</v>
      </c>
      <c r="M27" s="115" t="s">
        <v>705</v>
      </c>
      <c r="N27" s="116" t="str">
        <f t="shared" ca="1" si="11"/>
        <v>Serviço</v>
      </c>
      <c r="O27" s="117" t="str">
        <f t="shared" ca="1" si="12"/>
        <v>1.1.1.9.</v>
      </c>
      <c r="P27" s="118" t="s">
        <v>1020</v>
      </c>
      <c r="Q27" s="119" t="s">
        <v>1029</v>
      </c>
      <c r="R27" s="120" t="str" cm="1">
        <f t="array" aca="1" ref="R27" ca="1">IF($C27="S",REFERENCIA.Descricao,"(digite a descrição aqui)")</f>
        <v>(Código não identificado nas referências)</v>
      </c>
      <c r="S27" s="121" t="s">
        <v>639</v>
      </c>
      <c r="T27" s="122">
        <f ca="1">OFFSET(CÁLCULO!H$15,ROW($T27)-ROW(T$15),0)</f>
        <v>1</v>
      </c>
      <c r="U27" s="123">
        <v>592.48</v>
      </c>
      <c r="V27" s="124" t="s">
        <v>663</v>
      </c>
      <c r="W27" s="122" cm="1">
        <f t="array" aca="1" ref="W27" ca="1">IF($C27="S",ROUND(IF(TIPOORCAMENTO="Proposto",ORÇAMENTO.CustoUnitario*(1+$AH27),ORÇAMENTO.PrecoUnitarioLicitado),15-13*$AF$10),0)</f>
        <v>739.71</v>
      </c>
      <c r="X27" s="125" cm="1">
        <f t="array" aca="1" ref="X27" ca="1">IF($C27="S",IF(OR(Import.TipoArredondamento&lt;&gt;"TransfereGOV",ACOMPANHAMENTO="BM"),VTOTAL1,SUM(OFFSET(CÁLCULO!$AA$15,ROW($X27)-ROW($X$15),1):OFFSET(CÁLCULO!$AL$15,ROW($X27)-ROW($X$15),-1))),IF($C27=0,0,ROUND(SomaAgrup,15-13*$AF$11)))</f>
        <v>739.72</v>
      </c>
      <c r="Y27" s="126" t="s">
        <v>751</v>
      </c>
      <c r="Z27" t="str">
        <f t="shared" ca="1" si="13"/>
        <v>RA</v>
      </c>
      <c r="AA27" s="127" cm="1">
        <f t="array" aca="1" ref="AA27" ca="1">IF($C27="S",IF($Z27="CP",$X27,IF($Z27="RA",(($X27)*QCI!$AA$3),0)),SomaAgrup)</f>
        <v>0</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CÓDIGO N/ID</v>
      </c>
      <c r="AD27" t="str">
        <f ca="1">IF(C27&lt;=CRONO.NivelExibicao,MAX($AD$15:OFFSET(AD27,-1,0))+IF($C27&lt;&gt;1,1,MAX(1,COUNTIF(QCI!$A$13:$A$15,OFFSET($E27,-1,0)))),"")</f>
        <v/>
      </c>
      <c r="AE27" s="7" t="str" cm="1">
        <f t="array" aca="1" ref="AE27" ca="1">IF(AND($C27="S",ORÇAMENTO.CodBarra&lt;&gt;""),IF(ORÇAMENTO.Fonte="",ORÇAMENTO.CodBarra,CONCATENATE(ORÇAMENTO.Fonte," ",ORÇAMENTO.CodBarra)))</f>
        <v>SEINFRA CO-27472</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(Código não identificado nas referências)</v>
      </c>
      <c r="AG27" s="428" cm="1">
        <f t="array" aca="1" ref="AG27" ca="1">ROUND(IF(DESONERACAO="sim",REFERENCIA.Desonerado,REFERENCIA.NaoDesonerado),2)</f>
        <v>0</v>
      </c>
      <c r="AH27" s="429">
        <f t="shared" ca="1" si="14"/>
        <v>0.2485</v>
      </c>
      <c r="AJ27" s="431"/>
      <c r="AL27" s="439"/>
      <c r="AM27" s="336">
        <f t="shared" ca="1" si="0"/>
        <v>739.72</v>
      </c>
      <c r="AN27" s="470" cm="1">
        <f t="array" aca="1" ref="AN27" ca="1">ROUND(ORÇAMENTO.CustoUnitario*(1+$AH27),2)</f>
        <v>739.71</v>
      </c>
    </row>
    <row r="28" spans="1:40" x14ac:dyDescent="0.2">
      <c r="A28" t="str">
        <f t="shared" si="1"/>
        <v>S</v>
      </c>
      <c r="B28">
        <f t="shared" ca="1" si="2"/>
        <v>3</v>
      </c>
      <c r="C28" t="str">
        <f t="shared" ca="1" si="3"/>
        <v>S</v>
      </c>
      <c r="D28">
        <f t="shared" ca="1" si="4"/>
        <v>0</v>
      </c>
      <c r="E28">
        <f ca="1">IF($C28=1,OFFSET(E28,-1,0)+MAX(1,COUNTIF(QCI!$A$13:$A$15,OFFSET(ORÇAMENTO!E28,-1,0))),OFFSET(E28,-1,0))</f>
        <v>1</v>
      </c>
      <c r="F28">
        <f t="shared" ca="1" si="5"/>
        <v>1</v>
      </c>
      <c r="G28">
        <f t="shared" ca="1" si="6"/>
        <v>1</v>
      </c>
      <c r="H28">
        <f t="shared" ca="1" si="7"/>
        <v>0</v>
      </c>
      <c r="I28">
        <f t="shared" ca="1" si="8"/>
        <v>10</v>
      </c>
      <c r="J28">
        <f t="shared" ca="1" si="9"/>
        <v>0</v>
      </c>
      <c r="K28">
        <f ca="1">IF(OR($C28="S",$C28=0),0,MATCH(OFFSET($D28,0,$C28)+IF($C28&lt;&gt;1,1,COUNTIF(QCI!$A$13:$A$15,ORÇAMENTO!E28)),OFFSET($D28,1,$C28,ROW($C$93)-ROW($C28)),0))</f>
        <v>0</v>
      </c>
      <c r="L28" s="114" t="str">
        <f t="shared" ca="1" si="10"/>
        <v>F</v>
      </c>
      <c r="M28" s="115" t="s">
        <v>705</v>
      </c>
      <c r="N28" s="116" t="str">
        <f t="shared" ca="1" si="11"/>
        <v>Serviço</v>
      </c>
      <c r="O28" s="117" t="str">
        <f t="shared" ca="1" si="12"/>
        <v>1.1.1.10.</v>
      </c>
      <c r="P28" s="118" t="s">
        <v>1020</v>
      </c>
      <c r="Q28" s="119" t="s">
        <v>1030</v>
      </c>
      <c r="R28" s="120" t="str" cm="1">
        <f t="array" aca="1" ref="R28" ca="1">IF($C28="S",REFERENCIA.Descricao,"(digite a descrição aqui)")</f>
        <v>(Código não identificado nas referências)</v>
      </c>
      <c r="S28" s="121" t="s">
        <v>639</v>
      </c>
      <c r="T28" s="122">
        <f ca="1">OFFSET(CÁLCULO!H$15,ROW($T28)-ROW(T$15),0)</f>
        <v>4</v>
      </c>
      <c r="U28" s="123">
        <v>1730.34</v>
      </c>
      <c r="V28" s="124" t="s">
        <v>663</v>
      </c>
      <c r="W28" s="122" cm="1">
        <f t="array" aca="1" ref="W28" ca="1">IF($C28="S",ROUND(IF(TIPOORCAMENTO="Proposto",ORÇAMENTO.CustoUnitario*(1+$AH28),ORÇAMENTO.PrecoUnitarioLicitado),15-13*$AF$10),0)</f>
        <v>2160.33</v>
      </c>
      <c r="X28" s="125" cm="1">
        <f t="array" aca="1" ref="X28" ca="1">IF($C28="S",IF(OR(Import.TipoArredondamento&lt;&gt;"TransfereGOV",ACOMPANHAMENTO="BM"),VTOTAL1,SUM(OFFSET(CÁLCULO!$AA$15,ROW($X28)-ROW($X$15),1):OFFSET(CÁLCULO!$AL$15,ROW($X28)-ROW($X$15),-1))),IF($C28=0,0,ROUND(SomaAgrup,15-13*$AF$11)))</f>
        <v>8641.32</v>
      </c>
      <c r="Y28" s="126" t="s">
        <v>751</v>
      </c>
      <c r="Z28" t="str">
        <f t="shared" ca="1" si="13"/>
        <v>RA</v>
      </c>
      <c r="AA28" s="127" cm="1">
        <f t="array" aca="1" ref="AA28" ca="1">IF($C28="S",IF($Z28="CP",$X28,IF($Z28="RA",(($X28)*QCI!$AA$3),0)),SomaAgrup)</f>
        <v>0</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CÓDIGO N/ID</v>
      </c>
      <c r="AD28" t="str">
        <f ca="1">IF(C28&lt;=CRONO.NivelExibicao,MAX($AD$15:OFFSET(AD28,-1,0))+IF($C28&lt;&gt;1,1,MAX(1,COUNTIF(QCI!$A$13:$A$15,OFFSET($E28,-1,0)))),"")</f>
        <v/>
      </c>
      <c r="AE28" s="7" t="str" cm="1">
        <f t="array" aca="1" ref="AE28" ca="1">IF(AND($C28="S",ORÇAMENTO.CodBarra&lt;&gt;""),IF(ORÇAMENTO.Fonte="",ORÇAMENTO.CodBarra,CONCATENATE(ORÇAMENTO.Fonte," ",ORÇAMENTO.CodBarra)))</f>
        <v>SEINFRA CO-27430</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(Código não identificado nas referências)</v>
      </c>
      <c r="AG28" s="428" cm="1">
        <f t="array" aca="1" ref="AG28" ca="1">ROUND(IF(DESONERACAO="sim",REFERENCIA.Desonerado,REFERENCIA.NaoDesonerado),2)</f>
        <v>0</v>
      </c>
      <c r="AH28" s="429">
        <f t="shared" ca="1" si="14"/>
        <v>0.2485</v>
      </c>
      <c r="AJ28" s="431"/>
      <c r="AL28" s="439"/>
      <c r="AM28" s="336">
        <f t="shared" ca="1" si="0"/>
        <v>8641.32</v>
      </c>
      <c r="AN28" s="470" cm="1">
        <f t="array" aca="1" ref="AN28" ca="1">ROUND(ORÇAMENTO.CustoUnitario*(1+$AH28),2)</f>
        <v>2160.33</v>
      </c>
    </row>
    <row r="29" spans="1:40" ht="25.5" x14ac:dyDescent="0.2">
      <c r="A29" t="str">
        <f t="shared" si="1"/>
        <v>S</v>
      </c>
      <c r="B29">
        <f t="shared" ca="1" si="2"/>
        <v>3</v>
      </c>
      <c r="C29" t="str">
        <f t="shared" ca="1" si="3"/>
        <v>S</v>
      </c>
      <c r="D29">
        <f t="shared" ca="1" si="4"/>
        <v>0</v>
      </c>
      <c r="E29">
        <f ca="1">IF($C29=1,OFFSET(E29,-1,0)+MAX(1,COUNTIF(QCI!$A$13:$A$15,OFFSET(ORÇAMENTO!E29,-1,0))),OFFSET(E29,-1,0))</f>
        <v>1</v>
      </c>
      <c r="F29">
        <f t="shared" ca="1" si="5"/>
        <v>1</v>
      </c>
      <c r="G29">
        <f t="shared" ca="1" si="6"/>
        <v>1</v>
      </c>
      <c r="H29">
        <f t="shared" ca="1" si="7"/>
        <v>0</v>
      </c>
      <c r="I29">
        <f t="shared" ca="1" si="8"/>
        <v>11</v>
      </c>
      <c r="J29">
        <f t="shared" ca="1" si="9"/>
        <v>0</v>
      </c>
      <c r="K29">
        <f ca="1">IF(OR($C29="S",$C29=0),0,MATCH(OFFSET($D29,0,$C29)+IF($C29&lt;&gt;1,1,COUNTIF(QCI!$A$13:$A$15,ORÇAMENTO!E29)),OFFSET($D29,1,$C29,ROW($C$93)-ROW($C29)),0))</f>
        <v>0</v>
      </c>
      <c r="L29" s="114" t="str">
        <f t="shared" ca="1" si="10"/>
        <v>F</v>
      </c>
      <c r="M29" s="115" t="s">
        <v>705</v>
      </c>
      <c r="N29" s="116" t="str">
        <f t="shared" ca="1" si="11"/>
        <v>Serviço</v>
      </c>
      <c r="O29" s="117" t="str">
        <f t="shared" ca="1" si="12"/>
        <v>1.1.1.11.</v>
      </c>
      <c r="P29" s="118" t="s">
        <v>1020</v>
      </c>
      <c r="Q29" s="119" t="s">
        <v>1031</v>
      </c>
      <c r="R29" s="120" t="str" cm="1">
        <f t="array" aca="1" ref="R29" ca="1">IF($C29="S",REFERENCIA.Descricao,"(digite a descrição aqui)")</f>
        <v>(Código não identificado nas referências)</v>
      </c>
      <c r="S29" s="121" t="s">
        <v>639</v>
      </c>
      <c r="T29" s="122">
        <f ca="1">OFFSET(CÁLCULO!H$15,ROW($T29)-ROW(T$15),0)</f>
        <v>1</v>
      </c>
      <c r="U29" s="123">
        <v>1334.69</v>
      </c>
      <c r="V29" s="124" t="s">
        <v>663</v>
      </c>
      <c r="W29" s="122" cm="1">
        <f t="array" aca="1" ref="W29" ca="1">IF($C29="S",ROUND(IF(TIPOORCAMENTO="Proposto",ORÇAMENTO.CustoUnitario*(1+$AH29),ORÇAMENTO.PrecoUnitarioLicitado),15-13*$AF$10),0)</f>
        <v>1666.36</v>
      </c>
      <c r="X29" s="125" cm="1">
        <f t="array" aca="1" ref="X29" ca="1">IF($C29="S",IF(OR(Import.TipoArredondamento&lt;&gt;"TransfereGOV",ACOMPANHAMENTO="BM"),VTOTAL1,SUM(OFFSET(CÁLCULO!$AA$15,ROW($X29)-ROW($X$15),1):OFFSET(CÁLCULO!$AL$15,ROW($X29)-ROW($X$15),-1))),IF($C29=0,0,ROUND(SomaAgrup,15-13*$AF$11)))</f>
        <v>1666.36</v>
      </c>
      <c r="Y29" s="126" t="s">
        <v>751</v>
      </c>
      <c r="Z29" t="str">
        <f t="shared" ca="1" si="13"/>
        <v>RA</v>
      </c>
      <c r="AA29" s="127" cm="1">
        <f t="array" aca="1" ref="AA29" ca="1">IF($C29="S",IF($Z29="CP",$X29,IF($Z29="RA",(($X29)*QCI!$AA$3),0)),SomaAgrup)</f>
        <v>0</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CÓDIGO N/ID</v>
      </c>
      <c r="AD29" t="str">
        <f ca="1">IF(C29&lt;=CRONO.NivelExibicao,MAX($AD$15:OFFSET(AD29,-1,0))+IF($C29&lt;&gt;1,1,MAX(1,COUNTIF(QCI!$A$13:$A$15,OFFSET($E29,-1,0)))),"")</f>
        <v/>
      </c>
      <c r="AE29" s="7" t="str" cm="1">
        <f t="array" aca="1" ref="AE29" ca="1">IF(AND($C29="S",ORÇAMENTO.CodBarra&lt;&gt;""),IF(ORÇAMENTO.Fonte="",ORÇAMENTO.CodBarra,CONCATENATE(ORÇAMENTO.Fonte," ",ORÇAMENTO.CodBarra)))</f>
        <v>SEINFRA CO-27478</v>
      </c>
      <c r="AF29" s="12" t="str"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(Código não identificado nas referências)</v>
      </c>
      <c r="AG29" s="428" cm="1">
        <f t="array" aca="1" ref="AG29" ca="1">ROUND(IF(DESONERACAO="sim",REFERENCIA.Desonerado,REFERENCIA.NaoDesonerado),2)</f>
        <v>0</v>
      </c>
      <c r="AH29" s="429">
        <f t="shared" ca="1" si="14"/>
        <v>0.2485</v>
      </c>
      <c r="AJ29" s="431"/>
      <c r="AL29" s="439"/>
      <c r="AM29" s="336">
        <f t="shared" ca="1" si="0"/>
        <v>1666.36</v>
      </c>
      <c r="AN29" s="470" cm="1">
        <f t="array" aca="1" ref="AN29" ca="1">ROUND(ORÇAMENTO.CustoUnitario*(1+$AH29),2)</f>
        <v>1666.36</v>
      </c>
    </row>
    <row r="30" spans="1:40" x14ac:dyDescent="0.2">
      <c r="A30" t="str">
        <f t="shared" si="1"/>
        <v>S</v>
      </c>
      <c r="B30">
        <f t="shared" ca="1" si="2"/>
        <v>3</v>
      </c>
      <c r="C30" t="str">
        <f t="shared" ca="1" si="3"/>
        <v>S</v>
      </c>
      <c r="D30">
        <f t="shared" ca="1" si="4"/>
        <v>0</v>
      </c>
      <c r="E30">
        <f ca="1">IF($C30=1,OFFSET(E30,-1,0)+MAX(1,COUNTIF(QCI!$A$13:$A$15,OFFSET(ORÇAMENTO!E30,-1,0))),OFFSET(E30,-1,0))</f>
        <v>1</v>
      </c>
      <c r="F30">
        <f t="shared" ca="1" si="5"/>
        <v>1</v>
      </c>
      <c r="G30">
        <f t="shared" ca="1" si="6"/>
        <v>1</v>
      </c>
      <c r="H30">
        <f t="shared" ca="1" si="7"/>
        <v>0</v>
      </c>
      <c r="I30">
        <f t="shared" ca="1" si="8"/>
        <v>12</v>
      </c>
      <c r="J30">
        <f t="shared" ca="1" si="9"/>
        <v>0</v>
      </c>
      <c r="K30">
        <f ca="1">IF(OR($C30="S",$C30=0),0,MATCH(OFFSET($D30,0,$C30)+IF($C30&lt;&gt;1,1,COUNTIF(QCI!$A$13:$A$15,ORÇAMENTO!E30)),OFFSET($D30,1,$C30,ROW($C$93)-ROW($C30)),0))</f>
        <v>0</v>
      </c>
      <c r="L30" s="114" t="str">
        <f t="shared" ca="1" si="10"/>
        <v>F</v>
      </c>
      <c r="M30" s="115" t="s">
        <v>705</v>
      </c>
      <c r="N30" s="116" t="str">
        <f t="shared" ca="1" si="11"/>
        <v>Serviço</v>
      </c>
      <c r="O30" s="117" t="str">
        <f t="shared" ca="1" si="12"/>
        <v>1.1.1.12.</v>
      </c>
      <c r="P30" s="118" t="s">
        <v>1020</v>
      </c>
      <c r="Q30" s="119" t="s">
        <v>1032</v>
      </c>
      <c r="R30" s="120" t="str" cm="1">
        <f t="array" aca="1" ref="R30" ca="1">IF($C30="S",REFERENCIA.Descricao,"(digite a descrição aqui)")</f>
        <v>(Código não identificado nas referências)</v>
      </c>
      <c r="S30" s="121" t="s">
        <v>639</v>
      </c>
      <c r="T30" s="122">
        <f ca="1">OFFSET(CÁLCULO!H$15,ROW($T30)-ROW(T$15),0)</f>
        <v>2</v>
      </c>
      <c r="U30" s="123">
        <v>1730.34</v>
      </c>
      <c r="V30" s="124" t="s">
        <v>663</v>
      </c>
      <c r="W30" s="122" cm="1">
        <f t="array" aca="1" ref="W30" ca="1">IF($C30="S",ROUND(IF(TIPOORCAMENTO="Proposto",ORÇAMENTO.CustoUnitario*(1+$AH30),ORÇAMENTO.PrecoUnitarioLicitado),15-13*$AF$10),0)</f>
        <v>2160.33</v>
      </c>
      <c r="X30" s="125" cm="1">
        <f t="array" aca="1" ref="X30" ca="1">IF($C30="S",IF(OR(Import.TipoArredondamento&lt;&gt;"TransfereGOV",ACOMPANHAMENTO="BM"),VTOTAL1,SUM(OFFSET(CÁLCULO!$AA$15,ROW($X30)-ROW($X$15),1):OFFSET(CÁLCULO!$AL$15,ROW($X30)-ROW($X$15),-1))),IF($C30=0,0,ROUND(SomaAgrup,15-13*$AF$11)))</f>
        <v>4320.67</v>
      </c>
      <c r="Y30" s="126" t="s">
        <v>751</v>
      </c>
      <c r="Z30" t="str">
        <f t="shared" ca="1" si="13"/>
        <v>RA</v>
      </c>
      <c r="AA30" s="127" cm="1">
        <f t="array" aca="1" ref="AA30" ca="1">IF($C30="S",IF($Z30="CP",$X30,IF($Z30="RA",(($X30)*QCI!$AA$3),0)),SomaAgrup)</f>
        <v>0</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CÓDIGO N/ID</v>
      </c>
      <c r="AD30" t="str">
        <f ca="1">IF(C30&lt;=CRONO.NivelExibicao,MAX($AD$15:OFFSET(AD30,-1,0))+IF($C30&lt;&gt;1,1,MAX(1,COUNTIF(QCI!$A$13:$A$15,OFFSET($E30,-1,0)))),"")</f>
        <v/>
      </c>
      <c r="AE30" s="7" t="str" cm="1">
        <f t="array" aca="1" ref="AE30" ca="1">IF(AND($C30="S",ORÇAMENTO.CodBarra&lt;&gt;""),IF(ORÇAMENTO.Fonte="",ORÇAMENTO.CodBarra,CONCATENATE(ORÇAMENTO.Fonte," ",ORÇAMENTO.CodBarra)))</f>
        <v>SEINFRA CO-27468</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(Código não identificado nas referências)</v>
      </c>
      <c r="AG30" s="428" cm="1">
        <f t="array" aca="1" ref="AG30" ca="1">ROUND(IF(DESONERACAO="sim",REFERENCIA.Desonerado,REFERENCIA.NaoDesonerado),2)</f>
        <v>0</v>
      </c>
      <c r="AH30" s="429">
        <f t="shared" ca="1" si="14"/>
        <v>0.2485</v>
      </c>
      <c r="AJ30" s="431"/>
      <c r="AL30" s="439"/>
      <c r="AM30" s="336">
        <f t="shared" ca="1" si="0"/>
        <v>4320.67</v>
      </c>
      <c r="AN30" s="470" cm="1">
        <f t="array" aca="1" ref="AN30" ca="1">ROUND(ORÇAMENTO.CustoUnitario*(1+$AH30),2)</f>
        <v>2160.33</v>
      </c>
    </row>
    <row r="31" spans="1:40" x14ac:dyDescent="0.2">
      <c r="A31" t="str">
        <f t="shared" si="1"/>
        <v>S</v>
      </c>
      <c r="B31">
        <f t="shared" ca="1" si="2"/>
        <v>3</v>
      </c>
      <c r="C31" t="str">
        <f t="shared" ca="1" si="3"/>
        <v>S</v>
      </c>
      <c r="D31">
        <f t="shared" ca="1" si="4"/>
        <v>0</v>
      </c>
      <c r="E31">
        <f ca="1">IF($C31=1,OFFSET(E31,-1,0)+MAX(1,COUNTIF(QCI!$A$13:$A$15,OFFSET(ORÇAMENTO!E31,-1,0))),OFFSET(E31,-1,0))</f>
        <v>1</v>
      </c>
      <c r="F31">
        <f t="shared" ca="1" si="5"/>
        <v>1</v>
      </c>
      <c r="G31">
        <f t="shared" ca="1" si="6"/>
        <v>1</v>
      </c>
      <c r="H31">
        <f t="shared" ca="1" si="7"/>
        <v>0</v>
      </c>
      <c r="I31">
        <f t="shared" ca="1" si="8"/>
        <v>13</v>
      </c>
      <c r="J31">
        <f t="shared" ca="1" si="9"/>
        <v>0</v>
      </c>
      <c r="K31">
        <f ca="1">IF(OR($C31="S",$C31=0),0,MATCH(OFFSET($D31,0,$C31)+IF($C31&lt;&gt;1,1,COUNTIF(QCI!$A$13:$A$15,ORÇAMENTO!E31)),OFFSET($D31,1,$C31,ROW($C$93)-ROW($C31)),0))</f>
        <v>0</v>
      </c>
      <c r="L31" s="114" t="str">
        <f t="shared" ca="1" si="10"/>
        <v>F</v>
      </c>
      <c r="M31" s="115" t="s">
        <v>705</v>
      </c>
      <c r="N31" s="116" t="str">
        <f t="shared" ca="1" si="11"/>
        <v>Serviço</v>
      </c>
      <c r="O31" s="117" t="str">
        <f t="shared" ca="1" si="12"/>
        <v>1.1.1.13.</v>
      </c>
      <c r="P31" s="118" t="s">
        <v>1020</v>
      </c>
      <c r="Q31" s="119" t="s">
        <v>1033</v>
      </c>
      <c r="R31" s="120" t="str" cm="1">
        <f t="array" aca="1" ref="R31" ca="1">IF($C31="S",REFERENCIA.Descricao,"(digite a descrição aqui)")</f>
        <v>(Código não identificado nas referências)</v>
      </c>
      <c r="S31" s="121" t="s">
        <v>639</v>
      </c>
      <c r="T31" s="122">
        <f ca="1">OFFSET(CÁLCULO!H$15,ROW($T31)-ROW(T$15),0)</f>
        <v>1</v>
      </c>
      <c r="U31" s="123">
        <v>1300.72</v>
      </c>
      <c r="V31" s="124" t="s">
        <v>663</v>
      </c>
      <c r="W31" s="122" cm="1">
        <f t="array" aca="1" ref="W31" ca="1">IF($C31="S",ROUND(IF(TIPOORCAMENTO="Proposto",ORÇAMENTO.CustoUnitario*(1+$AH31),ORÇAMENTO.PrecoUnitarioLicitado),15-13*$AF$10),0)</f>
        <v>1623.95</v>
      </c>
      <c r="X31" s="125" cm="1">
        <f t="array" aca="1" ref="X31" ca="1">IF($C31="S",IF(OR(Import.TipoArredondamento&lt;&gt;"TransfereGOV",ACOMPANHAMENTO="BM"),VTOTAL1,SUM(OFFSET(CÁLCULO!$AA$15,ROW($X31)-ROW($X$15),1):OFFSET(CÁLCULO!$AL$15,ROW($X31)-ROW($X$15),-1))),IF($C31=0,0,ROUND(SomaAgrup,15-13*$AF$11)))</f>
        <v>1623.96</v>
      </c>
      <c r="Y31" s="126" t="s">
        <v>751</v>
      </c>
      <c r="Z31" t="str">
        <f t="shared" ca="1" si="13"/>
        <v>RA</v>
      </c>
      <c r="AA31" s="127" cm="1">
        <f t="array" aca="1" ref="AA31" ca="1">IF($C31="S",IF($Z31="CP",$X31,IF($Z31="RA",(($X31)*QCI!$AA$3),0)),SomaAgrup)</f>
        <v>0</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CÓDIGO N/ID</v>
      </c>
      <c r="AD31" t="str">
        <f ca="1">IF(C31&lt;=CRONO.NivelExibicao,MAX($AD$15:OFFSET(AD31,-1,0))+IF($C31&lt;&gt;1,1,MAX(1,COUNTIF(QCI!$A$13:$A$15,OFFSET($E31,-1,0)))),"")</f>
        <v/>
      </c>
      <c r="AE31" s="7" t="str" cm="1">
        <f t="array" aca="1" ref="AE31" ca="1">IF(AND($C31="S",ORÇAMENTO.CodBarra&lt;&gt;""),IF(ORÇAMENTO.Fonte="",ORÇAMENTO.CodBarra,CONCATENATE(ORÇAMENTO.Fonte," ",ORÇAMENTO.CodBarra)))</f>
        <v>SEINFRA CO-27434</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(Código não identificado nas referências)</v>
      </c>
      <c r="AG31" s="428" cm="1">
        <f t="array" aca="1" ref="AG31" ca="1">ROUND(IF(DESONERACAO="sim",REFERENCIA.Desonerado,REFERENCIA.NaoDesonerado),2)</f>
        <v>0</v>
      </c>
      <c r="AH31" s="429">
        <f t="shared" ca="1" si="14"/>
        <v>0.2485</v>
      </c>
      <c r="AJ31" s="431"/>
      <c r="AL31" s="439"/>
      <c r="AM31" s="336">
        <f t="shared" ca="1" si="0"/>
        <v>1623.96</v>
      </c>
      <c r="AN31" s="470" cm="1">
        <f t="array" aca="1" ref="AN31" ca="1">ROUND(ORÇAMENTO.CustoUnitario*(1+$AH31),2)</f>
        <v>1623.95</v>
      </c>
    </row>
    <row r="32" spans="1:40" ht="25.5" x14ac:dyDescent="0.2">
      <c r="A32" t="str">
        <f t="shared" si="1"/>
        <v>S</v>
      </c>
      <c r="B32">
        <f t="shared" ca="1" si="2"/>
        <v>3</v>
      </c>
      <c r="C32" t="str">
        <f t="shared" ca="1" si="3"/>
        <v>S</v>
      </c>
      <c r="D32">
        <f t="shared" ca="1" si="4"/>
        <v>0</v>
      </c>
      <c r="E32">
        <f ca="1">IF($C32=1,OFFSET(E32,-1,0)+MAX(1,COUNTIF(QCI!$A$13:$A$15,OFFSET(ORÇAMENTO!E32,-1,0))),OFFSET(E32,-1,0))</f>
        <v>1</v>
      </c>
      <c r="F32">
        <f t="shared" ca="1" si="5"/>
        <v>1</v>
      </c>
      <c r="G32">
        <f t="shared" ca="1" si="6"/>
        <v>1</v>
      </c>
      <c r="H32">
        <f t="shared" ca="1" si="7"/>
        <v>0</v>
      </c>
      <c r="I32">
        <f t="shared" ca="1" si="8"/>
        <v>14</v>
      </c>
      <c r="J32">
        <f t="shared" ca="1" si="9"/>
        <v>0</v>
      </c>
      <c r="K32">
        <f ca="1">IF(OR($C32="S",$C32=0),0,MATCH(OFFSET($D32,0,$C32)+IF($C32&lt;&gt;1,1,COUNTIF(QCI!$A$13:$A$15,ORÇAMENTO!E32)),OFFSET($D32,1,$C32,ROW($C$93)-ROW($C32)),0))</f>
        <v>0</v>
      </c>
      <c r="L32" s="114" t="str">
        <f t="shared" ca="1" si="10"/>
        <v>F</v>
      </c>
      <c r="M32" s="115" t="s">
        <v>705</v>
      </c>
      <c r="N32" s="116" t="str">
        <f t="shared" ca="1" si="11"/>
        <v>Serviço</v>
      </c>
      <c r="O32" s="117" t="str">
        <f t="shared" ca="1" si="12"/>
        <v>1.1.1.14.</v>
      </c>
      <c r="P32" s="118" t="s">
        <v>1020</v>
      </c>
      <c r="Q32" s="119" t="s">
        <v>1034</v>
      </c>
      <c r="R32" s="120" t="str" cm="1">
        <f t="array" aca="1" ref="R32" ca="1">IF($C32="S",REFERENCIA.Descricao,"(digite a descrição aqui)")</f>
        <v>(Código não identificado nas referências)</v>
      </c>
      <c r="S32" s="121" t="s">
        <v>639</v>
      </c>
      <c r="T32" s="122">
        <f ca="1">OFFSET(CÁLCULO!H$15,ROW($T32)-ROW(T$15),0)</f>
        <v>2</v>
      </c>
      <c r="U32" s="123">
        <v>1808.2</v>
      </c>
      <c r="V32" s="124" t="s">
        <v>663</v>
      </c>
      <c r="W32" s="122" cm="1">
        <f t="array" aca="1" ref="W32" ca="1">IF($C32="S",ROUND(IF(TIPOORCAMENTO="Proposto",ORÇAMENTO.CustoUnitario*(1+$AH32),ORÇAMENTO.PrecoUnitarioLicitado),15-13*$AF$10),0)</f>
        <v>2257.54</v>
      </c>
      <c r="X32" s="125" cm="1">
        <f t="array" aca="1" ref="X32" ca="1">IF($C32="S",IF(OR(Import.TipoArredondamento&lt;&gt;"TransfereGOV",ACOMPANHAMENTO="BM"),VTOTAL1,SUM(OFFSET(CÁLCULO!$AA$15,ROW($X32)-ROW($X$15),1):OFFSET(CÁLCULO!$AL$15,ROW($X32)-ROW($X$15),-1))),IF($C32=0,0,ROUND(SomaAgrup,15-13*$AF$11)))</f>
        <v>4515.08</v>
      </c>
      <c r="Y32" s="126" t="s">
        <v>751</v>
      </c>
      <c r="Z32" t="str">
        <f t="shared" ca="1" si="13"/>
        <v>RA</v>
      </c>
      <c r="AA32" s="127" cm="1">
        <f t="array" aca="1" ref="AA32" ca="1">IF($C32="S",IF($Z32="CP",$X32,IF($Z32="RA",(($X32)*QCI!$AA$3),0)),SomaAgrup)</f>
        <v>0</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CÓDIGO N/ID</v>
      </c>
      <c r="AD32" t="str">
        <f ca="1">IF(C32&lt;=CRONO.NivelExibicao,MAX($AD$15:OFFSET(AD32,-1,0))+IF($C32&lt;&gt;1,1,MAX(1,COUNTIF(QCI!$A$13:$A$15,OFFSET($E32,-1,0)))),"")</f>
        <v/>
      </c>
      <c r="AE32" s="7" t="str" cm="1">
        <f t="array" aca="1" ref="AE32" ca="1">IF(AND($C32="S",ORÇAMENTO.CodBarra&lt;&gt;""),IF(ORÇAMENTO.Fonte="",ORÇAMENTO.CodBarra,CONCATENATE(ORÇAMENTO.Fonte," ",ORÇAMENTO.CodBarra)))</f>
        <v>SEINFRA CO-27429</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(Código não identificado nas referências)</v>
      </c>
      <c r="AG32" s="428" cm="1">
        <f t="array" aca="1" ref="AG32" ca="1">ROUND(IF(DESONERACAO="sim",REFERENCIA.Desonerado,REFERENCIA.NaoDesonerado),2)</f>
        <v>0</v>
      </c>
      <c r="AH32" s="429">
        <f t="shared" ca="1" si="14"/>
        <v>0.2485</v>
      </c>
      <c r="AJ32" s="431"/>
      <c r="AL32" s="439"/>
      <c r="AM32" s="336">
        <f t="shared" ca="1" si="0"/>
        <v>4515.08</v>
      </c>
      <c r="AN32" s="470" cm="1">
        <f t="array" aca="1" ref="AN32" ca="1">ROUND(ORÇAMENTO.CustoUnitario*(1+$AH32),2)</f>
        <v>2257.54</v>
      </c>
    </row>
    <row r="33" spans="1:40" x14ac:dyDescent="0.2">
      <c r="A33" t="str">
        <f t="shared" si="1"/>
        <v>S</v>
      </c>
      <c r="B33">
        <f t="shared" ca="1" si="2"/>
        <v>3</v>
      </c>
      <c r="C33" t="str">
        <f t="shared" ca="1" si="3"/>
        <v>S</v>
      </c>
      <c r="D33">
        <f t="shared" ca="1" si="4"/>
        <v>0</v>
      </c>
      <c r="E33">
        <f ca="1">IF($C33=1,OFFSET(E33,-1,0)+MAX(1,COUNTIF(QCI!$A$13:$A$15,OFFSET(ORÇAMENTO!E33,-1,0))),OFFSET(E33,-1,0))</f>
        <v>1</v>
      </c>
      <c r="F33">
        <f t="shared" ca="1" si="5"/>
        <v>1</v>
      </c>
      <c r="G33">
        <f t="shared" ca="1" si="6"/>
        <v>1</v>
      </c>
      <c r="H33">
        <f t="shared" ca="1" si="7"/>
        <v>0</v>
      </c>
      <c r="I33">
        <f t="shared" ca="1" si="8"/>
        <v>15</v>
      </c>
      <c r="J33">
        <f t="shared" ca="1" si="9"/>
        <v>0</v>
      </c>
      <c r="K33">
        <f ca="1">IF(OR($C33="S",$C33=0),0,MATCH(OFFSET($D33,0,$C33)+IF($C33&lt;&gt;1,1,COUNTIF(QCI!$A$13:$A$15,ORÇAMENTO!E33)),OFFSET($D33,1,$C33,ROW($C$93)-ROW($C33)),0))</f>
        <v>0</v>
      </c>
      <c r="L33" s="114" t="str">
        <f t="shared" ca="1" si="10"/>
        <v>F</v>
      </c>
      <c r="M33" s="115" t="s">
        <v>705</v>
      </c>
      <c r="N33" s="116" t="str">
        <f t="shared" ca="1" si="11"/>
        <v>Serviço</v>
      </c>
      <c r="O33" s="117" t="str">
        <f t="shared" ca="1" si="12"/>
        <v>1.1.1.15.</v>
      </c>
      <c r="P33" s="118" t="s">
        <v>1020</v>
      </c>
      <c r="Q33" s="119" t="s">
        <v>1035</v>
      </c>
      <c r="R33" s="120" t="str" cm="1">
        <f t="array" aca="1" ref="R33" ca="1">IF($C33="S",REFERENCIA.Descricao,"(digite a descrição aqui)")</f>
        <v>(Código não identificado nas referências)</v>
      </c>
      <c r="S33" s="121" t="s">
        <v>639</v>
      </c>
      <c r="T33" s="122">
        <f ca="1">OFFSET(CÁLCULO!H$15,ROW($T33)-ROW(T$15),0)</f>
        <v>2</v>
      </c>
      <c r="U33" s="123">
        <v>1202</v>
      </c>
      <c r="V33" s="124" t="s">
        <v>663</v>
      </c>
      <c r="W33" s="122" cm="1">
        <f t="array" aca="1" ref="W33" ca="1">IF($C33="S",ROUND(IF(TIPOORCAMENTO="Proposto",ORÇAMENTO.CustoUnitario*(1+$AH33),ORÇAMENTO.PrecoUnitarioLicitado),15-13*$AF$10),0)</f>
        <v>1500.7</v>
      </c>
      <c r="X33" s="125" cm="1">
        <f t="array" aca="1" ref="X33" ca="1">IF($C33="S",IF(OR(Import.TipoArredondamento&lt;&gt;"TransfereGOV",ACOMPANHAMENTO="BM"),VTOTAL1,SUM(OFFSET(CÁLCULO!$AA$15,ROW($X33)-ROW($X$15),1):OFFSET(CÁLCULO!$AL$15,ROW($X33)-ROW($X$15),-1))),IF($C33=0,0,ROUND(SomaAgrup,15-13*$AF$11)))</f>
        <v>3001.4</v>
      </c>
      <c r="Y33" s="126" t="s">
        <v>751</v>
      </c>
      <c r="Z33" t="str">
        <f t="shared" ca="1" si="13"/>
        <v>RA</v>
      </c>
      <c r="AA33" s="127" cm="1">
        <f t="array" aca="1" ref="AA33" ca="1">IF($C33="S",IF($Z33="CP",$X33,IF($Z33="RA",(($X33)*QCI!$AA$3),0)),SomaAgrup)</f>
        <v>0</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CÓDIGO N/ID</v>
      </c>
      <c r="AD33" t="str">
        <f ca="1">IF(C33&lt;=CRONO.NivelExibicao,MAX($AD$15:OFFSET(AD33,-1,0))+IF($C33&lt;&gt;1,1,MAX(1,COUNTIF(QCI!$A$13:$A$15,OFFSET($E33,-1,0)))),"")</f>
        <v/>
      </c>
      <c r="AE33" s="7" t="str" cm="1">
        <f t="array" aca="1" ref="AE33" ca="1">IF(AND($C33="S",ORÇAMENTO.CodBarra&lt;&gt;""),IF(ORÇAMENTO.Fonte="",ORÇAMENTO.CodBarra,CONCATENATE(ORÇAMENTO.Fonte," ",ORÇAMENTO.CodBarra)))</f>
        <v>SEINFRA CO-27424</v>
      </c>
      <c r="AF33" s="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(Código não identificado nas referências)</v>
      </c>
      <c r="AG33" s="428" cm="1">
        <f t="array" aca="1" ref="AG33" ca="1">ROUND(IF(DESONERACAO="sim",REFERENCIA.Desonerado,REFERENCIA.NaoDesonerado),2)</f>
        <v>0</v>
      </c>
      <c r="AH33" s="429">
        <f t="shared" ca="1" si="14"/>
        <v>0.2485</v>
      </c>
      <c r="AJ33" s="431"/>
      <c r="AL33" s="439"/>
      <c r="AM33" s="336">
        <f t="shared" ca="1" si="0"/>
        <v>3001.4</v>
      </c>
      <c r="AN33" s="470" cm="1">
        <f t="array" aca="1" ref="AN33" ca="1">ROUND(ORÇAMENTO.CustoUnitario*(1+$AH33),2)</f>
        <v>1500.7</v>
      </c>
    </row>
    <row r="34" spans="1:40" x14ac:dyDescent="0.2">
      <c r="A34" t="str">
        <f t="shared" si="1"/>
        <v>S</v>
      </c>
      <c r="B34">
        <f t="shared" ca="1" si="2"/>
        <v>3</v>
      </c>
      <c r="C34" t="str">
        <f t="shared" ca="1" si="3"/>
        <v>S</v>
      </c>
      <c r="D34">
        <f t="shared" ca="1" si="4"/>
        <v>0</v>
      </c>
      <c r="E34">
        <f ca="1">IF($C34=1,OFFSET(E34,-1,0)+MAX(1,COUNTIF(QCI!$A$13:$A$15,OFFSET(ORÇAMENTO!E34,-1,0))),OFFSET(E34,-1,0))</f>
        <v>1</v>
      </c>
      <c r="F34">
        <f t="shared" ca="1" si="5"/>
        <v>1</v>
      </c>
      <c r="G34">
        <f t="shared" ca="1" si="6"/>
        <v>1</v>
      </c>
      <c r="H34">
        <f t="shared" ca="1" si="7"/>
        <v>0</v>
      </c>
      <c r="I34">
        <f t="shared" ca="1" si="8"/>
        <v>16</v>
      </c>
      <c r="J34">
        <f t="shared" ca="1" si="9"/>
        <v>0</v>
      </c>
      <c r="K34">
        <f ca="1">IF(OR($C34="S",$C34=0),0,MATCH(OFFSET($D34,0,$C34)+IF($C34&lt;&gt;1,1,COUNTIF(QCI!$A$13:$A$15,ORÇAMENTO!E34)),OFFSET($D34,1,$C34,ROW($C$93)-ROW($C34)),0))</f>
        <v>0</v>
      </c>
      <c r="L34" s="114" t="str">
        <f t="shared" ca="1" si="10"/>
        <v>F</v>
      </c>
      <c r="M34" s="115" t="s">
        <v>705</v>
      </c>
      <c r="N34" s="116" t="str">
        <f t="shared" ca="1" si="11"/>
        <v>Serviço</v>
      </c>
      <c r="O34" s="117" t="str">
        <f t="shared" ca="1" si="12"/>
        <v>1.1.1.16.</v>
      </c>
      <c r="P34" s="118" t="s">
        <v>1020</v>
      </c>
      <c r="Q34" s="119" t="s">
        <v>1036</v>
      </c>
      <c r="R34" s="120" t="str" cm="1">
        <f t="array" aca="1" ref="R34" ca="1">IF($C34="S",REFERENCIA.Descricao,"(digite a descrição aqui)")</f>
        <v>(Código não identificado nas referências)</v>
      </c>
      <c r="S34" s="121" t="s">
        <v>623</v>
      </c>
      <c r="T34" s="122">
        <f ca="1">OFFSET(CÁLCULO!H$15,ROW($T34)-ROW(T$15),0)</f>
        <v>7617.82</v>
      </c>
      <c r="U34" s="123">
        <v>2.8</v>
      </c>
      <c r="V34" s="124" t="s">
        <v>663</v>
      </c>
      <c r="W34" s="122" cm="1">
        <f t="array" aca="1" ref="W34" ca="1">IF($C34="S",ROUND(IF(TIPOORCAMENTO="Proposto",ORÇAMENTO.CustoUnitario*(1+$AH34),ORÇAMENTO.PrecoUnitarioLicitado),15-13*$AF$10),0)</f>
        <v>3.5</v>
      </c>
      <c r="X34" s="125" cm="1">
        <f t="array" aca="1" ref="X34" ca="1">IF($C34="S",IF(OR(Import.TipoArredondamento&lt;&gt;"TransfereGOV",ACOMPANHAMENTO="BM"),VTOTAL1,SUM(OFFSET(CÁLCULO!$AA$15,ROW($X34)-ROW($X$15),1):OFFSET(CÁLCULO!$AL$15,ROW($X34)-ROW($X$15),-1))),IF($C34=0,0,ROUND(SomaAgrup,15-13*$AF$11)))</f>
        <v>26662.38</v>
      </c>
      <c r="Y34" s="126" t="s">
        <v>751</v>
      </c>
      <c r="Z34" t="str">
        <f t="shared" ca="1" si="13"/>
        <v>RA</v>
      </c>
      <c r="AA34" s="127" cm="1">
        <f t="array" aca="1" ref="AA34" ca="1">IF($C34="S",IF($Z34="CP",$X34,IF($Z34="RA",(($X34)*QCI!$AA$3),0)),SomaAgrup)</f>
        <v>0</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CÓDIGO N/ID</v>
      </c>
      <c r="AD34" t="str">
        <f ca="1">IF(C34&lt;=CRONO.NivelExibicao,MAX($AD$15:OFFSET(AD34,-1,0))+IF($C34&lt;&gt;1,1,MAX(1,COUNTIF(QCI!$A$13:$A$15,OFFSET($E34,-1,0)))),"")</f>
        <v/>
      </c>
      <c r="AE34" s="7" t="str" cm="1">
        <f t="array" aca="1" ref="AE34" ca="1">IF(AND($C34="S",ORÇAMENTO.CodBarra&lt;&gt;""),IF(ORÇAMENTO.Fonte="",ORÇAMENTO.CodBarra,CONCATENATE(ORÇAMENTO.Fonte," ",ORÇAMENTO.CodBarra)))</f>
        <v>SEINFRA CO-27487</v>
      </c>
      <c r="AF34" s="12" t="str"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(Código não identificado nas referências)</v>
      </c>
      <c r="AG34" s="428" cm="1">
        <f t="array" aca="1" ref="AG34" ca="1">ROUND(IF(DESONERACAO="sim",REFERENCIA.Desonerado,REFERENCIA.NaoDesonerado),2)</f>
        <v>0</v>
      </c>
      <c r="AH34" s="429">
        <f t="shared" ca="1" si="14"/>
        <v>0.2485</v>
      </c>
      <c r="AJ34" s="431"/>
      <c r="AL34" s="439"/>
      <c r="AM34" s="336">
        <f t="shared" ca="1" si="0"/>
        <v>26662.38</v>
      </c>
      <c r="AN34" s="470" cm="1">
        <f t="array" aca="1" ref="AN34" ca="1">ROUND(ORÇAMENTO.CustoUnitario*(1+$AH34),2)</f>
        <v>3.5</v>
      </c>
    </row>
    <row r="35" spans="1:40" ht="25.5" x14ac:dyDescent="0.2">
      <c r="A35" t="str">
        <f t="shared" si="1"/>
        <v>S</v>
      </c>
      <c r="B35">
        <f t="shared" ca="1" si="2"/>
        <v>3</v>
      </c>
      <c r="C35" t="str">
        <f t="shared" ca="1" si="3"/>
        <v>S</v>
      </c>
      <c r="D35">
        <f t="shared" ca="1" si="4"/>
        <v>0</v>
      </c>
      <c r="E35">
        <f ca="1">IF($C35=1,OFFSET(E35,-1,0)+MAX(1,COUNTIF(QCI!$A$13:$A$15,OFFSET(ORÇAMENTO!E35,-1,0))),OFFSET(E35,-1,0))</f>
        <v>1</v>
      </c>
      <c r="F35">
        <f t="shared" ca="1" si="5"/>
        <v>1</v>
      </c>
      <c r="G35">
        <f t="shared" ca="1" si="6"/>
        <v>1</v>
      </c>
      <c r="H35">
        <f t="shared" ca="1" si="7"/>
        <v>0</v>
      </c>
      <c r="I35">
        <f t="shared" ca="1" si="8"/>
        <v>17</v>
      </c>
      <c r="J35">
        <f t="shared" ca="1" si="9"/>
        <v>0</v>
      </c>
      <c r="K35">
        <f ca="1">IF(OR($C35="S",$C35=0),0,MATCH(OFFSET($D35,0,$C35)+IF($C35&lt;&gt;1,1,COUNTIF(QCI!$A$13:$A$15,ORÇAMENTO!E35)),OFFSET($D35,1,$C35,ROW($C$93)-ROW($C35)),0))</f>
        <v>0</v>
      </c>
      <c r="L35" s="114" t="str">
        <f t="shared" ca="1" si="10"/>
        <v>F</v>
      </c>
      <c r="M35" s="115" t="s">
        <v>705</v>
      </c>
      <c r="N35" s="116" t="str">
        <f t="shared" ca="1" si="11"/>
        <v>Serviço</v>
      </c>
      <c r="O35" s="117" t="str">
        <f t="shared" ca="1" si="12"/>
        <v>1.1.1.17.</v>
      </c>
      <c r="P35" s="118" t="s">
        <v>1020</v>
      </c>
      <c r="Q35" s="119" t="s">
        <v>1037</v>
      </c>
      <c r="R35" s="120" t="str" cm="1">
        <f t="array" aca="1" ref="R35" ca="1">IF($C35="S",REFERENCIA.Descricao,"(digite a descrição aqui)")</f>
        <v>(Código não identificado nas referências)</v>
      </c>
      <c r="S35" s="121" t="s">
        <v>623</v>
      </c>
      <c r="T35" s="122">
        <f ca="1">OFFSET(CÁLCULO!H$15,ROW($T35)-ROW(T$15),0)</f>
        <v>7617.82</v>
      </c>
      <c r="U35" s="123">
        <v>1.22</v>
      </c>
      <c r="V35" s="124" t="s">
        <v>663</v>
      </c>
      <c r="W35" s="122" cm="1">
        <f t="array" aca="1" ref="W35" ca="1">IF($C35="S",ROUND(IF(TIPOORCAMENTO="Proposto",ORÇAMENTO.CustoUnitario*(1+$AH35),ORÇAMENTO.PrecoUnitarioLicitado),15-13*$AF$10),0)</f>
        <v>1.52</v>
      </c>
      <c r="X35" s="125" cm="1">
        <f t="array" aca="1" ref="X35" ca="1">IF($C35="S",IF(OR(Import.TipoArredondamento&lt;&gt;"TransfereGOV",ACOMPANHAMENTO="BM"),VTOTAL1,SUM(OFFSET(CÁLCULO!$AA$15,ROW($X35)-ROW($X$15),1):OFFSET(CÁLCULO!$AL$15,ROW($X35)-ROW($X$15),-1))),IF($C35=0,0,ROUND(SomaAgrup,15-13*$AF$11)))</f>
        <v>11579.08</v>
      </c>
      <c r="Y35" s="126" t="s">
        <v>751</v>
      </c>
      <c r="Z35" t="str">
        <f t="shared" ca="1" si="13"/>
        <v>RA</v>
      </c>
      <c r="AA35" s="127" cm="1">
        <f t="array" aca="1" ref="AA35" ca="1">IF($C35="S",IF($Z35="CP",$X35,IF($Z35="RA",(($X35)*QCI!$AA$3),0)),SomaAgrup)</f>
        <v>0</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CÓDIGO N/ID</v>
      </c>
      <c r="AD35" t="str">
        <f ca="1">IF(C35&lt;=CRONO.NivelExibicao,MAX($AD$15:OFFSET(AD35,-1,0))+IF($C35&lt;&gt;1,1,MAX(1,COUNTIF(QCI!$A$13:$A$15,OFFSET($E35,-1,0)))),"")</f>
        <v/>
      </c>
      <c r="AE35" s="7" t="str" cm="1">
        <f t="array" aca="1" ref="AE35" ca="1">IF(AND($C35="S",ORÇAMENTO.CodBarra&lt;&gt;""),IF(ORÇAMENTO.Fonte="",ORÇAMENTO.CodBarra,CONCATENATE(ORÇAMENTO.Fonte," ",ORÇAMENTO.CodBarra)))</f>
        <v>SEINFRA CO-27397</v>
      </c>
      <c r="AF35" s="12"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(Código não identificado nas referências)</v>
      </c>
      <c r="AG35" s="428" cm="1">
        <f t="array" aca="1" ref="AG35" ca="1">ROUND(IF(DESONERACAO="sim",REFERENCIA.Desonerado,REFERENCIA.NaoDesonerado),2)</f>
        <v>0</v>
      </c>
      <c r="AH35" s="429">
        <f t="shared" ca="1" si="14"/>
        <v>0.2485</v>
      </c>
      <c r="AJ35" s="431"/>
      <c r="AL35" s="439"/>
      <c r="AM35" s="336">
        <f t="shared" ca="1" si="0"/>
        <v>11579.08</v>
      </c>
      <c r="AN35" s="470" cm="1">
        <f t="array" aca="1" ref="AN35" ca="1">ROUND(ORÇAMENTO.CustoUnitario*(1+$AH35),2)</f>
        <v>1.52</v>
      </c>
    </row>
    <row r="36" spans="1:40" ht="38.25" x14ac:dyDescent="0.2">
      <c r="A36" t="str">
        <f t="shared" si="1"/>
        <v>S</v>
      </c>
      <c r="B36">
        <f t="shared" ca="1" si="2"/>
        <v>3</v>
      </c>
      <c r="C36" t="str">
        <f t="shared" ca="1" si="3"/>
        <v>S</v>
      </c>
      <c r="D36">
        <f t="shared" ca="1" si="4"/>
        <v>0</v>
      </c>
      <c r="E36">
        <f ca="1">IF($C36=1,OFFSET(E36,-1,0)+MAX(1,COUNTIF(QCI!$A$13:$A$15,OFFSET(ORÇAMENTO!E36,-1,0))),OFFSET(E36,-1,0))</f>
        <v>1</v>
      </c>
      <c r="F36">
        <f t="shared" ca="1" si="5"/>
        <v>1</v>
      </c>
      <c r="G36">
        <f t="shared" ca="1" si="6"/>
        <v>1</v>
      </c>
      <c r="H36">
        <f t="shared" ca="1" si="7"/>
        <v>0</v>
      </c>
      <c r="I36">
        <f t="shared" ca="1" si="8"/>
        <v>18</v>
      </c>
      <c r="J36">
        <f t="shared" ca="1" si="9"/>
        <v>0</v>
      </c>
      <c r="K36">
        <f ca="1">IF(OR($C36="S",$C36=0),0,MATCH(OFFSET($D36,0,$C36)+IF($C36&lt;&gt;1,1,COUNTIF(QCI!$A$13:$A$15,ORÇAMENTO!E36)),OFFSET($D36,1,$C36,ROW($C$93)-ROW($C36)),0))</f>
        <v>0</v>
      </c>
      <c r="L36" s="114" t="str">
        <f t="shared" ca="1" si="10"/>
        <v>F</v>
      </c>
      <c r="M36" s="115" t="s">
        <v>705</v>
      </c>
      <c r="N36" s="116" t="str">
        <f t="shared" ca="1" si="11"/>
        <v>Serviço</v>
      </c>
      <c r="O36" s="117" t="str">
        <f t="shared" ca="1" si="12"/>
        <v>1.1.1.18.</v>
      </c>
      <c r="P36" s="118" t="s">
        <v>1020</v>
      </c>
      <c r="Q36" s="119" t="s">
        <v>1038</v>
      </c>
      <c r="R36" s="120" t="str" cm="1">
        <f t="array" aca="1" ref="R36" ca="1">IF($C36="S",REFERENCIA.Descricao,"(digite a descrição aqui)")</f>
        <v>(Código não identificado nas referências)</v>
      </c>
      <c r="S36" s="121" t="s">
        <v>623</v>
      </c>
      <c r="T36" s="122">
        <f ca="1">OFFSET(CÁLCULO!H$15,ROW($T36)-ROW(T$15),0)</f>
        <v>7617.82</v>
      </c>
      <c r="U36" s="123">
        <v>1.83</v>
      </c>
      <c r="V36" s="124" t="s">
        <v>663</v>
      </c>
      <c r="W36" s="122" cm="1">
        <f t="array" aca="1" ref="W36" ca="1">IF($C36="S",ROUND(IF(TIPOORCAMENTO="Proposto",ORÇAMENTO.CustoUnitario*(1+$AH36),ORÇAMENTO.PrecoUnitarioLicitado),15-13*$AF$10),0)</f>
        <v>2.2799999999999998</v>
      </c>
      <c r="X36" s="125" cm="1">
        <f t="array" aca="1" ref="X36" ca="1">IF($C36="S",IF(OR(Import.TipoArredondamento&lt;&gt;"TransfereGOV",ACOMPANHAMENTO="BM"),VTOTAL1,SUM(OFFSET(CÁLCULO!$AA$15,ROW($X36)-ROW($X$15),1):OFFSET(CÁLCULO!$AL$15,ROW($X36)-ROW($X$15),-1))),IF($C36=0,0,ROUND(SomaAgrup,15-13*$AF$11)))</f>
        <v>17368.629999999997</v>
      </c>
      <c r="Y36" s="126" t="s">
        <v>751</v>
      </c>
      <c r="Z36" t="str">
        <f t="shared" ca="1" si="13"/>
        <v>RA</v>
      </c>
      <c r="AA36" s="127" cm="1">
        <f t="array" aca="1" ref="AA36" ca="1">IF($C36="S",IF($Z36="CP",$X36,IF($Z36="RA",(($X36)*QCI!$AA$3),0)),SomaAgrup)</f>
        <v>0</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CÓDIGO N/ID</v>
      </c>
      <c r="AD36" t="str">
        <f ca="1">IF(C36&lt;=CRONO.NivelExibicao,MAX($AD$15:OFFSET(AD36,-1,0))+IF($C36&lt;&gt;1,1,MAX(1,COUNTIF(QCI!$A$13:$A$15,OFFSET($E36,-1,0)))),"")</f>
        <v/>
      </c>
      <c r="AE36" s="7" t="str" cm="1">
        <f t="array" aca="1" ref="AE36" ca="1">IF(AND($C36="S",ORÇAMENTO.CodBarra&lt;&gt;""),IF(ORÇAMENTO.Fonte="",ORÇAMENTO.CodBarra,CONCATENATE(ORÇAMENTO.Fonte," ",ORÇAMENTO.CodBarra)))</f>
        <v>SEINFRA CO-27458</v>
      </c>
      <c r="AF36" s="12"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(Código não identificado nas referências)</v>
      </c>
      <c r="AG36" s="428" cm="1">
        <f t="array" aca="1" ref="AG36" ca="1">ROUND(IF(DESONERACAO="sim",REFERENCIA.Desonerado,REFERENCIA.NaoDesonerado),2)</f>
        <v>0</v>
      </c>
      <c r="AH36" s="429">
        <f t="shared" ca="1" si="14"/>
        <v>0.2485</v>
      </c>
      <c r="AJ36" s="431"/>
      <c r="AL36" s="439"/>
      <c r="AM36" s="336">
        <f t="shared" ca="1" si="0"/>
        <v>17368.629999999997</v>
      </c>
      <c r="AN36" s="470" cm="1">
        <f t="array" aca="1" ref="AN36" ca="1">ROUND(ORÇAMENTO.CustoUnitario*(1+$AH36),2)</f>
        <v>2.2799999999999998</v>
      </c>
    </row>
    <row r="37" spans="1:40" ht="25.5" x14ac:dyDescent="0.2">
      <c r="A37" t="str">
        <f t="shared" si="1"/>
        <v>S</v>
      </c>
      <c r="B37">
        <f t="shared" ca="1" si="2"/>
        <v>3</v>
      </c>
      <c r="C37" t="str">
        <f t="shared" ca="1" si="3"/>
        <v>S</v>
      </c>
      <c r="D37">
        <f t="shared" ca="1" si="4"/>
        <v>0</v>
      </c>
      <c r="E37">
        <f ca="1">IF($C37=1,OFFSET(E37,-1,0)+MAX(1,COUNTIF(QCI!$A$13:$A$15,OFFSET(ORÇAMENTO!E37,-1,0))),OFFSET(E37,-1,0))</f>
        <v>1</v>
      </c>
      <c r="F37">
        <f t="shared" ca="1" si="5"/>
        <v>1</v>
      </c>
      <c r="G37">
        <f t="shared" ca="1" si="6"/>
        <v>1</v>
      </c>
      <c r="H37">
        <f t="shared" ca="1" si="7"/>
        <v>0</v>
      </c>
      <c r="I37">
        <f t="shared" ca="1" si="8"/>
        <v>19</v>
      </c>
      <c r="J37">
        <f t="shared" ca="1" si="9"/>
        <v>0</v>
      </c>
      <c r="K37">
        <f ca="1">IF(OR($C37="S",$C37=0),0,MATCH(OFFSET($D37,0,$C37)+IF($C37&lt;&gt;1,1,COUNTIF(QCI!$A$13:$A$15,ORÇAMENTO!E37)),OFFSET($D37,1,$C37,ROW($C$93)-ROW($C37)),0))</f>
        <v>0</v>
      </c>
      <c r="L37" s="114" t="str">
        <f t="shared" ca="1" si="10"/>
        <v>F</v>
      </c>
      <c r="M37" s="115" t="s">
        <v>705</v>
      </c>
      <c r="N37" s="116" t="str">
        <f t="shared" ca="1" si="11"/>
        <v>Serviço</v>
      </c>
      <c r="O37" s="117" t="str">
        <f t="shared" ca="1" si="12"/>
        <v>1.1.1.19.</v>
      </c>
      <c r="P37" s="118" t="s">
        <v>1020</v>
      </c>
      <c r="Q37" s="119" t="s">
        <v>1039</v>
      </c>
      <c r="R37" s="120" t="str" cm="1">
        <f t="array" aca="1" ref="R37" ca="1">IF($C37="S",REFERENCIA.Descricao,"(digite a descrição aqui)")</f>
        <v>(Código não identificado nas referências)</v>
      </c>
      <c r="S37" s="121" t="s">
        <v>623</v>
      </c>
      <c r="T37" s="122">
        <f ca="1">OFFSET(CÁLCULO!H$15,ROW($T37)-ROW(T$15),0)</f>
        <v>2822.18</v>
      </c>
      <c r="U37" s="123">
        <v>0.43</v>
      </c>
      <c r="V37" s="124" t="s">
        <v>663</v>
      </c>
      <c r="W37" s="122" cm="1">
        <f t="array" aca="1" ref="W37" ca="1">IF($C37="S",ROUND(IF(TIPOORCAMENTO="Proposto",ORÇAMENTO.CustoUnitario*(1+$AH37),ORÇAMENTO.PrecoUnitarioLicitado),15-13*$AF$10),0)</f>
        <v>0.54</v>
      </c>
      <c r="X37" s="125" cm="1">
        <f t="array" aca="1" ref="X37" ca="1">IF($C37="S",IF(OR(Import.TipoArredondamento&lt;&gt;"TransfereGOV",ACOMPANHAMENTO="BM"),VTOTAL1,SUM(OFFSET(CÁLCULO!$AA$15,ROW($X37)-ROW($X$15),1):OFFSET(CÁLCULO!$AL$15,ROW($X37)-ROW($X$15),-1))),IF($C37=0,0,ROUND(SomaAgrup,15-13*$AF$11)))</f>
        <v>1523.98</v>
      </c>
      <c r="Y37" s="126" t="s">
        <v>751</v>
      </c>
      <c r="Z37" t="str">
        <f t="shared" ca="1" si="13"/>
        <v>RA</v>
      </c>
      <c r="AA37" s="127" cm="1">
        <f t="array" aca="1" ref="AA37" ca="1">IF($C37="S",IF($Z37="CP",$X37,IF($Z37="RA",(($X37)*QCI!$AA$3),0)),SomaAgrup)</f>
        <v>0</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CÓDIGO N/ID</v>
      </c>
      <c r="AD37" t="str">
        <f ca="1">IF(C37&lt;=CRONO.NivelExibicao,MAX($AD$15:OFFSET(AD37,-1,0))+IF($C37&lt;&gt;1,1,MAX(1,COUNTIF(QCI!$A$13:$A$15,OFFSET($E37,-1,0)))),"")</f>
        <v/>
      </c>
      <c r="AE37" s="7" t="str" cm="1">
        <f t="array" aca="1" ref="AE37" ca="1">IF(AND($C37="S",ORÇAMENTO.CodBarra&lt;&gt;""),IF(ORÇAMENTO.Fonte="",ORÇAMENTO.CodBarra,CONCATENATE(ORÇAMENTO.Fonte," ",ORÇAMENTO.CodBarra)))</f>
        <v>SEINFRA CO-27373</v>
      </c>
      <c r="AF37" s="12" t="str"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(Código não identificado nas referências)</v>
      </c>
      <c r="AG37" s="428" cm="1">
        <f t="array" aca="1" ref="AG37" ca="1">ROUND(IF(DESONERACAO="sim",REFERENCIA.Desonerado,REFERENCIA.NaoDesonerado),2)</f>
        <v>0</v>
      </c>
      <c r="AH37" s="429">
        <f t="shared" ca="1" si="14"/>
        <v>0.2485</v>
      </c>
      <c r="AJ37" s="431"/>
      <c r="AL37" s="439"/>
      <c r="AM37" s="336">
        <f t="shared" ca="1" si="0"/>
        <v>1523.98</v>
      </c>
      <c r="AN37" s="470" cm="1">
        <f t="array" aca="1" ref="AN37" ca="1">ROUND(ORÇAMENTO.CustoUnitario*(1+$AH37),2)</f>
        <v>0.54</v>
      </c>
    </row>
    <row r="38" spans="1:40" ht="25.5" x14ac:dyDescent="0.2">
      <c r="A38" t="str">
        <f t="shared" si="1"/>
        <v>S</v>
      </c>
      <c r="B38">
        <f t="shared" ca="1" si="2"/>
        <v>3</v>
      </c>
      <c r="C38" t="str">
        <f t="shared" ca="1" si="3"/>
        <v>S</v>
      </c>
      <c r="D38">
        <f t="shared" ca="1" si="4"/>
        <v>0</v>
      </c>
      <c r="E38">
        <f ca="1">IF($C38=1,OFFSET(E38,-1,0)+MAX(1,COUNTIF(QCI!$A$13:$A$15,OFFSET(ORÇAMENTO!E38,-1,0))),OFFSET(E38,-1,0))</f>
        <v>1</v>
      </c>
      <c r="F38">
        <f t="shared" ca="1" si="5"/>
        <v>1</v>
      </c>
      <c r="G38">
        <f t="shared" ca="1" si="6"/>
        <v>1</v>
      </c>
      <c r="H38">
        <f t="shared" ca="1" si="7"/>
        <v>0</v>
      </c>
      <c r="I38">
        <f t="shared" ca="1" si="8"/>
        <v>20</v>
      </c>
      <c r="J38">
        <f t="shared" ca="1" si="9"/>
        <v>0</v>
      </c>
      <c r="K38">
        <f ca="1">IF(OR($C38="S",$C38=0),0,MATCH(OFFSET($D38,0,$C38)+IF($C38&lt;&gt;1,1,COUNTIF(QCI!$A$13:$A$15,ORÇAMENTO!E38)),OFFSET($D38,1,$C38,ROW($C$93)-ROW($C38)),0))</f>
        <v>0</v>
      </c>
      <c r="L38" s="114" t="str">
        <f t="shared" ca="1" si="10"/>
        <v>F</v>
      </c>
      <c r="M38" s="115" t="s">
        <v>705</v>
      </c>
      <c r="N38" s="116" t="str">
        <f t="shared" ca="1" si="11"/>
        <v>Serviço</v>
      </c>
      <c r="O38" s="117" t="str">
        <f t="shared" ca="1" si="12"/>
        <v>1.1.1.20.</v>
      </c>
      <c r="P38" s="118" t="s">
        <v>1020</v>
      </c>
      <c r="Q38" s="119" t="s">
        <v>1040</v>
      </c>
      <c r="R38" s="120" t="str" cm="1">
        <f t="array" aca="1" ref="R38" ca="1">IF($C38="S",REFERENCIA.Descricao,"(digite a descrição aqui)")</f>
        <v>(Código não identificado nas referências)</v>
      </c>
      <c r="S38" s="121" t="s">
        <v>623</v>
      </c>
      <c r="T38" s="122">
        <f ca="1">OFFSET(CÁLCULO!H$15,ROW($T38)-ROW(T$15),0)</f>
        <v>7617.82</v>
      </c>
      <c r="U38" s="123">
        <v>0.87</v>
      </c>
      <c r="V38" s="124" t="s">
        <v>663</v>
      </c>
      <c r="W38" s="122" cm="1">
        <f t="array" aca="1" ref="W38" ca="1">IF($C38="S",ROUND(IF(TIPOORCAMENTO="Proposto",ORÇAMENTO.CustoUnitario*(1+$AH38),ORÇAMENTO.PrecoUnitarioLicitado),15-13*$AF$10),0)</f>
        <v>1.0900000000000001</v>
      </c>
      <c r="X38" s="125" cm="1">
        <f t="array" aca="1" ref="X38" ca="1">IF($C38="S",IF(OR(Import.TipoArredondamento&lt;&gt;"TransfereGOV",ACOMPANHAMENTO="BM"),VTOTAL1,SUM(OFFSET(CÁLCULO!$AA$15,ROW($X38)-ROW($X$15),1):OFFSET(CÁLCULO!$AL$15,ROW($X38)-ROW($X$15),-1))),IF($C38=0,0,ROUND(SomaAgrup,15-13*$AF$11)))</f>
        <v>8303.42</v>
      </c>
      <c r="Y38" s="126" t="s">
        <v>751</v>
      </c>
      <c r="Z38" t="str">
        <f t="shared" ca="1" si="13"/>
        <v>RA</v>
      </c>
      <c r="AA38" s="127" cm="1">
        <f t="array" aca="1" ref="AA38" ca="1">IF($C38="S",IF($Z38="CP",$X38,IF($Z38="RA",(($X38)*QCI!$AA$3),0)),SomaAgrup)</f>
        <v>0</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CÓDIGO N/ID</v>
      </c>
      <c r="AD38" t="str">
        <f ca="1">IF(C38&lt;=CRONO.NivelExibicao,MAX($AD$15:OFFSET(AD38,-1,0))+IF($C38&lt;&gt;1,1,MAX(1,COUNTIF(QCI!$A$13:$A$15,OFFSET($E38,-1,0)))),"")</f>
        <v/>
      </c>
      <c r="AE38" s="7" t="str" cm="1">
        <f t="array" aca="1" ref="AE38" ca="1">IF(AND($C38="S",ORÇAMENTO.CodBarra&lt;&gt;""),IF(ORÇAMENTO.Fonte="",ORÇAMENTO.CodBarra,CONCATENATE(ORÇAMENTO.Fonte," ",ORÇAMENTO.CodBarra)))</f>
        <v>SEINFRA CO-27389</v>
      </c>
      <c r="AF38" s="12"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(Código não identificado nas referências)</v>
      </c>
      <c r="AG38" s="428" cm="1">
        <f t="array" aca="1" ref="AG38" ca="1">ROUND(IF(DESONERACAO="sim",REFERENCIA.Desonerado,REFERENCIA.NaoDesonerado),2)</f>
        <v>0</v>
      </c>
      <c r="AH38" s="429">
        <f t="shared" ca="1" si="14"/>
        <v>0.2485</v>
      </c>
      <c r="AJ38" s="431"/>
      <c r="AL38" s="439"/>
      <c r="AM38" s="336">
        <f t="shared" ca="1" si="0"/>
        <v>8303.42</v>
      </c>
      <c r="AN38" s="470" cm="1">
        <f t="array" aca="1" ref="AN38" ca="1">ROUND(ORÇAMENTO.CustoUnitario*(1+$AH38),2)</f>
        <v>1.0900000000000001</v>
      </c>
    </row>
    <row r="39" spans="1:40" x14ac:dyDescent="0.2">
      <c r="A39">
        <f t="shared" si="1"/>
        <v>2</v>
      </c>
      <c r="B39">
        <f t="shared" ca="1" si="2"/>
        <v>2</v>
      </c>
      <c r="C39">
        <f t="shared" ca="1" si="3"/>
        <v>2</v>
      </c>
      <c r="D39">
        <f t="shared" ca="1" si="4"/>
        <v>22</v>
      </c>
      <c r="E39">
        <f ca="1">IF($C39=1,OFFSET(E39,-1,0)+MAX(1,COUNTIF(QCI!$A$13:$A$15,OFFSET(ORÇAMENTO!E39,-1,0))),OFFSET(E39,-1,0))</f>
        <v>1</v>
      </c>
      <c r="F39">
        <f t="shared" ca="1" si="5"/>
        <v>2</v>
      </c>
      <c r="G39">
        <f t="shared" ca="1" si="6"/>
        <v>0</v>
      </c>
      <c r="H39">
        <f t="shared" ca="1" si="7"/>
        <v>0</v>
      </c>
      <c r="I39">
        <f t="shared" ca="1" si="8"/>
        <v>0</v>
      </c>
      <c r="J39">
        <f t="shared" ca="1" si="9"/>
        <v>54</v>
      </c>
      <c r="K39">
        <f ca="1">IF(OR($C39="S",$C39=0),0,MATCH(OFFSET($D39,0,$C39)+IF($C39&lt;&gt;1,1,COUNTIF(QCI!$A$13:$A$15,ORÇAMENTO!E39)),OFFSET($D39,1,$C39,ROW($C$93)-ROW($C39)),0))</f>
        <v>22</v>
      </c>
      <c r="L39" s="114" t="str">
        <f t="shared" ca="1" si="10"/>
        <v>F</v>
      </c>
      <c r="M39" s="115" t="s">
        <v>702</v>
      </c>
      <c r="N39" s="116" t="str">
        <f t="shared" ca="1" si="11"/>
        <v>Nível 2</v>
      </c>
      <c r="O39" s="117" t="str">
        <f t="shared" ca="1" si="12"/>
        <v>1.2.</v>
      </c>
      <c r="P39" s="118" t="s">
        <v>750</v>
      </c>
      <c r="Q39" s="119"/>
      <c r="R39" s="120" t="s">
        <v>1049</v>
      </c>
      <c r="S39" s="121" t="str" cm="1">
        <f t="array" aca="1" ref="S39" ca="1">REFERENCIA.Unidade</f>
        <v>-</v>
      </c>
      <c r="T39" s="122">
        <f ca="1">OFFSET(CÁLCULO!H$15,ROW($T39)-ROW(T$15),0)</f>
        <v>0</v>
      </c>
      <c r="U39" s="123"/>
      <c r="V39" s="124" t="s">
        <v>663</v>
      </c>
      <c r="W39" s="122" cm="1">
        <f t="array" aca="1" ref="W39" ca="1">IF($C39="S",ROUND(IF(TIPOORCAMENTO="Proposto",ORÇAMENTO.CustoUnitario*(1+$AH39),ORÇAMENTO.PrecoUnitarioLicitado),15-13*$AF$10),0)</f>
        <v>0</v>
      </c>
      <c r="X39" s="125" cm="1">
        <f t="array" aca="1" ref="X39" ca="1">IF($C39="S",IF(OR(Import.TipoArredondamento&lt;&gt;"TransfereGOV",ACOMPANHAMENTO="BM"),VTOTAL1,SUM(OFFSET(CÁLCULO!$AA$15,ROW($X39)-ROW($X$15),1):OFFSET(CÁLCULO!$AL$15,ROW($X39)-ROW($X$15),-1))),IF($C39=0,0,ROUND(SomaAgrup,15-13*$AF$11)))</f>
        <v>275726.93</v>
      </c>
      <c r="Y39" s="126" t="s">
        <v>751</v>
      </c>
      <c r="Z39" t="str">
        <f t="shared" ca="1" si="13"/>
        <v/>
      </c>
      <c r="AA39" s="127" cm="1">
        <f t="array" aca="1" ref="AA39" ca="1">IF($C39="S",IF($Z39="CP",$X39,IF($Z39="RA",(($X39)*QCI!$AA$3),0)),SomaAgrup)</f>
        <v>0</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f ca="1">IF(C39&lt;=CRONO.NivelExibicao,MAX($AD$15:OFFSET(AD39,-1,0))+IF($C39&lt;&gt;1,1,MAX(1,COUNTIF(QCI!$A$13:$A$15,OFFSET($E39,-1,0)))),"")</f>
        <v>3</v>
      </c>
      <c r="AE39" s="7" t="b" cm="1">
        <f t="array" aca="1" ref="AE39" ca="1">IF(AND($C39="S",ORÇAMENTO.CodBarra&lt;&gt;""),IF(ORÇAMENTO.Fonte="",ORÇAMENTO.CodBarra,CONCATENATE(ORÇAMENTO.Fonte," ",ORÇAMENTO.CodBarra)))</f>
        <v>0</v>
      </c>
      <c r="AF39" s="12" t="str"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(Sem Código)</v>
      </c>
      <c r="AG39" s="428" cm="1">
        <f t="array" aca="1" ref="AG39" ca="1">ROUND(IF(DESONERACAO="sim",REFERENCIA.Desonerado,REFERENCIA.NaoDesonerado),2)</f>
        <v>0</v>
      </c>
      <c r="AH39" s="429">
        <f t="shared" ca="1" si="14"/>
        <v>0.2485</v>
      </c>
      <c r="AJ39" s="431"/>
      <c r="AL39" s="439"/>
      <c r="AM39" s="336">
        <f t="shared" ca="1" si="0"/>
        <v>275726.93</v>
      </c>
      <c r="AN39" s="470" cm="1">
        <f t="array" aca="1" ref="AN39" ca="1">ROUND(ORÇAMENTO.CustoUnitario*(1+$AH39),2)</f>
        <v>0</v>
      </c>
    </row>
    <row r="40" spans="1:40" ht="25.5" x14ac:dyDescent="0.2">
      <c r="A40">
        <f t="shared" ref="A40:A60" si="15">CHOOSE(1+LOG(1+2*(ORÇAMENTO.Nivel="Meta")+4*(ORÇAMENTO.Nivel="Nível 2")+8*(ORÇAMENTO.Nivel="Nível 3")+16*(ORÇAMENTO.Nivel="Nível 4")+32*(ORÇAMENTO.Nivel="Serviço"),2),0,1,2,3,4,"S")</f>
        <v>3</v>
      </c>
      <c r="B40">
        <f ca="1">IF(OR(C40="s",C40=0),OFFSET(B40,-1,0),C40)</f>
        <v>3</v>
      </c>
      <c r="C40">
        <f ca="1">IF(OFFSET(C40,-1,0)="L",1,IF(OFFSET(C40,-1,0)=1,2,IF(OR(A40="s",A40=0),"S",IF(AND(OFFSET(C40,-1,0)=2,A40=4),3,IF(AND(OR(OFFSET(C40,-1,0)="s",OFFSET(C40,-1,0)=0),A40&lt;&gt;"s",A40&gt;OFFSET(B40,-1,0)),OFFSET(B40,-1,0),A40)))))</f>
        <v>3</v>
      </c>
      <c r="D40">
        <f ca="1">IF(OR(C40="S",C40=0),0,IF(ISERROR(K40),J40,SMALL(J40:K40,1)))</f>
        <v>4</v>
      </c>
      <c r="E40">
        <f ca="1">IF($C40=1,OFFSET(E40,-1,0)+MAX(1,COUNTIF(QCI!$A$13:$A$15,OFFSET(ORÇAMENTO!E40,-1,0))),OFFSET(E40,-1,0))</f>
        <v>1</v>
      </c>
      <c r="F40">
        <f ca="1">IF($C40=1,0,IF($C40=2,OFFSET(F40,-1,0)+1,OFFSET(F40,-1,0)))</f>
        <v>2</v>
      </c>
      <c r="G40">
        <f ca="1">IF(AND($C40&lt;=2,$C40&lt;&gt;0),0,IF($C40=3,OFFSET(G40,-1,0)+1,OFFSET(G40,-1,0)))</f>
        <v>1</v>
      </c>
      <c r="H40">
        <f ca="1">IF(AND($C40&lt;=3,$C40&lt;&gt;0),0,IF($C40=4,OFFSET(H40,-1,0)+1,OFFSET(H40,-1,0)))</f>
        <v>0</v>
      </c>
      <c r="I40">
        <f ca="1">IF(AND($C40&lt;=4,$C40&lt;&gt;0),0,IF(AND($C40="S",$X40&gt;0),OFFSET(I40,-1,0)+1,OFFSET(I40,-1,0)))</f>
        <v>0</v>
      </c>
      <c r="J40">
        <f t="shared" ca="1" si="9"/>
        <v>21</v>
      </c>
      <c r="K40">
        <f ca="1">IF(OR($C40="S",$C40=0),0,MATCH(OFFSET($D40,0,$C40)+IF($C40&lt;&gt;1,1,COUNTIF(QCI!$A$13:$A$15,ORÇAMENTO!E40)),OFFSET($D40,1,$C40,ROW($C$93)-ROW($C40)),0))</f>
        <v>4</v>
      </c>
      <c r="L40" s="114" t="str">
        <f ca="1">IF(OR($X40&gt;0,$C40=1,$C40=2,$C40=3,$C40=4),"F","")</f>
        <v>F</v>
      </c>
      <c r="M40" s="115" t="s">
        <v>703</v>
      </c>
      <c r="N40" s="116" t="str">
        <f ca="1">CHOOSE(1+LOG(1+2*(C40=1)+4*(C40=2)+8*(C40=3)+16*(C40=4)+32*(C40="S"),2),"","Meta","Nível 2","Nível 3","Nível 4","Serviço")</f>
        <v>Nível 3</v>
      </c>
      <c r="O40" s="117" t="str">
        <f ca="1">IF(OR($C40=0,$L40=""),"-",CONCATENATE(E40&amp;".",IF(AND($A$5&gt;=2,$C40&gt;=2),F40&amp;".",""),IF(AND($A$5&gt;=3,$C40&gt;=3),G40&amp;".",""),IF(AND($A$5&gt;=4,$C40&gt;=4),H40&amp;".",""),IF($C40="S",I40&amp;".","")))</f>
        <v>1.2.1.</v>
      </c>
      <c r="P40" s="118" t="s">
        <v>750</v>
      </c>
      <c r="Q40" s="119"/>
      <c r="R40" s="120" t="str">
        <f ca="1">IF($C40="S",REFERENCIA.Descricao,"Limpeza e cercamento de área, instalação de canteiros e placa de obra")</f>
        <v>Limpeza e cercamento de área, instalação de canteiros e placa de obra</v>
      </c>
      <c r="S40" s="121" t="str" cm="1">
        <f t="array" aca="1" ref="S40" ca="1">REFERENCIA.Unidade</f>
        <v>-</v>
      </c>
      <c r="T40" s="122">
        <f ca="1">OFFSET(CÁLCULO!H$15,ROW($T40)-ROW(T$15),0)</f>
        <v>0</v>
      </c>
      <c r="U40" s="123"/>
      <c r="V40" s="124" t="s">
        <v>663</v>
      </c>
      <c r="W40" s="122" cm="1">
        <f t="array" aca="1" ref="W40" ca="1">IF($C40="S",ROUND(IF(TIPOORCAMENTO="Proposto",ORÇAMENTO.CustoUnitario*(1+$AH40),ORÇAMENTO.PrecoUnitarioLicitado),15-13*$AF$10),0)</f>
        <v>0</v>
      </c>
      <c r="X40" s="125" cm="1">
        <f t="array" aca="1" ref="X40" ca="1">IF($C40="S",IF(OR(Import.TipoArredondamento&lt;&gt;"TransfereGOV",ACOMPANHAMENTO="BM"),VTOTAL1,SUM(OFFSET(CÁLCULO!$AA$15,ROW($X40)-ROW($X$15),1):OFFSET(CÁLCULO!$AL$15,ROW($X40)-ROW($X$15),-1))),IF($C40=0,0,ROUND(SomaAgrup,15-13*$AF$11)))</f>
        <v>128267.22</v>
      </c>
      <c r="Y40" s="126" t="s">
        <v>751</v>
      </c>
      <c r="Z40" t="str">
        <f ca="1">IF(AND($C40="S",$X40&gt;0),IF(ISBLANK($Y40),"RA",LEFT($Y40,2)),"")</f>
        <v/>
      </c>
      <c r="AA40" s="127" cm="1">
        <f t="array" aca="1" ref="AA40" ca="1">IF($C40="S",IF($Z40="CP",$X40,IF($Z40="RA",(($X40)*QCI!$AA$3),0)),SomaAgrup)</f>
        <v>0</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IF(C40&lt;=CRONO.NivelExibicao,MAX($AD$15:OFFSET(AD40,-1,0))+IF($C40&lt;&gt;1,1,MAX(1,COUNTIF(QCI!$A$13:$A$15,OFFSET($E40,-1,0)))),"")</f>
        <v/>
      </c>
      <c r="AE40" s="7" t="b" cm="1">
        <f t="array" aca="1" ref="AE40" ca="1">IF(AND($C40="S",ORÇAMENTO.CodBarra&lt;&gt;""),IF(ORÇAMENTO.Fonte="",ORÇAMENTO.CodBarra,CONCATENATE(ORÇAMENTO.Fonte," ",ORÇAMENTO.CodBarra)))</f>
        <v>0</v>
      </c>
      <c r="AF40" s="12" t="str"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(Sem Código)</v>
      </c>
      <c r="AG40" s="428" cm="1">
        <f t="array" aca="1" ref="AG40" ca="1">ROUND(IF(DESONERACAO="sim",REFERENCIA.Desonerado,REFERENCIA.NaoDesonerado),2)</f>
        <v>0</v>
      </c>
      <c r="AH40" s="429">
        <f t="shared" ref="AH40:AH60" ca="1" si="16">ROUND(IF(ISNUMBER(ORÇAMENTO.OpcaoBDI),ORÇAMENTO.OpcaoBDI,IF(LEFT(ORÇAMENTO.OpcaoBDI,3)="BDI",HLOOKUP(ORÇAMENTO.OpcaoBDI,$F$4:$H$5,2,FALSE),0)),15-11*$AF$9)</f>
        <v>0.2485</v>
      </c>
      <c r="AJ40" s="431"/>
      <c r="AL40" s="439"/>
      <c r="AM40" s="336">
        <f t="shared" ca="1" si="0"/>
        <v>128267.22</v>
      </c>
      <c r="AN40" s="470" cm="1">
        <f t="array" aca="1" ref="AN40" ca="1">ROUND(ORÇAMENTO.CustoUnitario*(1+$AH40),2)</f>
        <v>0</v>
      </c>
    </row>
    <row r="41" spans="1:40" ht="38.25" x14ac:dyDescent="0.2">
      <c r="A41" t="str">
        <f t="shared" si="15"/>
        <v>S</v>
      </c>
      <c r="B41">
        <f ca="1">IF(OR(C41="s",C41=0),OFFSET(B41,-1,0),C41)</f>
        <v>3</v>
      </c>
      <c r="C41" t="str">
        <f ca="1">IF(OFFSET(C41,-1,0)="L",1,IF(OFFSET(C41,-1,0)=1,2,IF(OR(A41="s",A41=0),"S",IF(AND(OFFSET(C41,-1,0)=2,A41=4),3,IF(AND(OR(OFFSET(C41,-1,0)="s",OFFSET(C41,-1,0)=0),A41&lt;&gt;"s",A41&gt;OFFSET(B41,-1,0)),OFFSET(B41,-1,0),A41)))))</f>
        <v>S</v>
      </c>
      <c r="D41">
        <f ca="1">IF(OR(C41="S",C41=0),0,IF(ISERROR(K41),J41,SMALL(J41:K41,1)))</f>
        <v>0</v>
      </c>
      <c r="E41">
        <f ca="1">IF($C41=1,OFFSET(E41,-1,0)+MAX(1,COUNTIF(QCI!$A$13:$A$15,OFFSET(ORÇAMENTO!E41,-1,0))),OFFSET(E41,-1,0))</f>
        <v>1</v>
      </c>
      <c r="F41">
        <f ca="1">IF($C41=1,0,IF($C41=2,OFFSET(F41,-1,0)+1,OFFSET(F41,-1,0)))</f>
        <v>2</v>
      </c>
      <c r="G41">
        <f ca="1">IF(AND($C41&lt;=2,$C41&lt;&gt;0),0,IF($C41=3,OFFSET(G41,-1,0)+1,OFFSET(G41,-1,0)))</f>
        <v>1</v>
      </c>
      <c r="H41">
        <f ca="1">IF(AND($C41&lt;=3,$C41&lt;&gt;0),0,IF($C41=4,OFFSET(H41,-1,0)+1,OFFSET(H41,-1,0)))</f>
        <v>0</v>
      </c>
      <c r="I41">
        <f ca="1">IF(AND($C41&lt;=4,$C41&lt;&gt;0),0,IF(AND($C41="S",$X41&gt;0),OFFSET(I41,-1,0)+1,OFFSET(I41,-1,0)))</f>
        <v>1</v>
      </c>
      <c r="J41">
        <f t="shared" ca="1" si="9"/>
        <v>0</v>
      </c>
      <c r="K41">
        <f ca="1">IF(OR($C41="S",$C41=0),0,MATCH(OFFSET($D41,0,$C41)+IF($C41&lt;&gt;1,1,COUNTIF(QCI!$A$13:$A$15,ORÇAMENTO!E41)),OFFSET($D41,1,$C41,ROW($C$93)-ROW($C41)),0))</f>
        <v>0</v>
      </c>
      <c r="L41" s="114" t="str">
        <f ca="1">IF(OR($X41&gt;0,$C41=1,$C41=2,$C41=3,$C41=4),"F","")</f>
        <v>F</v>
      </c>
      <c r="M41" s="115" t="s">
        <v>705</v>
      </c>
      <c r="N41" s="116" t="str">
        <f ca="1">CHOOSE(1+LOG(1+2*(C41=1)+4*(C41=2)+8*(C41=3)+16*(C41=4)+32*(C41="S"),2),"","Meta","Nível 2","Nível 3","Nível 4","Serviço")</f>
        <v>Serviço</v>
      </c>
      <c r="O41" s="117" t="str">
        <f ca="1">IF(OR($C41=0,$L41=""),"-",CONCATENATE(E41&amp;".",IF(AND($A$5&gt;=2,$C41&gt;=2),F41&amp;".",""),IF(AND($A$5&gt;=3,$C41&gt;=3),G41&amp;".",""),IF(AND($A$5&gt;=4,$C41&gt;=4),H41&amp;".",""),IF($C41="S",I41&amp;".","")))</f>
        <v>1.2.1.1.</v>
      </c>
      <c r="P41" s="118" t="s">
        <v>750</v>
      </c>
      <c r="Q41" s="119">
        <v>98525</v>
      </c>
      <c r="R41" s="120" t="str" cm="1">
        <f t="array" aca="1" ref="R41" ca="1">IF($C41="S",REFERENCIA.Descricao,"(digite a descrição aqui)")</f>
        <v>(Código não identificado nas referências)</v>
      </c>
      <c r="S41" s="121" t="str" cm="1">
        <f t="array" aca="1" ref="S41" ca="1">REFERENCIA.Unidade</f>
        <v>-</v>
      </c>
      <c r="T41" s="122">
        <f ca="1">OFFSET(CÁLCULO!H$15,ROW($T41)-ROW(T$15),0)</f>
        <v>15000</v>
      </c>
      <c r="U41" s="123">
        <v>0.72</v>
      </c>
      <c r="V41" s="124" t="s">
        <v>663</v>
      </c>
      <c r="W41" s="122" cm="1">
        <f t="array" aca="1" ref="W41" ca="1">IF($C41="S",ROUND(IF(TIPOORCAMENTO="Proposto",ORÇAMENTO.CustoUnitario*(1+$AH41),ORÇAMENTO.PrecoUnitarioLicitado),15-13*$AF$10),0)</f>
        <v>0.9</v>
      </c>
      <c r="X41" s="125" cm="1">
        <f t="array" aca="1" ref="X41" ca="1">IF($C41="S",IF(OR(Import.TipoArredondamento&lt;&gt;"TransfereGOV",ACOMPANHAMENTO="BM"),VTOTAL1,SUM(OFFSET(CÁLCULO!$AA$15,ROW($X41)-ROW($X$15),1):OFFSET(CÁLCULO!$AL$15,ROW($X41)-ROW($X$15),-1))),IF($C41=0,0,ROUND(SomaAgrup,15-13*$AF$11)))</f>
        <v>13500</v>
      </c>
      <c r="Y41" s="126" t="s">
        <v>751</v>
      </c>
      <c r="Z41" t="str">
        <f ca="1">IF(AND($C41="S",$X41&gt;0),IF(ISBLANK($Y41),"RA",LEFT($Y41,2)),"")</f>
        <v>RA</v>
      </c>
      <c r="AA41" s="127" cm="1">
        <f t="array" aca="1" ref="AA41" ca="1">IF($C41="S",IF($Z41="CP",$X41,IF($Z41="RA",(($X41)*QCI!$AA$3),0)),SomaAgrup)</f>
        <v>0</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CÓDIGO N/ID</v>
      </c>
      <c r="AD41" t="str">
        <f ca="1">IF(C41&lt;=CRONO.NivelExibicao,MAX($AD$15:OFFSET(AD41,-1,0))+IF($C41&lt;&gt;1,1,MAX(1,COUNTIF(QCI!$A$13:$A$15,OFFSET($E41,-1,0)))),"")</f>
        <v/>
      </c>
      <c r="AE41" s="7" t="str" cm="1">
        <f t="array" aca="1" ref="AE41" ca="1">IF(AND($C41="S",ORÇAMENTO.CodBarra&lt;&gt;""),IF(ORÇAMENTO.Fonte="",ORÇAMENTO.CodBarra,CONCATENATE(ORÇAMENTO.Fonte," ",ORÇAMENTO.CodBarra)))</f>
        <v>SINAPI 98525</v>
      </c>
      <c r="AF41" s="12"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(Código não identificado nas referências)</v>
      </c>
      <c r="AG41" s="428" cm="1">
        <f t="array" aca="1" ref="AG41" ca="1">ROUND(IF(DESONERACAO="sim",REFERENCIA.Desonerado,REFERENCIA.NaoDesonerado),2)</f>
        <v>0</v>
      </c>
      <c r="AH41" s="429">
        <f t="shared" ca="1" si="16"/>
        <v>0.2485</v>
      </c>
      <c r="AJ41" s="431"/>
      <c r="AL41" s="439"/>
      <c r="AM41" s="336">
        <f t="shared" ca="1" si="0"/>
        <v>13500</v>
      </c>
      <c r="AN41" s="470" cm="1">
        <f t="array" aca="1" ref="AN41" ca="1">ROUND(ORÇAMENTO.CustoUnitario*(1+$AH41),2)</f>
        <v>0.9</v>
      </c>
    </row>
    <row r="42" spans="1:40" ht="25.5" x14ac:dyDescent="0.2">
      <c r="A42" t="str">
        <f t="shared" si="15"/>
        <v>S</v>
      </c>
      <c r="B42">
        <f ca="1">IF(OR(C42="s",C42=0),OFFSET(B42,-1,0),C42)</f>
        <v>3</v>
      </c>
      <c r="C42" t="str">
        <f ca="1">IF(OFFSET(C42,-1,0)="L",1,IF(OFFSET(C42,-1,0)=1,2,IF(OR(A42="s",A42=0),"S",IF(AND(OFFSET(C42,-1,0)=2,A42=4),3,IF(AND(OR(OFFSET(C42,-1,0)="s",OFFSET(C42,-1,0)=0),A42&lt;&gt;"s",A42&gt;OFFSET(B42,-1,0)),OFFSET(B42,-1,0),A42)))))</f>
        <v>S</v>
      </c>
      <c r="D42">
        <f ca="1">IF(OR(C42="S",C42=0),0,IF(ISERROR(K42),J42,SMALL(J42:K42,1)))</f>
        <v>0</v>
      </c>
      <c r="E42">
        <f ca="1">IF($C42=1,OFFSET(E42,-1,0)+MAX(1,COUNTIF(QCI!$A$13:$A$15,OFFSET(ORÇAMENTO!E42,-1,0))),OFFSET(E42,-1,0))</f>
        <v>1</v>
      </c>
      <c r="F42">
        <f ca="1">IF($C42=1,0,IF($C42=2,OFFSET(F42,-1,0)+1,OFFSET(F42,-1,0)))</f>
        <v>2</v>
      </c>
      <c r="G42">
        <f ca="1">IF(AND($C42&lt;=2,$C42&lt;&gt;0),0,IF($C42=3,OFFSET(G42,-1,0)+1,OFFSET(G42,-1,0)))</f>
        <v>1</v>
      </c>
      <c r="H42">
        <f ca="1">IF(AND($C42&lt;=3,$C42&lt;&gt;0),0,IF($C42=4,OFFSET(H42,-1,0)+1,OFFSET(H42,-1,0)))</f>
        <v>0</v>
      </c>
      <c r="I42">
        <f ca="1">IF(AND($C42&lt;=4,$C42&lt;&gt;0),0,IF(AND($C42="S",$X42&gt;0),OFFSET(I42,-1,0)+1,OFFSET(I42,-1,0)))</f>
        <v>2</v>
      </c>
      <c r="J42">
        <f t="shared" ca="1" si="9"/>
        <v>0</v>
      </c>
      <c r="K42">
        <f ca="1">IF(OR($C42="S",$C42=0),0,MATCH(OFFSET($D42,0,$C42)+IF($C42&lt;&gt;1,1,COUNTIF(QCI!$A$13:$A$15,ORÇAMENTO!E42)),OFFSET($D42,1,$C42,ROW($C$93)-ROW($C42)),0))</f>
        <v>0</v>
      </c>
      <c r="L42" s="114" t="str">
        <f ca="1">IF(OR($X42&gt;0,$C42=1,$C42=2,$C42=3,$C42=4),"F","")</f>
        <v>F</v>
      </c>
      <c r="M42" s="115" t="s">
        <v>705</v>
      </c>
      <c r="N42" s="116" t="str">
        <f ca="1">CHOOSE(1+LOG(1+2*(C42=1)+4*(C42=2)+8*(C42=3)+16*(C42=4)+32*(C42="S"),2),"","Meta","Nível 2","Nível 3","Nível 4","Serviço")</f>
        <v>Serviço</v>
      </c>
      <c r="O42" s="117" t="str">
        <f ca="1">IF(OR($C42=0,$L42=""),"-",CONCATENATE(E42&amp;".",IF(AND($A$5&gt;=2,$C42&gt;=2),F42&amp;".",""),IF(AND($A$5&gt;=3,$C42&gt;=3),G42&amp;".",""),IF(AND($A$5&gt;=4,$C42&gt;=4),H42&amp;".",""),IF($C42="S",I42&amp;".","")))</f>
        <v>1.2.1.2.</v>
      </c>
      <c r="P42" s="118" t="s">
        <v>750</v>
      </c>
      <c r="Q42" s="119">
        <v>103689</v>
      </c>
      <c r="R42" s="120" t="str" cm="1">
        <f t="array" aca="1" ref="R42" ca="1">IF($C42="S",REFERENCIA.Descricao,"(digite a descrição aqui)")</f>
        <v>(Código não identificado nas referências)</v>
      </c>
      <c r="S42" s="121" t="str" cm="1">
        <f t="array" aca="1" ref="S42" ca="1">REFERENCIA.Unidade</f>
        <v>-</v>
      </c>
      <c r="T42" s="122">
        <f ca="1">OFFSET(CÁLCULO!H$15,ROW($T42)-ROW(T$15),0)</f>
        <v>6.5</v>
      </c>
      <c r="U42" s="123">
        <v>506.75</v>
      </c>
      <c r="V42" s="124" t="s">
        <v>663</v>
      </c>
      <c r="W42" s="122" cm="1">
        <f t="array" aca="1" ref="W42" ca="1">IF($C42="S",ROUND(IF(TIPOORCAMENTO="Proposto",ORÇAMENTO.CustoUnitario*(1+$AH42),ORÇAMENTO.PrecoUnitarioLicitado),15-13*$AF$10),0)</f>
        <v>632.67999999999995</v>
      </c>
      <c r="X42" s="125" cm="1">
        <f t="array" aca="1" ref="X42" ca="1">IF($C42="S",IF(OR(Import.TipoArredondamento&lt;&gt;"TransfereGOV",ACOMPANHAMENTO="BM"),VTOTAL1,SUM(OFFSET(CÁLCULO!$AA$15,ROW($X42)-ROW($X$15),1):OFFSET(CÁLCULO!$AL$15,ROW($X42)-ROW($X$15),-1))),IF($C42=0,0,ROUND(SomaAgrup,15-13*$AF$11)))</f>
        <v>4112.42</v>
      </c>
      <c r="Y42" s="126" t="s">
        <v>751</v>
      </c>
      <c r="Z42" t="str">
        <f ca="1">IF(AND($C42="S",$X42&gt;0),IF(ISBLANK($Y42),"RA",LEFT($Y42,2)),"")</f>
        <v>RA</v>
      </c>
      <c r="AA42" s="127" cm="1">
        <f t="array" aca="1" ref="AA42" ca="1">IF($C42="S",IF($Z42="CP",$X42,IF($Z42="RA",(($X42)*QCI!$AA$3),0)),SomaAgrup)</f>
        <v>0</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CÓDIGO N/ID</v>
      </c>
      <c r="AD42" t="str">
        <f ca="1">IF(C42&lt;=CRONO.NivelExibicao,MAX($AD$15:OFFSET(AD42,-1,0))+IF($C42&lt;&gt;1,1,MAX(1,COUNTIF(QCI!$A$13:$A$15,OFFSET($E42,-1,0)))),"")</f>
        <v/>
      </c>
      <c r="AE42" s="7" t="str" cm="1">
        <f t="array" aca="1" ref="AE42" ca="1">IF(AND($C42="S",ORÇAMENTO.CodBarra&lt;&gt;""),IF(ORÇAMENTO.Fonte="",ORÇAMENTO.CodBarra,CONCATENATE(ORÇAMENTO.Fonte," ",ORÇAMENTO.CodBarra)))</f>
        <v>SINAPI 103689</v>
      </c>
      <c r="AF42" s="12"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(Código não identificado nas referências)</v>
      </c>
      <c r="AG42" s="428" cm="1">
        <f t="array" aca="1" ref="AG42" ca="1">ROUND(IF(DESONERACAO="sim",REFERENCIA.Desonerado,REFERENCIA.NaoDesonerado),2)</f>
        <v>0</v>
      </c>
      <c r="AH42" s="429">
        <f t="shared" ca="1" si="16"/>
        <v>0.2485</v>
      </c>
      <c r="AJ42" s="431"/>
      <c r="AL42" s="439"/>
      <c r="AM42" s="336">
        <f t="shared" ca="1" si="0"/>
        <v>4112.42</v>
      </c>
      <c r="AN42" s="470" cm="1">
        <f t="array" aca="1" ref="AN42" ca="1">ROUND(ORÇAMENTO.CustoUnitario*(1+$AH42),2)</f>
        <v>632.67999999999995</v>
      </c>
    </row>
    <row r="43" spans="1:40" ht="25.5" x14ac:dyDescent="0.2">
      <c r="A43" t="str">
        <f t="shared" si="15"/>
        <v>S</v>
      </c>
      <c r="B43">
        <f ca="1">IF(OR(C43="s",C43=0),OFFSET(B43,-1,0),C43)</f>
        <v>3</v>
      </c>
      <c r="C43" t="str">
        <f ca="1">IF(OFFSET(C43,-1,0)="L",1,IF(OFFSET(C43,-1,0)=1,2,IF(OR(A43="s",A43=0),"S",IF(AND(OFFSET(C43,-1,0)=2,A43=4),3,IF(AND(OR(OFFSET(C43,-1,0)="s",OFFSET(C43,-1,0)=0),A43&lt;&gt;"s",A43&gt;OFFSET(B43,-1,0)),OFFSET(B43,-1,0),A43)))))</f>
        <v>S</v>
      </c>
      <c r="D43">
        <f ca="1">IF(OR(C43="S",C43=0),0,IF(ISERROR(K43),J43,SMALL(J43:K43,1)))</f>
        <v>0</v>
      </c>
      <c r="E43">
        <f ca="1">IF($C43=1,OFFSET(E43,-1,0)+MAX(1,COUNTIF(QCI!$A$13:$A$15,OFFSET(ORÇAMENTO!E43,-1,0))),OFFSET(E43,-1,0))</f>
        <v>1</v>
      </c>
      <c r="F43">
        <f ca="1">IF($C43=1,0,IF($C43=2,OFFSET(F43,-1,0)+1,OFFSET(F43,-1,0)))</f>
        <v>2</v>
      </c>
      <c r="G43">
        <f ca="1">IF(AND($C43&lt;=2,$C43&lt;&gt;0),0,IF($C43=3,OFFSET(G43,-1,0)+1,OFFSET(G43,-1,0)))</f>
        <v>1</v>
      </c>
      <c r="H43">
        <f ca="1">IF(AND($C43&lt;=3,$C43&lt;&gt;0),0,IF($C43=4,OFFSET(H43,-1,0)+1,OFFSET(H43,-1,0)))</f>
        <v>0</v>
      </c>
      <c r="I43">
        <f ca="1">IF(AND($C43&lt;=4,$C43&lt;&gt;0),0,IF(AND($C43="S",$X43&gt;0),OFFSET(I43,-1,0)+1,OFFSET(I43,-1,0)))</f>
        <v>3</v>
      </c>
      <c r="J43">
        <f t="shared" ca="1" si="9"/>
        <v>0</v>
      </c>
      <c r="K43">
        <f ca="1">IF(OR($C43="S",$C43=0),0,MATCH(OFFSET($D43,0,$C43)+IF($C43&lt;&gt;1,1,COUNTIF(QCI!$A$13:$A$15,ORÇAMENTO!E43)),OFFSET($D43,1,$C43,ROW($C$93)-ROW($C43)),0))</f>
        <v>0</v>
      </c>
      <c r="L43" s="114" t="str">
        <f ca="1">IF(OR($X43&gt;0,$C43=1,$C43=2,$C43=3,$C43=4),"F","")</f>
        <v>F</v>
      </c>
      <c r="M43" s="115" t="s">
        <v>705</v>
      </c>
      <c r="N43" s="116" t="str">
        <f ca="1">CHOOSE(1+LOG(1+2*(C43=1)+4*(C43=2)+8*(C43=3)+16*(C43=4)+32*(C43="S"),2),"","Meta","Nível 2","Nível 3","Nível 4","Serviço")</f>
        <v>Serviço</v>
      </c>
      <c r="O43" s="117" t="str">
        <f ca="1">IF(OR($C43=0,$L43=""),"-",CONCATENATE(E43&amp;".",IF(AND($A$5&gt;=2,$C43&gt;=2),F43&amp;".",""),IF(AND($A$5&gt;=3,$C43&gt;=3),G43&amp;".",""),IF(AND($A$5&gt;=4,$C43&gt;=4),H43&amp;".",""),IF($C43="S",I43&amp;".","")))</f>
        <v>1.2.1.3.</v>
      </c>
      <c r="P43" s="118" t="s">
        <v>750</v>
      </c>
      <c r="Q43" s="119" t="s">
        <v>1116</v>
      </c>
      <c r="R43" s="120" t="str" cm="1">
        <f t="array" aca="1" ref="R43" ca="1">IF($C43="S",REFERENCIA.Descricao,"(digite a descrição aqui)")</f>
        <v>(Código não identificado nas referências)</v>
      </c>
      <c r="S43" s="121" t="str" cm="1">
        <f t="array" aca="1" ref="S43" ca="1">REFERENCIA.Unidade</f>
        <v>-</v>
      </c>
      <c r="T43" s="122">
        <f ca="1">OFFSET(CÁLCULO!H$15,ROW($T43)-ROW(T$15),0)</f>
        <v>490.09999999999997</v>
      </c>
      <c r="U43" s="123">
        <v>180.84</v>
      </c>
      <c r="V43" s="124" t="s">
        <v>663</v>
      </c>
      <c r="W43" s="122" cm="1">
        <f t="array" aca="1" ref="W43" ca="1">IF($C43="S",ROUND(IF(TIPOORCAMENTO="Proposto",ORÇAMENTO.CustoUnitario*(1+$AH43),ORÇAMENTO.PrecoUnitarioLicitado),15-13*$AF$10),0)</f>
        <v>225.78</v>
      </c>
      <c r="X43" s="125" cm="1">
        <f t="array" aca="1" ref="X43" ca="1">IF($C43="S",IF(OR(Import.TipoArredondamento&lt;&gt;"TransfereGOV",ACOMPANHAMENTO="BM"),VTOTAL1,SUM(OFFSET(CÁLCULO!$AA$15,ROW($X43)-ROW($X$15),1):OFFSET(CÁLCULO!$AL$15,ROW($X43)-ROW($X$15),-1))),IF($C43=0,0,ROUND(SomaAgrup,15-13*$AF$11)))</f>
        <v>110654.79999999997</v>
      </c>
      <c r="Y43" s="126" t="s">
        <v>751</v>
      </c>
      <c r="Z43" t="str">
        <f ca="1">IF(AND($C43="S",$X43&gt;0),IF(ISBLANK($Y43),"RA",LEFT($Y43,2)),"")</f>
        <v>RA</v>
      </c>
      <c r="AA43" s="127" cm="1">
        <f t="array" aca="1" ref="AA43" ca="1">IF($C43="S",IF($Z43="CP",$X43,IF($Z43="RA",(($X43)*QCI!$AA$3),0)),SomaAgrup)</f>
        <v>0</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CÓDIGO N/ID</v>
      </c>
      <c r="AD43" t="str">
        <f ca="1">IF(C43&lt;=CRONO.NivelExibicao,MAX($AD$15:OFFSET(AD43,-1,0))+IF($C43&lt;&gt;1,1,MAX(1,COUNTIF(QCI!$A$13:$A$15,OFFSET($E43,-1,0)))),"")</f>
        <v/>
      </c>
      <c r="AE43" s="7" t="str" cm="1">
        <f t="array" aca="1" ref="AE43" ca="1">IF(AND($C43="S",ORÇAMENTO.CodBarra&lt;&gt;""),IF(ORÇAMENTO.Fonte="",ORÇAMENTO.CodBarra,CONCATENATE(ORÇAMENTO.Fonte," ",ORÇAMENTO.CodBarra)))</f>
        <v>SINAPI 98522</v>
      </c>
      <c r="AF43" s="12" t="str"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(Código não identificado nas referências)</v>
      </c>
      <c r="AG43" s="428" cm="1">
        <f t="array" aca="1" ref="AG43" ca="1">ROUND(IF(DESONERACAO="sim",REFERENCIA.Desonerado,REFERENCIA.NaoDesonerado),2)</f>
        <v>0</v>
      </c>
      <c r="AH43" s="429">
        <f t="shared" ca="1" si="16"/>
        <v>0.2485</v>
      </c>
      <c r="AJ43" s="431"/>
      <c r="AL43" s="439"/>
      <c r="AM43" s="336">
        <f t="shared" ca="1" si="0"/>
        <v>110654.79999999997</v>
      </c>
      <c r="AN43" s="470" cm="1">
        <f t="array" aca="1" ref="AN43" ca="1">ROUND(ORÇAMENTO.CustoUnitario*(1+$AH43),2)</f>
        <v>225.78</v>
      </c>
    </row>
    <row r="44" spans="1:40" x14ac:dyDescent="0.2">
      <c r="A44">
        <f t="shared" si="15"/>
        <v>3</v>
      </c>
      <c r="B44">
        <f t="shared" ref="B44:B60" ca="1" si="17">IF(OR(C44="s",C44=0),OFFSET(B44,-1,0),C44)</f>
        <v>3</v>
      </c>
      <c r="C44">
        <f t="shared" ref="C44:C60" ca="1" si="18">IF(OFFSET(C44,-1,0)="L",1,IF(OFFSET(C44,-1,0)=1,2,IF(OR(A44="s",A44=0),"S",IF(AND(OFFSET(C44,-1,0)=2,A44=4),3,IF(AND(OR(OFFSET(C44,-1,0)="s",OFFSET(C44,-1,0)=0),A44&lt;&gt;"s",A44&gt;OFFSET(B44,-1,0)),OFFSET(B44,-1,0),A44)))))</f>
        <v>3</v>
      </c>
      <c r="D44">
        <f t="shared" ref="D44:D60" ca="1" si="19">IF(OR(C44="S",C44=0),0,IF(ISERROR(K44),J44,SMALL(J44:K44,1)))</f>
        <v>6</v>
      </c>
      <c r="E44">
        <f ca="1">IF($C44=1,OFFSET(E44,-1,0)+MAX(1,COUNTIF(QCI!$A$13:$A$15,OFFSET(ORÇAMENTO!E44,-1,0))),OFFSET(E44,-1,0))</f>
        <v>1</v>
      </c>
      <c r="F44">
        <f t="shared" ref="F44:F60" ca="1" si="20">IF($C44=1,0,IF($C44=2,OFFSET(F44,-1,0)+1,OFFSET(F44,-1,0)))</f>
        <v>2</v>
      </c>
      <c r="G44">
        <f t="shared" ref="G44:G60" ca="1" si="21">IF(AND($C44&lt;=2,$C44&lt;&gt;0),0,IF($C44=3,OFFSET(G44,-1,0)+1,OFFSET(G44,-1,0)))</f>
        <v>2</v>
      </c>
      <c r="H44">
        <f t="shared" ref="H44:H60" ca="1" si="22">IF(AND($C44&lt;=3,$C44&lt;&gt;0),0,IF($C44=4,OFFSET(H44,-1,0)+1,OFFSET(H44,-1,0)))</f>
        <v>0</v>
      </c>
      <c r="I44">
        <f t="shared" ref="I44:I60" ca="1" si="23">IF(AND($C44&lt;=4,$C44&lt;&gt;0),0,IF(AND($C44="S",$X44&gt;0),OFFSET(I44,-1,0)+1,OFFSET(I44,-1,0)))</f>
        <v>0</v>
      </c>
      <c r="J44">
        <f t="shared" ca="1" si="9"/>
        <v>17</v>
      </c>
      <c r="K44">
        <f ca="1">IF(OR($C44="S",$C44=0),0,MATCH(OFFSET($D44,0,$C44)+IF($C44&lt;&gt;1,1,COUNTIF(QCI!$A$13:$A$15,ORÇAMENTO!E44)),OFFSET($D44,1,$C44,ROW($C$93)-ROW($C44)),0))</f>
        <v>6</v>
      </c>
      <c r="L44" s="114" t="str">
        <f t="shared" ref="L44:L60" ca="1" si="24">IF(OR($X44&gt;0,$C44=1,$C44=2,$C44=3,$C44=4),"F","")</f>
        <v>F</v>
      </c>
      <c r="M44" s="115" t="s">
        <v>703</v>
      </c>
      <c r="N44" s="116" t="str">
        <f t="shared" ref="N44:N60" ca="1" si="25">CHOOSE(1+LOG(1+2*(C44=1)+4*(C44=2)+8*(C44=3)+16*(C44=4)+32*(C44="S"),2),"","Meta","Nível 2","Nível 3","Nível 4","Serviço")</f>
        <v>Nível 3</v>
      </c>
      <c r="O44" s="117" t="str">
        <f t="shared" ref="O44:O60" ca="1" si="26">IF(OR($C44=0,$L44=""),"-",CONCATENATE(E44&amp;".",IF(AND($A$5&gt;=2,$C44&gt;=2),F44&amp;".",""),IF(AND($A$5&gt;=3,$C44&gt;=3),G44&amp;".",""),IF(AND($A$5&gt;=4,$C44&gt;=4),H44&amp;".",""),IF($C44="S",I44&amp;".","")))</f>
        <v>1.2.2.</v>
      </c>
      <c r="P44" s="118" t="s">
        <v>750</v>
      </c>
      <c r="Q44" s="119"/>
      <c r="R44" s="120" t="str">
        <f ca="1">IF($C44="S",REFERENCIA.Descricao,"Sondagem, Topografia, controle tecnológico")</f>
        <v>Sondagem, Topografia, controle tecnológico</v>
      </c>
      <c r="S44" s="121" t="str" cm="1">
        <f t="array" aca="1" ref="S44" ca="1">REFERENCIA.Unidade</f>
        <v>-</v>
      </c>
      <c r="T44" s="122">
        <f ca="1">OFFSET(CÁLCULO!H$15,ROW($T44)-ROW(T$15),0)</f>
        <v>0</v>
      </c>
      <c r="U44" s="123"/>
      <c r="V44" s="124" t="s">
        <v>663</v>
      </c>
      <c r="W44" s="122" cm="1">
        <f t="array" aca="1" ref="W44" ca="1">IF($C44="S",ROUND(IF(TIPOORCAMENTO="Proposto",ORÇAMENTO.CustoUnitario*(1+$AH44),ORÇAMENTO.PrecoUnitarioLicitado),15-13*$AF$10),0)</f>
        <v>0</v>
      </c>
      <c r="X44" s="125" cm="1">
        <f t="array" aca="1" ref="X44" ca="1">IF($C44="S",IF(OR(Import.TipoArredondamento&lt;&gt;"TransfereGOV",ACOMPANHAMENTO="BM"),VTOTAL1,SUM(OFFSET(CÁLCULO!$AA$15,ROW($X44)-ROW($X$15),1):OFFSET(CÁLCULO!$AL$15,ROW($X44)-ROW($X$15),-1))),IF($C44=0,0,ROUND(SomaAgrup,15-13*$AF$11)))</f>
        <v>37258.33</v>
      </c>
      <c r="Y44" s="126" t="s">
        <v>751</v>
      </c>
      <c r="Z44" t="str">
        <f t="shared" ref="Z44:Z60" ca="1" si="27">IF(AND($C44="S",$X44&gt;0),IF(ISBLANK($Y44),"RA",LEFT($Y44,2)),"")</f>
        <v/>
      </c>
      <c r="AA44" s="127" cm="1">
        <f t="array" aca="1" ref="AA44" ca="1">IF($C44="S",IF($Z44="CP",$X44,IF($Z44="RA",(($X44)*QCI!$AA$3),0)),SomaAgrup)</f>
        <v>0</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IF(C44&lt;=CRONO.NivelExibicao,MAX($AD$15:OFFSET(AD44,-1,0))+IF($C44&lt;&gt;1,1,MAX(1,COUNTIF(QCI!$A$13:$A$15,OFFSET($E44,-1,0)))),"")</f>
        <v/>
      </c>
      <c r="AE44" s="7" t="b" cm="1">
        <f t="array" aca="1" ref="AE44" ca="1">IF(AND($C44="S",ORÇAMENTO.CodBarra&lt;&gt;""),IF(ORÇAMENTO.Fonte="",ORÇAMENTO.CodBarra,CONCATENATE(ORÇAMENTO.Fonte," ",ORÇAMENTO.CodBarra)))</f>
        <v>0</v>
      </c>
      <c r="AF44" s="12" t="str"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(Sem Código)</v>
      </c>
      <c r="AG44" s="428" cm="1">
        <f t="array" aca="1" ref="AG44" ca="1">ROUND(IF(DESONERACAO="sim",REFERENCIA.Desonerado,REFERENCIA.NaoDesonerado),2)</f>
        <v>0</v>
      </c>
      <c r="AH44" s="429">
        <f t="shared" ca="1" si="16"/>
        <v>0.2485</v>
      </c>
      <c r="AJ44" s="431"/>
      <c r="AL44" s="439"/>
      <c r="AM44" s="336">
        <f t="shared" ca="1" si="0"/>
        <v>37258.33</v>
      </c>
      <c r="AN44" s="470" cm="1">
        <f t="array" aca="1" ref="AN44" ca="1">ROUND(ORÇAMENTO.CustoUnitario*(1+$AH44),2)</f>
        <v>0</v>
      </c>
    </row>
    <row r="45" spans="1:40" ht="38.25" x14ac:dyDescent="0.2">
      <c r="A45" t="str">
        <f t="shared" si="15"/>
        <v>S</v>
      </c>
      <c r="B45">
        <f t="shared" ca="1" si="17"/>
        <v>3</v>
      </c>
      <c r="C45" t="str">
        <f t="shared" ca="1" si="18"/>
        <v>S</v>
      </c>
      <c r="D45">
        <f t="shared" ca="1" si="19"/>
        <v>0</v>
      </c>
      <c r="E45">
        <f ca="1">IF($C45=1,OFFSET(E45,-1,0)+MAX(1,COUNTIF(QCI!$A$13:$A$15,OFFSET(ORÇAMENTO!E45,-1,0))),OFFSET(E45,-1,0))</f>
        <v>1</v>
      </c>
      <c r="F45">
        <f t="shared" ca="1" si="20"/>
        <v>2</v>
      </c>
      <c r="G45">
        <f t="shared" ca="1" si="21"/>
        <v>2</v>
      </c>
      <c r="H45">
        <f t="shared" ca="1" si="22"/>
        <v>0</v>
      </c>
      <c r="I45">
        <f t="shared" ca="1" si="23"/>
        <v>1</v>
      </c>
      <c r="J45">
        <f t="shared" ca="1" si="9"/>
        <v>0</v>
      </c>
      <c r="K45">
        <f ca="1">IF(OR($C45="S",$C45=0),0,MATCH(OFFSET($D45,0,$C45)+IF($C45&lt;&gt;1,1,COUNTIF(QCI!$A$13:$A$15,ORÇAMENTO!E45)),OFFSET($D45,1,$C45,ROW($C$93)-ROW($C45)),0))</f>
        <v>0</v>
      </c>
      <c r="L45" s="114" t="str">
        <f t="shared" ca="1" si="24"/>
        <v>F</v>
      </c>
      <c r="M45" s="115" t="s">
        <v>705</v>
      </c>
      <c r="N45" s="116" t="str">
        <f t="shared" ca="1" si="25"/>
        <v>Serviço</v>
      </c>
      <c r="O45" s="117" t="str">
        <f t="shared" ca="1" si="26"/>
        <v>1.2.2.1.</v>
      </c>
      <c r="P45" s="118" t="s">
        <v>1020</v>
      </c>
      <c r="Q45" s="119" t="s">
        <v>1050</v>
      </c>
      <c r="R45" s="120" t="str" cm="1">
        <f t="array" aca="1" ref="R45" ca="1">IF($C45="S",REFERENCIA.Descricao,"(digite a descrição aqui)")</f>
        <v>(Código não identificado nas referências)</v>
      </c>
      <c r="S45" s="121" t="s">
        <v>639</v>
      </c>
      <c r="T45" s="122">
        <f ca="1">OFFSET(CÁLCULO!H$15,ROW($T45)-ROW(T$15),0)</f>
        <v>1</v>
      </c>
      <c r="U45" s="123">
        <v>915.58</v>
      </c>
      <c r="V45" s="124" t="s">
        <v>663</v>
      </c>
      <c r="W45" s="122" cm="1">
        <f t="array" aca="1" ref="W45" ca="1">IF($C45="S",ROUND(IF(TIPOORCAMENTO="Proposto",ORÇAMENTO.CustoUnitario*(1+$AH45),ORÇAMENTO.PrecoUnitarioLicitado),15-13*$AF$10),0)</f>
        <v>1143.0999999999999</v>
      </c>
      <c r="X45" s="125" cm="1">
        <f t="array" aca="1" ref="X45" ca="1">IF($C45="S",IF(OR(Import.TipoArredondamento&lt;&gt;"TransfereGOV",ACOMPANHAMENTO="BM"),VTOTAL1,SUM(OFFSET(CÁLCULO!$AA$15,ROW($X45)-ROW($X$15),1):OFFSET(CÁLCULO!$AL$15,ROW($X45)-ROW($X$15),-1))),IF($C45=0,0,ROUND(SomaAgrup,15-13*$AF$11)))</f>
        <v>1143.0999999999999</v>
      </c>
      <c r="Y45" s="126" t="s">
        <v>751</v>
      </c>
      <c r="Z45" t="str">
        <f t="shared" ca="1" si="27"/>
        <v>RA</v>
      </c>
      <c r="AA45" s="127" cm="1">
        <f t="array" aca="1" ref="AA45" ca="1">IF($C45="S",IF($Z45="CP",$X45,IF($Z45="RA",(($X45)*QCI!$AA$3),0)),SomaAgrup)</f>
        <v>0</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CÓDIGO N/ID</v>
      </c>
      <c r="AD45" t="str">
        <f ca="1">IF(C45&lt;=CRONO.NivelExibicao,MAX($AD$15:OFFSET(AD45,-1,0))+IF($C45&lt;&gt;1,1,MAX(1,COUNTIF(QCI!$A$13:$A$15,OFFSET($E45,-1,0)))),"")</f>
        <v/>
      </c>
      <c r="AE45" s="7" t="str" cm="1">
        <f t="array" aca="1" ref="AE45" ca="1">IF(AND($C45="S",ORÇAMENTO.CodBarra&lt;&gt;""),IF(ORÇAMENTO.Fonte="",ORÇAMENTO.CodBarra,CONCATENATE(ORÇAMENTO.Fonte," ",ORÇAMENTO.CodBarra)))</f>
        <v>SEINFRA CO-28390</v>
      </c>
      <c r="AF45" s="12" t="str"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(Código não identificado nas referências)</v>
      </c>
      <c r="AG45" s="428" cm="1">
        <f t="array" aca="1" ref="AG45" ca="1">ROUND(IF(DESONERACAO="sim",REFERENCIA.Desonerado,REFERENCIA.NaoDesonerado),2)</f>
        <v>0</v>
      </c>
      <c r="AH45" s="429">
        <f t="shared" ca="1" si="16"/>
        <v>0.2485</v>
      </c>
      <c r="AJ45" s="431"/>
      <c r="AL45" s="439"/>
      <c r="AM45" s="336">
        <f t="shared" ca="1" si="0"/>
        <v>1143.0999999999999</v>
      </c>
      <c r="AN45" s="470" cm="1">
        <f t="array" aca="1" ref="AN45" ca="1">ROUND(ORÇAMENTO.CustoUnitario*(1+$AH45),2)</f>
        <v>1143.0999999999999</v>
      </c>
    </row>
    <row r="46" spans="1:40" ht="38.25" x14ac:dyDescent="0.2">
      <c r="A46" t="str">
        <f t="shared" si="15"/>
        <v>S</v>
      </c>
      <c r="B46">
        <f t="shared" ca="1" si="17"/>
        <v>3</v>
      </c>
      <c r="C46" t="str">
        <f t="shared" ca="1" si="18"/>
        <v>S</v>
      </c>
      <c r="D46">
        <f t="shared" ca="1" si="19"/>
        <v>0</v>
      </c>
      <c r="E46">
        <f ca="1">IF($C46=1,OFFSET(E46,-1,0)+MAX(1,COUNTIF(QCI!$A$13:$A$15,OFFSET(ORÇAMENTO!E46,-1,0))),OFFSET(E46,-1,0))</f>
        <v>1</v>
      </c>
      <c r="F46">
        <f t="shared" ca="1" si="20"/>
        <v>2</v>
      </c>
      <c r="G46">
        <f t="shared" ca="1" si="21"/>
        <v>2</v>
      </c>
      <c r="H46">
        <f t="shared" ca="1" si="22"/>
        <v>0</v>
      </c>
      <c r="I46">
        <f t="shared" ca="1" si="23"/>
        <v>2</v>
      </c>
      <c r="J46">
        <f t="shared" ca="1" si="9"/>
        <v>0</v>
      </c>
      <c r="K46">
        <f ca="1">IF(OR($C46="S",$C46=0),0,MATCH(OFFSET($D46,0,$C46)+IF($C46&lt;&gt;1,1,COUNTIF(QCI!$A$13:$A$15,ORÇAMENTO!E46)),OFFSET($D46,1,$C46,ROW($C$93)-ROW($C46)),0))</f>
        <v>0</v>
      </c>
      <c r="L46" s="114" t="str">
        <f t="shared" ca="1" si="24"/>
        <v>F</v>
      </c>
      <c r="M46" s="115" t="s">
        <v>705</v>
      </c>
      <c r="N46" s="116" t="str">
        <f t="shared" ca="1" si="25"/>
        <v>Serviço</v>
      </c>
      <c r="O46" s="117" t="str">
        <f t="shared" ca="1" si="26"/>
        <v>1.2.2.2.</v>
      </c>
      <c r="P46" s="118" t="s">
        <v>1020</v>
      </c>
      <c r="Q46" s="119" t="s">
        <v>1051</v>
      </c>
      <c r="R46" s="120" t="str" cm="1">
        <f t="array" aca="1" ref="R46" ca="1">IF($C46="S",REFERENCIA.Descricao,"(digite a descrição aqui)")</f>
        <v>(Código não identificado nas referências)</v>
      </c>
      <c r="S46" s="121" t="str" cm="1">
        <f t="array" aca="1" ref="S46" ca="1">REFERENCIA.Unidade</f>
        <v>-</v>
      </c>
      <c r="T46" s="122">
        <f ca="1">OFFSET(CÁLCULO!H$15,ROW($T46)-ROW(T$15),0)</f>
        <v>358</v>
      </c>
      <c r="U46" s="123">
        <v>2.2400000000000002</v>
      </c>
      <c r="V46" s="124" t="s">
        <v>663</v>
      </c>
      <c r="W46" s="122" cm="1">
        <f t="array" aca="1" ref="W46" ca="1">IF($C46="S",ROUND(IF(TIPOORCAMENTO="Proposto",ORÇAMENTO.CustoUnitario*(1+$AH46),ORÇAMENTO.PrecoUnitarioLicitado),15-13*$AF$10),0)</f>
        <v>2.8</v>
      </c>
      <c r="X46" s="125" cm="1">
        <f t="array" aca="1" ref="X46" ca="1">IF($C46="S",IF(OR(Import.TipoArredondamento&lt;&gt;"TransfereGOV",ACOMPANHAMENTO="BM"),VTOTAL1,SUM(OFFSET(CÁLCULO!$AA$15,ROW($X46)-ROW($X$15),1):OFFSET(CÁLCULO!$AL$15,ROW($X46)-ROW($X$15),-1))),IF($C46=0,0,ROUND(SomaAgrup,15-13*$AF$11)))</f>
        <v>1002.4</v>
      </c>
      <c r="Y46" s="126" t="s">
        <v>751</v>
      </c>
      <c r="Z46" t="str">
        <f t="shared" ca="1" si="27"/>
        <v>RA</v>
      </c>
      <c r="AA46" s="127" cm="1">
        <f t="array" aca="1" ref="AA46" ca="1">IF($C46="S",IF($Z46="CP",$X46,IF($Z46="RA",(($X46)*QCI!$AA$3),0)),SomaAgrup)</f>
        <v>0</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CÓDIGO N/ID</v>
      </c>
      <c r="AD46" t="str">
        <f ca="1">IF(C46&lt;=CRONO.NivelExibicao,MAX($AD$15:OFFSET(AD46,-1,0))+IF($C46&lt;&gt;1,1,MAX(1,COUNTIF(QCI!$A$13:$A$15,OFFSET($E46,-1,0)))),"")</f>
        <v/>
      </c>
      <c r="AE46" s="7" t="str" cm="1">
        <f t="array" aca="1" ref="AE46" ca="1">IF(AND($C46="S",ORÇAMENTO.CodBarra&lt;&gt;""),IF(ORÇAMENTO.Fonte="",ORÇAMENTO.CodBarra,CONCATENATE(ORÇAMENTO.Fonte," ",ORÇAMENTO.CodBarra)))</f>
        <v>SEINFRA CO-28389</v>
      </c>
      <c r="AF46" s="12" t="str"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(Código não identificado nas referências)</v>
      </c>
      <c r="AG46" s="428" cm="1">
        <f t="array" aca="1" ref="AG46" ca="1">ROUND(IF(DESONERACAO="sim",REFERENCIA.Desonerado,REFERENCIA.NaoDesonerado),2)</f>
        <v>0</v>
      </c>
      <c r="AH46" s="429">
        <f t="shared" ca="1" si="16"/>
        <v>0.2485</v>
      </c>
      <c r="AJ46" s="431"/>
      <c r="AL46" s="439"/>
      <c r="AM46" s="336">
        <f t="shared" ca="1" si="0"/>
        <v>1002.4</v>
      </c>
      <c r="AN46" s="470" cm="1">
        <f t="array" aca="1" ref="AN46" ca="1">ROUND(ORÇAMENTO.CustoUnitario*(1+$AH46),2)</f>
        <v>2.8</v>
      </c>
    </row>
    <row r="47" spans="1:40" ht="38.25" x14ac:dyDescent="0.2">
      <c r="A47" t="str">
        <f t="shared" si="15"/>
        <v>S</v>
      </c>
      <c r="B47">
        <f t="shared" ca="1" si="17"/>
        <v>3</v>
      </c>
      <c r="C47" t="str">
        <f t="shared" ca="1" si="18"/>
        <v>S</v>
      </c>
      <c r="D47">
        <f t="shared" ca="1" si="19"/>
        <v>0</v>
      </c>
      <c r="E47">
        <f ca="1">IF($C47=1,OFFSET(E47,-1,0)+MAX(1,COUNTIF(QCI!$A$13:$A$15,OFFSET(ORÇAMENTO!E47,-1,0))),OFFSET(E47,-1,0))</f>
        <v>1</v>
      </c>
      <c r="F47">
        <f t="shared" ca="1" si="20"/>
        <v>2</v>
      </c>
      <c r="G47">
        <f t="shared" ca="1" si="21"/>
        <v>2</v>
      </c>
      <c r="H47">
        <f t="shared" ca="1" si="22"/>
        <v>0</v>
      </c>
      <c r="I47">
        <f t="shared" ca="1" si="23"/>
        <v>3</v>
      </c>
      <c r="J47">
        <f t="shared" ca="1" si="9"/>
        <v>0</v>
      </c>
      <c r="K47">
        <f ca="1">IF(OR($C47="S",$C47=0),0,MATCH(OFFSET($D47,0,$C47)+IF($C47&lt;&gt;1,1,COUNTIF(QCI!$A$13:$A$15,ORÇAMENTO!E47)),OFFSET($D47,1,$C47,ROW($C$93)-ROW($C47)),0))</f>
        <v>0</v>
      </c>
      <c r="L47" s="114" t="str">
        <f t="shared" ca="1" si="24"/>
        <v>F</v>
      </c>
      <c r="M47" s="115" t="s">
        <v>705</v>
      </c>
      <c r="N47" s="116" t="str">
        <f t="shared" ca="1" si="25"/>
        <v>Serviço</v>
      </c>
      <c r="O47" s="117" t="str">
        <f t="shared" ca="1" si="26"/>
        <v>1.2.2.3.</v>
      </c>
      <c r="P47" s="118" t="s">
        <v>1020</v>
      </c>
      <c r="Q47" s="119" t="s">
        <v>1052</v>
      </c>
      <c r="R47" s="120" t="str" cm="1">
        <f t="array" aca="1" ref="R47" ca="1">IF($C47="S",REFERENCIA.Descricao,"(digite a descrição aqui)")</f>
        <v>(Código não identificado nas referências)</v>
      </c>
      <c r="S47" s="121" t="str" cm="1">
        <f t="array" aca="1" ref="S47" ca="1">REFERENCIA.Unidade</f>
        <v>-</v>
      </c>
      <c r="T47" s="122">
        <f ca="1">OFFSET(CÁLCULO!H$15,ROW($T47)-ROW(T$15),0)</f>
        <v>110</v>
      </c>
      <c r="U47" s="123">
        <v>79.09</v>
      </c>
      <c r="V47" s="124" t="s">
        <v>663</v>
      </c>
      <c r="W47" s="122" cm="1">
        <f t="array" aca="1" ref="W47" ca="1">IF($C47="S",ROUND(IF(TIPOORCAMENTO="Proposto",ORÇAMENTO.CustoUnitario*(1+$AH47),ORÇAMENTO.PrecoUnitarioLicitado),15-13*$AF$10),0)</f>
        <v>98.74</v>
      </c>
      <c r="X47" s="125" cm="1">
        <f t="array" aca="1" ref="X47" ca="1">IF($C47="S",IF(OR(Import.TipoArredondamento&lt;&gt;"TransfereGOV",ACOMPANHAMENTO="BM"),VTOTAL1,SUM(OFFSET(CÁLCULO!$AA$15,ROW($X47)-ROW($X$15),1):OFFSET(CÁLCULO!$AL$15,ROW($X47)-ROW($X$15),-1))),IF($C47=0,0,ROUND(SomaAgrup,15-13*$AF$11)))</f>
        <v>10861.400000000001</v>
      </c>
      <c r="Y47" s="126" t="s">
        <v>751</v>
      </c>
      <c r="Z47" t="str">
        <f t="shared" ca="1" si="27"/>
        <v>RA</v>
      </c>
      <c r="AA47" s="127" cm="1">
        <f t="array" aca="1" ref="AA47" ca="1">IF($C47="S",IF($Z47="CP",$X47,IF($Z47="RA",(($X47)*QCI!$AA$3),0)),SomaAgrup)</f>
        <v>0</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CÓDIGO N/ID</v>
      </c>
      <c r="AD47" t="str">
        <f ca="1">IF(C47&lt;=CRONO.NivelExibicao,MAX($AD$15:OFFSET(AD47,-1,0))+IF($C47&lt;&gt;1,1,MAX(1,COUNTIF(QCI!$A$13:$A$15,OFFSET($E47,-1,0)))),"")</f>
        <v/>
      </c>
      <c r="AE47" s="7" t="str" cm="1">
        <f t="array" aca="1" ref="AE47" ca="1">IF(AND($C47="S",ORÇAMENTO.CodBarra&lt;&gt;""),IF(ORÇAMENTO.Fonte="",ORÇAMENTO.CodBarra,CONCATENATE(ORÇAMENTO.Fonte," ",ORÇAMENTO.CodBarra)))</f>
        <v>SEINFRA CO-28388</v>
      </c>
      <c r="AF47" s="12" t="str"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(Código não identificado nas referências)</v>
      </c>
      <c r="AG47" s="428" cm="1">
        <f t="array" aca="1" ref="AG47" ca="1">ROUND(IF(DESONERACAO="sim",REFERENCIA.Desonerado,REFERENCIA.NaoDesonerado),2)</f>
        <v>0</v>
      </c>
      <c r="AH47" s="429">
        <f t="shared" ca="1" si="16"/>
        <v>0.2485</v>
      </c>
      <c r="AJ47" s="431"/>
      <c r="AL47" s="439"/>
      <c r="AM47" s="336">
        <f t="shared" ca="1" si="0"/>
        <v>10861.400000000001</v>
      </c>
      <c r="AN47" s="470" cm="1">
        <f t="array" aca="1" ref="AN47" ca="1">ROUND(ORÇAMENTO.CustoUnitario*(1+$AH47),2)</f>
        <v>98.74</v>
      </c>
    </row>
    <row r="48" spans="1:40" x14ac:dyDescent="0.2">
      <c r="A48" t="str">
        <f t="shared" si="15"/>
        <v>S</v>
      </c>
      <c r="B48">
        <f t="shared" ca="1" si="17"/>
        <v>3</v>
      </c>
      <c r="C48" t="str">
        <f t="shared" ca="1" si="18"/>
        <v>S</v>
      </c>
      <c r="D48">
        <f t="shared" ca="1" si="19"/>
        <v>0</v>
      </c>
      <c r="E48">
        <f ca="1">IF($C48=1,OFFSET(E48,-1,0)+MAX(1,COUNTIF(QCI!$A$13:$A$15,OFFSET(ORÇAMENTO!E48,-1,0))),OFFSET(E48,-1,0))</f>
        <v>1</v>
      </c>
      <c r="F48">
        <f t="shared" ca="1" si="20"/>
        <v>2</v>
      </c>
      <c r="G48">
        <f t="shared" ca="1" si="21"/>
        <v>2</v>
      </c>
      <c r="H48">
        <f t="shared" ca="1" si="22"/>
        <v>0</v>
      </c>
      <c r="I48">
        <f t="shared" ca="1" si="23"/>
        <v>4</v>
      </c>
      <c r="J48">
        <f t="shared" ref="J48:J79" ca="1" si="28">IF(OR($C48="S",$C48=0),0,MATCH(0,OFFSET($D48,1,$C48,ROW($C$93)-ROW($C48)),0))</f>
        <v>0</v>
      </c>
      <c r="K48">
        <f ca="1">IF(OR($C48="S",$C48=0),0,MATCH(OFFSET($D48,0,$C48)+IF($C48&lt;&gt;1,1,COUNTIF(QCI!$A$13:$A$15,ORÇAMENTO!E48)),OFFSET($D48,1,$C48,ROW($C$93)-ROW($C48)),0))</f>
        <v>0</v>
      </c>
      <c r="L48" s="114" t="str">
        <f t="shared" ca="1" si="24"/>
        <v>F</v>
      </c>
      <c r="M48" s="115" t="s">
        <v>705</v>
      </c>
      <c r="N48" s="116" t="str">
        <f t="shared" ca="1" si="25"/>
        <v>Serviço</v>
      </c>
      <c r="O48" s="117" t="str">
        <f t="shared" ca="1" si="26"/>
        <v>1.2.2.4.</v>
      </c>
      <c r="P48" s="118" t="s">
        <v>1053</v>
      </c>
      <c r="Q48" s="119" t="s">
        <v>1054</v>
      </c>
      <c r="R48" s="120" t="str" cm="1">
        <f t="array" aca="1" ref="R48" ca="1">IF($C48="S",REFERENCIA.Descricao,"(digite a descrição aqui)")</f>
        <v>(Código não identificado nas referências)</v>
      </c>
      <c r="S48" s="121" t="str" cm="1">
        <f t="array" aca="1" ref="S48" ca="1">REFERENCIA.Unidade</f>
        <v>-</v>
      </c>
      <c r="T48" s="122">
        <f ca="1">OFFSET(CÁLCULO!H$15,ROW($T48)-ROW(T$15),0)</f>
        <v>50</v>
      </c>
      <c r="U48" s="123">
        <v>102.96</v>
      </c>
      <c r="V48" s="124" t="s">
        <v>663</v>
      </c>
      <c r="W48" s="122" cm="1">
        <f t="array" aca="1" ref="W48" ca="1">IF($C48="S",ROUND(IF(TIPOORCAMENTO="Proposto",ORÇAMENTO.CustoUnitario*(1+$AH48),ORÇAMENTO.PrecoUnitarioLicitado),15-13*$AF$10),0)</f>
        <v>128.55000000000001</v>
      </c>
      <c r="X48" s="125" cm="1">
        <f t="array" aca="1" ref="X48" ca="1">IF($C48="S",IF(OR(Import.TipoArredondamento&lt;&gt;"TransfereGOV",ACOMPANHAMENTO="BM"),VTOTAL1,SUM(OFFSET(CÁLCULO!$AA$15,ROW($X48)-ROW($X$15),1):OFFSET(CÁLCULO!$AL$15,ROW($X48)-ROW($X$15),-1))),IF($C48=0,0,ROUND(SomaAgrup,15-13*$AF$11)))</f>
        <v>6427.53</v>
      </c>
      <c r="Y48" s="126" t="s">
        <v>751</v>
      </c>
      <c r="Z48" t="str">
        <f t="shared" ca="1" si="27"/>
        <v>RA</v>
      </c>
      <c r="AA48" s="127" cm="1">
        <f t="array" aca="1" ref="AA48" ca="1">IF($C48="S",IF($Z48="CP",$X48,IF($Z48="RA",(($X48)*QCI!$AA$3),0)),SomaAgrup)</f>
        <v>0</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CÓDIGO N/ID</v>
      </c>
      <c r="AD48" t="str">
        <f ca="1">IF(C48&lt;=CRONO.NivelExibicao,MAX($AD$15:OFFSET(AD48,-1,0))+IF($C48&lt;&gt;1,1,MAX(1,COUNTIF(QCI!$A$13:$A$15,OFFSET($E48,-1,0)))),"")</f>
        <v/>
      </c>
      <c r="AE48" s="7" t="str" cm="1">
        <f t="array" aca="1" ref="AE48" ca="1">IF(AND($C48="S",ORÇAMENTO.CodBarra&lt;&gt;""),IF(ORÇAMENTO.Fonte="",ORÇAMENTO.CodBarra,CONCATENATE(ORÇAMENTO.Fonte," ",ORÇAMENTO.CodBarra)))</f>
        <v>SBC 128</v>
      </c>
      <c r="AF48" s="12" t="str"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(Código não identificado nas referências)</v>
      </c>
      <c r="AG48" s="428" cm="1">
        <f t="array" aca="1" ref="AG48" ca="1">ROUND(IF(DESONERACAO="sim",REFERENCIA.Desonerado,REFERENCIA.NaoDesonerado),2)</f>
        <v>0</v>
      </c>
      <c r="AH48" s="429">
        <f t="shared" ca="1" si="16"/>
        <v>0.2485</v>
      </c>
      <c r="AJ48" s="431"/>
      <c r="AL48" s="439"/>
      <c r="AM48" s="336">
        <f t="shared" ca="1" si="0"/>
        <v>6427.53</v>
      </c>
      <c r="AN48" s="470" cm="1">
        <f t="array" aca="1" ref="AN48" ca="1">ROUND(ORÇAMENTO.CustoUnitario*(1+$AH48),2)</f>
        <v>128.55000000000001</v>
      </c>
    </row>
    <row r="49" spans="1:40" x14ac:dyDescent="0.2">
      <c r="A49" t="str">
        <f t="shared" si="15"/>
        <v>S</v>
      </c>
      <c r="B49">
        <f t="shared" ca="1" si="17"/>
        <v>3</v>
      </c>
      <c r="C49" t="str">
        <f t="shared" ca="1" si="18"/>
        <v>S</v>
      </c>
      <c r="D49">
        <f t="shared" ca="1" si="19"/>
        <v>0</v>
      </c>
      <c r="E49">
        <f ca="1">IF($C49=1,OFFSET(E49,-1,0)+MAX(1,COUNTIF(QCI!$A$13:$A$15,OFFSET(ORÇAMENTO!E49,-1,0))),OFFSET(E49,-1,0))</f>
        <v>1</v>
      </c>
      <c r="F49">
        <f t="shared" ca="1" si="20"/>
        <v>2</v>
      </c>
      <c r="G49">
        <f t="shared" ca="1" si="21"/>
        <v>2</v>
      </c>
      <c r="H49">
        <f t="shared" ca="1" si="22"/>
        <v>0</v>
      </c>
      <c r="I49">
        <f t="shared" ca="1" si="23"/>
        <v>5</v>
      </c>
      <c r="J49">
        <f t="shared" ca="1" si="28"/>
        <v>0</v>
      </c>
      <c r="K49">
        <f ca="1">IF(OR($C49="S",$C49=0),0,MATCH(OFFSET($D49,0,$C49)+IF($C49&lt;&gt;1,1,COUNTIF(QCI!$A$13:$A$15,ORÇAMENTO!E49)),OFFSET($D49,1,$C49,ROW($C$93)-ROW($C49)),0))</f>
        <v>0</v>
      </c>
      <c r="L49" s="114" t="str">
        <f t="shared" ca="1" si="24"/>
        <v>F</v>
      </c>
      <c r="M49" s="115" t="s">
        <v>705</v>
      </c>
      <c r="N49" s="116" t="str">
        <f t="shared" ca="1" si="25"/>
        <v>Serviço</v>
      </c>
      <c r="O49" s="117" t="str">
        <f t="shared" ca="1" si="26"/>
        <v>1.2.2.5.</v>
      </c>
      <c r="P49" s="118" t="s">
        <v>1053</v>
      </c>
      <c r="Q49" s="119" t="s">
        <v>1055</v>
      </c>
      <c r="R49" s="120" t="str" cm="1">
        <f t="array" aca="1" ref="R49" ca="1">IF($C49="S",REFERENCIA.Descricao,"(digite a descrição aqui)")</f>
        <v>(Código não identificado nas referências)</v>
      </c>
      <c r="S49" s="121" t="str" cm="1">
        <f t="array" aca="1" ref="S49" ca="1">REFERENCIA.Unidade</f>
        <v>-</v>
      </c>
      <c r="T49" s="122">
        <f ca="1">OFFSET(CÁLCULO!H$15,ROW($T49)-ROW(T$15),0)</f>
        <v>0.99999999999999989</v>
      </c>
      <c r="U49" s="123">
        <v>14276.26</v>
      </c>
      <c r="V49" s="124" t="s">
        <v>663</v>
      </c>
      <c r="W49" s="122" cm="1">
        <f t="array" aca="1" ref="W49" ca="1">IF($C49="S",ROUND(IF(TIPOORCAMENTO="Proposto",ORÇAMENTO.CustoUnitario*(1+$AH49),ORÇAMENTO.PrecoUnitarioLicitado),15-13*$AF$10),0)</f>
        <v>17823.91</v>
      </c>
      <c r="X49" s="125" cm="1">
        <f t="array" aca="1" ref="X49" ca="1">IF($C49="S",IF(OR(Import.TipoArredondamento&lt;&gt;"TransfereGOV",ACOMPANHAMENTO="BM"),VTOTAL1,SUM(OFFSET(CÁLCULO!$AA$15,ROW($X49)-ROW($X$15),1):OFFSET(CÁLCULO!$AL$15,ROW($X49)-ROW($X$15),-1))),IF($C49=0,0,ROUND(SomaAgrup,15-13*$AF$11)))</f>
        <v>17823.899999999998</v>
      </c>
      <c r="Y49" s="126" t="s">
        <v>751</v>
      </c>
      <c r="Z49" t="str">
        <f t="shared" ca="1" si="27"/>
        <v>RA</v>
      </c>
      <c r="AA49" s="127" cm="1">
        <f t="array" aca="1" ref="AA49" ca="1">IF($C49="S",IF($Z49="CP",$X49,IF($Z49="RA",(($X49)*QCI!$AA$3),0)),SomaAgrup)</f>
        <v>0</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CÓDIGO N/ID</v>
      </c>
      <c r="AD49" t="str">
        <f ca="1">IF(C49&lt;=CRONO.NivelExibicao,MAX($AD$15:OFFSET(AD49,-1,0))+IF($C49&lt;&gt;1,1,MAX(1,COUNTIF(QCI!$A$13:$A$15,OFFSET($E49,-1,0)))),"")</f>
        <v/>
      </c>
      <c r="AE49" s="7" t="str" cm="1">
        <f t="array" aca="1" ref="AE49" ca="1">IF(AND($C49="S",ORÇAMENTO.CodBarra&lt;&gt;""),IF(ORÇAMENTO.Fonte="",ORÇAMENTO.CodBarra,CONCATENATE(ORÇAMENTO.Fonte," ",ORÇAMENTO.CodBarra)))</f>
        <v>SBC 32</v>
      </c>
      <c r="AF49" s="12" t="str"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(Código não identificado nas referências)</v>
      </c>
      <c r="AG49" s="428" cm="1">
        <f t="array" aca="1" ref="AG49" ca="1">ROUND(IF(DESONERACAO="sim",REFERENCIA.Desonerado,REFERENCIA.NaoDesonerado),2)</f>
        <v>0</v>
      </c>
      <c r="AH49" s="429">
        <f t="shared" ca="1" si="16"/>
        <v>0.2485</v>
      </c>
      <c r="AJ49" s="431"/>
      <c r="AL49" s="439"/>
      <c r="AM49" s="336">
        <f t="shared" ca="1" si="0"/>
        <v>17823.899999999998</v>
      </c>
      <c r="AN49" s="470" cm="1">
        <f t="array" aca="1" ref="AN49" ca="1">ROUND(ORÇAMENTO.CustoUnitario*(1+$AH49),2)</f>
        <v>17823.91</v>
      </c>
    </row>
    <row r="50" spans="1:40" x14ac:dyDescent="0.2">
      <c r="A50">
        <f t="shared" si="15"/>
        <v>3</v>
      </c>
      <c r="B50">
        <f t="shared" ca="1" si="17"/>
        <v>3</v>
      </c>
      <c r="C50">
        <f t="shared" ca="1" si="18"/>
        <v>3</v>
      </c>
      <c r="D50">
        <f t="shared" ca="1" si="19"/>
        <v>5</v>
      </c>
      <c r="E50">
        <f ca="1">IF($C50=1,OFFSET(E50,-1,0)+MAX(1,COUNTIF(QCI!$A$13:$A$15,OFFSET(ORÇAMENTO!E50,-1,0))),OFFSET(E50,-1,0))</f>
        <v>1</v>
      </c>
      <c r="F50">
        <f t="shared" ca="1" si="20"/>
        <v>2</v>
      </c>
      <c r="G50">
        <f t="shared" ca="1" si="21"/>
        <v>3</v>
      </c>
      <c r="H50">
        <f t="shared" ca="1" si="22"/>
        <v>0</v>
      </c>
      <c r="I50">
        <f t="shared" ca="1" si="23"/>
        <v>0</v>
      </c>
      <c r="J50">
        <f t="shared" ca="1" si="28"/>
        <v>11</v>
      </c>
      <c r="K50">
        <f ca="1">IF(OR($C50="S",$C50=0),0,MATCH(OFFSET($D50,0,$C50)+IF($C50&lt;&gt;1,1,COUNTIF(QCI!$A$13:$A$15,ORÇAMENTO!E50)),OFFSET($D50,1,$C50,ROW($C$93)-ROW($C50)),0))</f>
        <v>5</v>
      </c>
      <c r="L50" s="114" t="str">
        <f t="shared" ca="1" si="24"/>
        <v>F</v>
      </c>
      <c r="M50" s="115" t="s">
        <v>703</v>
      </c>
      <c r="N50" s="116" t="str">
        <f t="shared" ca="1" si="25"/>
        <v>Nível 3</v>
      </c>
      <c r="O50" s="117" t="str">
        <f t="shared" ca="1" si="26"/>
        <v>1.2.3.</v>
      </c>
      <c r="P50" s="118" t="s">
        <v>750</v>
      </c>
      <c r="Q50" s="119"/>
      <c r="R50" s="120" t="str">
        <f ca="1">IF($C50="S",REFERENCIA.Descricao,"MOBILIZACAO E DESMOBILIZACAO DE CANTEIRO")</f>
        <v>MOBILIZACAO E DESMOBILIZACAO DE CANTEIRO</v>
      </c>
      <c r="S50" s="121" t="str" cm="1">
        <f t="array" aca="1" ref="S50" ca="1">REFERENCIA.Unidade</f>
        <v>-</v>
      </c>
      <c r="T50" s="122">
        <f ca="1">OFFSET(CÁLCULO!H$15,ROW($T50)-ROW(T$15),0)</f>
        <v>0</v>
      </c>
      <c r="U50" s="123"/>
      <c r="V50" s="124" t="s">
        <v>663</v>
      </c>
      <c r="W50" s="122" cm="1">
        <f t="array" aca="1" ref="W50" ca="1">IF($C50="S",ROUND(IF(TIPOORCAMENTO="Proposto",ORÇAMENTO.CustoUnitario*(1+$AH50),ORÇAMENTO.PrecoUnitarioLicitado),15-13*$AF$10),0)</f>
        <v>0</v>
      </c>
      <c r="X50" s="125" cm="1">
        <f t="array" aca="1" ref="X50" ca="1">IF($C50="S",IF(OR(Import.TipoArredondamento&lt;&gt;"TransfereGOV",ACOMPANHAMENTO="BM"),VTOTAL1,SUM(OFFSET(CÁLCULO!$AA$15,ROW($X50)-ROW($X$15),1):OFFSET(CÁLCULO!$AL$15,ROW($X50)-ROW($X$15),-1))),IF($C50=0,0,ROUND(SomaAgrup,15-13*$AF$11)))</f>
        <v>7163.68</v>
      </c>
      <c r="Y50" s="126" t="s">
        <v>751</v>
      </c>
      <c r="Z50" t="str">
        <f t="shared" ca="1" si="27"/>
        <v/>
      </c>
      <c r="AA50" s="127" cm="1">
        <f t="array" aca="1" ref="AA50" ca="1">IF($C50="S",IF($Z50="CP",$X50,IF($Z50="RA",(($X50)*QCI!$AA$3),0)),SomaAgrup)</f>
        <v>0</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t="str">
        <f ca="1">IF(C50&lt;=CRONO.NivelExibicao,MAX($AD$15:OFFSET(AD50,-1,0))+IF($C50&lt;&gt;1,1,MAX(1,COUNTIF(QCI!$A$13:$A$15,OFFSET($E50,-1,0)))),"")</f>
        <v/>
      </c>
      <c r="AE50" s="7" t="b" cm="1">
        <f t="array" aca="1" ref="AE50" ca="1">IF(AND($C50="S",ORÇAMENTO.CodBarra&lt;&gt;""),IF(ORÇAMENTO.Fonte="",ORÇAMENTO.CodBarra,CONCATENATE(ORÇAMENTO.Fonte," ",ORÇAMENTO.CodBarra)))</f>
        <v>0</v>
      </c>
      <c r="AF50" s="12" t="str"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(Sem Código)</v>
      </c>
      <c r="AG50" s="428" cm="1">
        <f t="array" aca="1" ref="AG50" ca="1">ROUND(IF(DESONERACAO="sim",REFERENCIA.Desonerado,REFERENCIA.NaoDesonerado),2)</f>
        <v>0</v>
      </c>
      <c r="AH50" s="429">
        <f t="shared" ca="1" si="16"/>
        <v>0.2485</v>
      </c>
      <c r="AJ50" s="431"/>
      <c r="AL50" s="439"/>
      <c r="AM50" s="336">
        <f t="shared" ca="1" si="0"/>
        <v>7163.68</v>
      </c>
      <c r="AN50" s="470" cm="1">
        <f t="array" aca="1" ref="AN50" ca="1">ROUND(ORÇAMENTO.CustoUnitario*(1+$AH50),2)</f>
        <v>0</v>
      </c>
    </row>
    <row r="51" spans="1:40" ht="38.25" x14ac:dyDescent="0.2">
      <c r="A51" t="str">
        <f t="shared" si="15"/>
        <v>S</v>
      </c>
      <c r="B51">
        <f t="shared" ca="1" si="17"/>
        <v>3</v>
      </c>
      <c r="C51" t="str">
        <f t="shared" ca="1" si="18"/>
        <v>S</v>
      </c>
      <c r="D51">
        <f t="shared" ca="1" si="19"/>
        <v>0</v>
      </c>
      <c r="E51">
        <f ca="1">IF($C51=1,OFFSET(E51,-1,0)+MAX(1,COUNTIF(QCI!$A$13:$A$15,OFFSET(ORÇAMENTO!E51,-1,0))),OFFSET(E51,-1,0))</f>
        <v>1</v>
      </c>
      <c r="F51">
        <f t="shared" ca="1" si="20"/>
        <v>2</v>
      </c>
      <c r="G51">
        <f t="shared" ca="1" si="21"/>
        <v>3</v>
      </c>
      <c r="H51">
        <f t="shared" ca="1" si="22"/>
        <v>0</v>
      </c>
      <c r="I51">
        <f t="shared" ca="1" si="23"/>
        <v>1</v>
      </c>
      <c r="J51">
        <f t="shared" ca="1" si="28"/>
        <v>0</v>
      </c>
      <c r="K51">
        <f ca="1">IF(OR($C51="S",$C51=0),0,MATCH(OFFSET($D51,0,$C51)+IF($C51&lt;&gt;1,1,COUNTIF(QCI!$A$13:$A$15,ORÇAMENTO!E51)),OFFSET($D51,1,$C51,ROW($C$93)-ROW($C51)),0))</f>
        <v>0</v>
      </c>
      <c r="L51" s="114" t="str">
        <f t="shared" ca="1" si="24"/>
        <v>F</v>
      </c>
      <c r="M51" s="115" t="s">
        <v>705</v>
      </c>
      <c r="N51" s="116" t="str">
        <f t="shared" ca="1" si="25"/>
        <v>Serviço</v>
      </c>
      <c r="O51" s="117" t="str">
        <f t="shared" ca="1" si="26"/>
        <v>1.2.3.1.</v>
      </c>
      <c r="P51" s="118" t="s">
        <v>750</v>
      </c>
      <c r="Q51" s="119">
        <v>100952</v>
      </c>
      <c r="R51" s="120" t="str" cm="1">
        <f t="array" aca="1" ref="R51" ca="1">IF($C51="S",REFERENCIA.Descricao,"(digite a descrição aqui)")</f>
        <v>(Código não identificado nas referências)</v>
      </c>
      <c r="S51" s="121" t="str" cm="1">
        <f t="array" aca="1" ref="S51" ca="1">REFERENCIA.Unidade</f>
        <v>-</v>
      </c>
      <c r="T51" s="122">
        <f ca="1">OFFSET(CÁLCULO!H$15,ROW($T51)-ROW(T$15),0)</f>
        <v>600</v>
      </c>
      <c r="U51" s="123">
        <v>2.9</v>
      </c>
      <c r="V51" s="124" t="s">
        <v>663</v>
      </c>
      <c r="W51" s="122" cm="1">
        <f t="array" aca="1" ref="W51" ca="1">IF($C51="S",ROUND(IF(TIPOORCAMENTO="Proposto",ORÇAMENTO.CustoUnitario*(1+$AH51),ORÇAMENTO.PrecoUnitarioLicitado),15-13*$AF$10),0)</f>
        <v>3.62</v>
      </c>
      <c r="X51" s="125" cm="1">
        <f t="array" aca="1" ref="X51" ca="1">IF($C51="S",IF(OR(Import.TipoArredondamento&lt;&gt;"TransfereGOV",ACOMPANHAMENTO="BM"),VTOTAL1,SUM(OFFSET(CÁLCULO!$AA$15,ROW($X51)-ROW($X$15),1):OFFSET(CÁLCULO!$AL$15,ROW($X51)-ROW($X$15),-1))),IF($C51=0,0,ROUND(SomaAgrup,15-13*$AF$11)))</f>
        <v>2172</v>
      </c>
      <c r="Y51" s="126" t="s">
        <v>751</v>
      </c>
      <c r="Z51" t="str">
        <f t="shared" ca="1" si="27"/>
        <v>RA</v>
      </c>
      <c r="AA51" s="127" cm="1">
        <f t="array" aca="1" ref="AA51" ca="1">IF($C51="S",IF($Z51="CP",$X51,IF($Z51="RA",(($X51)*QCI!$AA$3),0)),SomaAgrup)</f>
        <v>0</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CÓDIGO N/ID</v>
      </c>
      <c r="AD51" t="str">
        <f ca="1">IF(C51&lt;=CRONO.NivelExibicao,MAX($AD$15:OFFSET(AD51,-1,0))+IF($C51&lt;&gt;1,1,MAX(1,COUNTIF(QCI!$A$13:$A$15,OFFSET($E51,-1,0)))),"")</f>
        <v/>
      </c>
      <c r="AE51" s="7" t="str" cm="1">
        <f t="array" aca="1" ref="AE51" ca="1">IF(AND($C51="S",ORÇAMENTO.CodBarra&lt;&gt;""),IF(ORÇAMENTO.Fonte="",ORÇAMENTO.CodBarra,CONCATENATE(ORÇAMENTO.Fonte," ",ORÇAMENTO.CodBarra)))</f>
        <v>SINAPI 100952</v>
      </c>
      <c r="AF51" s="12" t="str"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(Código não identificado nas referências)</v>
      </c>
      <c r="AG51" s="428" cm="1">
        <f t="array" aca="1" ref="AG51" ca="1">ROUND(IF(DESONERACAO="sim",REFERENCIA.Desonerado,REFERENCIA.NaoDesonerado),2)</f>
        <v>0</v>
      </c>
      <c r="AH51" s="429">
        <f t="shared" ca="1" si="16"/>
        <v>0.2485</v>
      </c>
      <c r="AJ51" s="431"/>
      <c r="AL51" s="439"/>
      <c r="AM51" s="336">
        <f t="shared" ca="1" si="0"/>
        <v>2172</v>
      </c>
      <c r="AN51" s="470" cm="1">
        <f t="array" aca="1" ref="AN51" ca="1">ROUND(ORÇAMENTO.CustoUnitario*(1+$AH51),2)</f>
        <v>3.62</v>
      </c>
    </row>
    <row r="52" spans="1:40" ht="51" x14ac:dyDescent="0.2">
      <c r="A52" t="str">
        <f t="shared" si="15"/>
        <v>S</v>
      </c>
      <c r="B52">
        <f t="shared" ca="1" si="17"/>
        <v>3</v>
      </c>
      <c r="C52" t="str">
        <f t="shared" ca="1" si="18"/>
        <v>S</v>
      </c>
      <c r="D52">
        <f t="shared" ca="1" si="19"/>
        <v>0</v>
      </c>
      <c r="E52">
        <f ca="1">IF($C52=1,OFFSET(E52,-1,0)+MAX(1,COUNTIF(QCI!$A$13:$A$15,OFFSET(ORÇAMENTO!E52,-1,0))),OFFSET(E52,-1,0))</f>
        <v>1</v>
      </c>
      <c r="F52">
        <f t="shared" ca="1" si="20"/>
        <v>2</v>
      </c>
      <c r="G52">
        <f t="shared" ca="1" si="21"/>
        <v>3</v>
      </c>
      <c r="H52">
        <f t="shared" ca="1" si="22"/>
        <v>0</v>
      </c>
      <c r="I52">
        <f t="shared" ca="1" si="23"/>
        <v>2</v>
      </c>
      <c r="J52">
        <f t="shared" ca="1" si="28"/>
        <v>0</v>
      </c>
      <c r="K52">
        <f ca="1">IF(OR($C52="S",$C52=0),0,MATCH(OFFSET($D52,0,$C52)+IF($C52&lt;&gt;1,1,COUNTIF(QCI!$A$13:$A$15,ORÇAMENTO!E52)),OFFSET($D52,1,$C52,ROW($C$93)-ROW($C52)),0))</f>
        <v>0</v>
      </c>
      <c r="L52" s="114" t="str">
        <f t="shared" ca="1" si="24"/>
        <v>F</v>
      </c>
      <c r="M52" s="115" t="s">
        <v>705</v>
      </c>
      <c r="N52" s="116" t="str">
        <f t="shared" ca="1" si="25"/>
        <v>Serviço</v>
      </c>
      <c r="O52" s="117" t="str">
        <f t="shared" ca="1" si="26"/>
        <v>1.2.3.2.</v>
      </c>
      <c r="P52" s="118" t="s">
        <v>750</v>
      </c>
      <c r="Q52" s="119">
        <v>100953</v>
      </c>
      <c r="R52" s="120" t="str" cm="1">
        <f t="array" aca="1" ref="R52" ca="1">IF($C52="S",REFERENCIA.Descricao,"(digite a descrição aqui)")</f>
        <v>(Código não identificado nas referências)</v>
      </c>
      <c r="S52" s="121" t="str" cm="1">
        <f t="array" aca="1" ref="S52" ca="1">REFERENCIA.Unidade</f>
        <v>-</v>
      </c>
      <c r="T52" s="122">
        <f ca="1">OFFSET(CÁLCULO!H$15,ROW($T52)-ROW(T$15),0)</f>
        <v>2880</v>
      </c>
      <c r="U52" s="123">
        <v>1.1499999999999999</v>
      </c>
      <c r="V52" s="124" t="s">
        <v>663</v>
      </c>
      <c r="W52" s="122" cm="1">
        <f t="array" aca="1" ref="W52" ca="1">IF($C52="S",ROUND(IF(TIPOORCAMENTO="Proposto",ORÇAMENTO.CustoUnitario*(1+$AH52),ORÇAMENTO.PrecoUnitarioLicitado),15-13*$AF$10),0)</f>
        <v>1.44</v>
      </c>
      <c r="X52" s="125" cm="1">
        <f t="array" aca="1" ref="X52" ca="1">IF($C52="S",IF(OR(Import.TipoArredondamento&lt;&gt;"TransfereGOV",ACOMPANHAMENTO="BM"),VTOTAL1,SUM(OFFSET(CÁLCULO!$AA$15,ROW($X52)-ROW($X$15),1):OFFSET(CÁLCULO!$AL$15,ROW($X52)-ROW($X$15),-1))),IF($C52=0,0,ROUND(SomaAgrup,15-13*$AF$11)))</f>
        <v>4147.2</v>
      </c>
      <c r="Y52" s="126" t="s">
        <v>751</v>
      </c>
      <c r="Z52" t="str">
        <f t="shared" ca="1" si="27"/>
        <v>RA</v>
      </c>
      <c r="AA52" s="127" cm="1">
        <f t="array" aca="1" ref="AA52" ca="1">IF($C52="S",IF($Z52="CP",$X52,IF($Z52="RA",(($X52)*QCI!$AA$3),0)),SomaAgrup)</f>
        <v>0</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CÓDIGO N/ID</v>
      </c>
      <c r="AD52" t="str">
        <f ca="1">IF(C52&lt;=CRONO.NivelExibicao,MAX($AD$15:OFFSET(AD52,-1,0))+IF($C52&lt;&gt;1,1,MAX(1,COUNTIF(QCI!$A$13:$A$15,OFFSET($E52,-1,0)))),"")</f>
        <v/>
      </c>
      <c r="AE52" s="7" t="str" cm="1">
        <f t="array" aca="1" ref="AE52" ca="1">IF(AND($C52="S",ORÇAMENTO.CodBarra&lt;&gt;""),IF(ORÇAMENTO.Fonte="",ORÇAMENTO.CodBarra,CONCATENATE(ORÇAMENTO.Fonte," ",ORÇAMENTO.CodBarra)))</f>
        <v>SINAPI 100953</v>
      </c>
      <c r="AF52" s="12" t="str"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(Código não identificado nas referências)</v>
      </c>
      <c r="AG52" s="428" cm="1">
        <f t="array" aca="1" ref="AG52" ca="1">ROUND(IF(DESONERACAO="sim",REFERENCIA.Desonerado,REFERENCIA.NaoDesonerado),2)</f>
        <v>0</v>
      </c>
      <c r="AH52" s="429">
        <f t="shared" ca="1" si="16"/>
        <v>0.2485</v>
      </c>
      <c r="AJ52" s="431"/>
      <c r="AL52" s="439"/>
      <c r="AM52" s="336">
        <f t="shared" ca="1" si="0"/>
        <v>4147.2</v>
      </c>
      <c r="AN52" s="470" cm="1">
        <f t="array" aca="1" ref="AN52" ca="1">ROUND(ORÇAMENTO.CustoUnitario*(1+$AH52),2)</f>
        <v>1.44</v>
      </c>
    </row>
    <row r="53" spans="1:40" ht="38.25" x14ac:dyDescent="0.2">
      <c r="A53" t="str">
        <f t="shared" si="15"/>
        <v>S</v>
      </c>
      <c r="B53">
        <f t="shared" ca="1" si="17"/>
        <v>3</v>
      </c>
      <c r="C53" t="str">
        <f t="shared" ca="1" si="18"/>
        <v>S</v>
      </c>
      <c r="D53">
        <f t="shared" ca="1" si="19"/>
        <v>0</v>
      </c>
      <c r="E53">
        <f ca="1">IF($C53=1,OFFSET(E53,-1,0)+MAX(1,COUNTIF(QCI!$A$13:$A$15,OFFSET(ORÇAMENTO!E53,-1,0))),OFFSET(E53,-1,0))</f>
        <v>1</v>
      </c>
      <c r="F53">
        <f t="shared" ca="1" si="20"/>
        <v>2</v>
      </c>
      <c r="G53">
        <f t="shared" ca="1" si="21"/>
        <v>3</v>
      </c>
      <c r="H53">
        <f t="shared" ca="1" si="22"/>
        <v>0</v>
      </c>
      <c r="I53">
        <f t="shared" ca="1" si="23"/>
        <v>3</v>
      </c>
      <c r="J53">
        <f t="shared" ca="1" si="28"/>
        <v>0</v>
      </c>
      <c r="K53">
        <f ca="1">IF(OR($C53="S",$C53=0),0,MATCH(OFFSET($D53,0,$C53)+IF($C53&lt;&gt;1,1,COUNTIF(QCI!$A$13:$A$15,ORÇAMENTO!E53)),OFFSET($D53,1,$C53,ROW($C$93)-ROW($C53)),0))</f>
        <v>0</v>
      </c>
      <c r="L53" s="114" t="str">
        <f t="shared" ca="1" si="24"/>
        <v>F</v>
      </c>
      <c r="M53" s="115" t="s">
        <v>705</v>
      </c>
      <c r="N53" s="116" t="str">
        <f t="shared" ca="1" si="25"/>
        <v>Serviço</v>
      </c>
      <c r="O53" s="117" t="str">
        <f t="shared" ca="1" si="26"/>
        <v>1.2.3.3.</v>
      </c>
      <c r="P53" s="118" t="s">
        <v>750</v>
      </c>
      <c r="Q53" s="119">
        <v>100950</v>
      </c>
      <c r="R53" s="120" t="str" cm="1">
        <f t="array" aca="1" ref="R53" ca="1">IF($C53="S",REFERENCIA.Descricao,"(digite a descrição aqui)")</f>
        <v>(Código não identificado nas referências)</v>
      </c>
      <c r="S53" s="121" t="str" cm="1">
        <f t="array" aca="1" ref="S53" ca="1">REFERENCIA.Unidade</f>
        <v>-</v>
      </c>
      <c r="T53" s="122">
        <f ca="1">OFFSET(CÁLCULO!H$15,ROW($T53)-ROW(T$15),0)</f>
        <v>86</v>
      </c>
      <c r="U53" s="123">
        <v>3.65</v>
      </c>
      <c r="V53" s="124" t="s">
        <v>663</v>
      </c>
      <c r="W53" s="122" cm="1">
        <f t="array" aca="1" ref="W53" ca="1">IF($C53="S",ROUND(IF(TIPOORCAMENTO="Proposto",ORÇAMENTO.CustoUnitario*(1+$AH53),ORÇAMENTO.PrecoUnitarioLicitado),15-13*$AF$10),0)</f>
        <v>4.5599999999999996</v>
      </c>
      <c r="X53" s="125" cm="1">
        <f t="array" aca="1" ref="X53" ca="1">IF($C53="S",IF(OR(Import.TipoArredondamento&lt;&gt;"TransfereGOV",ACOMPANHAMENTO="BM"),VTOTAL1,SUM(OFFSET(CÁLCULO!$AA$15,ROW($X53)-ROW($X$15),1):OFFSET(CÁLCULO!$AL$15,ROW($X53)-ROW($X$15),-1))),IF($C53=0,0,ROUND(SomaAgrup,15-13*$AF$11)))</f>
        <v>392.16</v>
      </c>
      <c r="Y53" s="126" t="s">
        <v>751</v>
      </c>
      <c r="Z53" t="str">
        <f t="shared" ca="1" si="27"/>
        <v>RA</v>
      </c>
      <c r="AA53" s="127" cm="1">
        <f t="array" aca="1" ref="AA53" ca="1">IF($C53="S",IF($Z53="CP",$X53,IF($Z53="RA",(($X53)*QCI!$AA$3),0)),SomaAgrup)</f>
        <v>0</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CÓDIGO N/ID</v>
      </c>
      <c r="AD53" t="str">
        <f ca="1">IF(C53&lt;=CRONO.NivelExibicao,MAX($AD$15:OFFSET(AD53,-1,0))+IF($C53&lt;&gt;1,1,MAX(1,COUNTIF(QCI!$A$13:$A$15,OFFSET($E53,-1,0)))),"")</f>
        <v/>
      </c>
      <c r="AE53" s="7" t="str" cm="1">
        <f t="array" aca="1" ref="AE53" ca="1">IF(AND($C53="S",ORÇAMENTO.CodBarra&lt;&gt;""),IF(ORÇAMENTO.Fonte="",ORÇAMENTO.CodBarra,CONCATENATE(ORÇAMENTO.Fonte," ",ORÇAMENTO.CodBarra)))</f>
        <v>SINAPI 100950</v>
      </c>
      <c r="AF53" s="12" t="str"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(Código não identificado nas referências)</v>
      </c>
      <c r="AG53" s="428" cm="1">
        <f t="array" aca="1" ref="AG53" ca="1">ROUND(IF(DESONERACAO="sim",REFERENCIA.Desonerado,REFERENCIA.NaoDesonerado),2)</f>
        <v>0</v>
      </c>
      <c r="AH53" s="429">
        <f t="shared" ca="1" si="16"/>
        <v>0.2485</v>
      </c>
      <c r="AJ53" s="431"/>
      <c r="AL53" s="439"/>
      <c r="AM53" s="336">
        <f t="shared" ca="1" si="0"/>
        <v>392.16</v>
      </c>
      <c r="AN53" s="470" cm="1">
        <f t="array" aca="1" ref="AN53" ca="1">ROUND(ORÇAMENTO.CustoUnitario*(1+$AH53),2)</f>
        <v>4.5599999999999996</v>
      </c>
    </row>
    <row r="54" spans="1:40" x14ac:dyDescent="0.2">
      <c r="A54" t="str">
        <f t="shared" si="15"/>
        <v>S</v>
      </c>
      <c r="B54">
        <f t="shared" ca="1" si="17"/>
        <v>3</v>
      </c>
      <c r="C54" t="str">
        <f t="shared" ca="1" si="18"/>
        <v>S</v>
      </c>
      <c r="D54">
        <f t="shared" ca="1" si="19"/>
        <v>0</v>
      </c>
      <c r="E54">
        <f ca="1">IF($C54=1,OFFSET(E54,-1,0)+MAX(1,COUNTIF(QCI!$A$13:$A$15,OFFSET(ORÇAMENTO!E54,-1,0))),OFFSET(E54,-1,0))</f>
        <v>1</v>
      </c>
      <c r="F54">
        <f t="shared" ca="1" si="20"/>
        <v>2</v>
      </c>
      <c r="G54">
        <f t="shared" ca="1" si="21"/>
        <v>3</v>
      </c>
      <c r="H54">
        <f t="shared" ca="1" si="22"/>
        <v>0</v>
      </c>
      <c r="I54">
        <f t="shared" ca="1" si="23"/>
        <v>4</v>
      </c>
      <c r="J54">
        <f t="shared" ca="1" si="28"/>
        <v>0</v>
      </c>
      <c r="K54">
        <f ca="1">IF(OR($C54="S",$C54=0),0,MATCH(OFFSET($D54,0,$C54)+IF($C54&lt;&gt;1,1,COUNTIF(QCI!$A$13:$A$15,ORÇAMENTO!E54)),OFFSET($D54,1,$C54,ROW($C$93)-ROW($C54)),0))</f>
        <v>0</v>
      </c>
      <c r="L54" s="114" t="str">
        <f t="shared" ca="1" si="24"/>
        <v>F</v>
      </c>
      <c r="M54" s="115" t="s">
        <v>705</v>
      </c>
      <c r="N54" s="116" t="str">
        <f t="shared" ca="1" si="25"/>
        <v>Serviço</v>
      </c>
      <c r="O54" s="117" t="str">
        <f t="shared" ca="1" si="26"/>
        <v>1.2.3.4.</v>
      </c>
      <c r="P54" s="118" t="s">
        <v>750</v>
      </c>
      <c r="Q54" s="119">
        <v>88316</v>
      </c>
      <c r="R54" s="120" t="str" cm="1">
        <f t="array" aca="1" ref="R54" ca="1">IF($C54="S",REFERENCIA.Descricao,"(digite a descrição aqui)")</f>
        <v>(Código não identificado nas referências)</v>
      </c>
      <c r="S54" s="121" t="str" cm="1">
        <f t="array" aca="1" ref="S54" ca="1">REFERENCIA.Unidade</f>
        <v>-</v>
      </c>
      <c r="T54" s="122">
        <f ca="1">OFFSET(CÁLCULO!H$15,ROW($T54)-ROW(T$15),0)</f>
        <v>16</v>
      </c>
      <c r="U54" s="123">
        <v>22.64</v>
      </c>
      <c r="V54" s="124" t="s">
        <v>663</v>
      </c>
      <c r="W54" s="122" cm="1">
        <f t="array" aca="1" ref="W54" ca="1">IF($C54="S",ROUND(IF(TIPOORCAMENTO="Proposto",ORÇAMENTO.CustoUnitario*(1+$AH54),ORÇAMENTO.PrecoUnitarioLicitado),15-13*$AF$10),0)</f>
        <v>28.27</v>
      </c>
      <c r="X54" s="125" cm="1">
        <f t="array" aca="1" ref="X54" ca="1">IF($C54="S",IF(OR(Import.TipoArredondamento&lt;&gt;"TransfereGOV",ACOMPANHAMENTO="BM"),VTOTAL1,SUM(OFFSET(CÁLCULO!$AA$15,ROW($X54)-ROW($X$15),1):OFFSET(CÁLCULO!$AL$15,ROW($X54)-ROW($X$15),-1))),IF($C54=0,0,ROUND(SomaAgrup,15-13*$AF$11)))</f>
        <v>452.32</v>
      </c>
      <c r="Y54" s="126" t="s">
        <v>751</v>
      </c>
      <c r="Z54" t="str">
        <f t="shared" ca="1" si="27"/>
        <v>RA</v>
      </c>
      <c r="AA54" s="127" cm="1">
        <f t="array" aca="1" ref="AA54" ca="1">IF($C54="S",IF($Z54="CP",$X54,IF($Z54="RA",(($X54)*QCI!$AA$3),0)),SomaAgrup)</f>
        <v>0</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CÓDIGO N/ID</v>
      </c>
      <c r="AD54" t="str">
        <f ca="1">IF(C54&lt;=CRONO.NivelExibicao,MAX($AD$15:OFFSET(AD54,-1,0))+IF($C54&lt;&gt;1,1,MAX(1,COUNTIF(QCI!$A$13:$A$15,OFFSET($E54,-1,0)))),"")</f>
        <v/>
      </c>
      <c r="AE54" s="7" t="str" cm="1">
        <f t="array" aca="1" ref="AE54" ca="1">IF(AND($C54="S",ORÇAMENTO.CodBarra&lt;&gt;""),IF(ORÇAMENTO.Fonte="",ORÇAMENTO.CodBarra,CONCATENATE(ORÇAMENTO.Fonte," ",ORÇAMENTO.CodBarra)))</f>
        <v>SINAPI 88316</v>
      </c>
      <c r="AF54" s="12" t="str"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(Código não identificado nas referências)</v>
      </c>
      <c r="AG54" s="428" cm="1">
        <f t="array" aca="1" ref="AG54" ca="1">ROUND(IF(DESONERACAO="sim",REFERENCIA.Desonerado,REFERENCIA.NaoDesonerado),2)</f>
        <v>0</v>
      </c>
      <c r="AH54" s="429">
        <f t="shared" ca="1" si="16"/>
        <v>0.2485</v>
      </c>
      <c r="AJ54" s="431"/>
      <c r="AL54" s="439"/>
      <c r="AM54" s="336">
        <f t="shared" ca="1" si="0"/>
        <v>452.32</v>
      </c>
      <c r="AN54" s="470" cm="1">
        <f t="array" aca="1" ref="AN54" ca="1">ROUND(ORÇAMENTO.CustoUnitario*(1+$AH54),2)</f>
        <v>28.27</v>
      </c>
    </row>
    <row r="55" spans="1:40" x14ac:dyDescent="0.2">
      <c r="A55">
        <f t="shared" si="15"/>
        <v>3</v>
      </c>
      <c r="B55">
        <f t="shared" ca="1" si="17"/>
        <v>3</v>
      </c>
      <c r="C55">
        <f t="shared" ca="1" si="18"/>
        <v>3</v>
      </c>
      <c r="D55">
        <f t="shared" ca="1" si="19"/>
        <v>6</v>
      </c>
      <c r="E55">
        <f ca="1">IF($C55=1,OFFSET(E55,-1,0)+MAX(1,COUNTIF(QCI!$A$13:$A$15,OFFSET(ORÇAMENTO!E55,-1,0))),OFFSET(E55,-1,0))</f>
        <v>1</v>
      </c>
      <c r="F55">
        <f t="shared" ca="1" si="20"/>
        <v>2</v>
      </c>
      <c r="G55">
        <f t="shared" ca="1" si="21"/>
        <v>4</v>
      </c>
      <c r="H55">
        <f t="shared" ca="1" si="22"/>
        <v>0</v>
      </c>
      <c r="I55">
        <f t="shared" ca="1" si="23"/>
        <v>0</v>
      </c>
      <c r="J55">
        <f t="shared" ca="1" si="28"/>
        <v>6</v>
      </c>
      <c r="K55" t="e">
        <f ca="1">IF(OR($C55="S",$C55=0),0,MATCH(OFFSET($D55,0,$C55)+IF($C55&lt;&gt;1,1,COUNTIF(QCI!$A$13:$A$15,ORÇAMENTO!E55)),OFFSET($D55,1,$C55,ROW($C$93)-ROW($C55)),0))</f>
        <v>#N/A</v>
      </c>
      <c r="L55" s="114" t="str">
        <f t="shared" ca="1" si="24"/>
        <v>F</v>
      </c>
      <c r="M55" s="115" t="s">
        <v>703</v>
      </c>
      <c r="N55" s="116" t="str">
        <f t="shared" ca="1" si="25"/>
        <v>Nível 3</v>
      </c>
      <c r="O55" s="117" t="str">
        <f t="shared" ca="1" si="26"/>
        <v>1.2.4.</v>
      </c>
      <c r="P55" s="118" t="s">
        <v>750</v>
      </c>
      <c r="Q55" s="119"/>
      <c r="R55" s="120" t="str">
        <f ca="1">IF($C55="S",REFERENCIA.Descricao,"CANTEIRO")</f>
        <v>CANTEIRO</v>
      </c>
      <c r="S55" s="121" t="str" cm="1">
        <f t="array" aca="1" ref="S55" ca="1">REFERENCIA.Unidade</f>
        <v>-</v>
      </c>
      <c r="T55" s="122">
        <f ca="1">OFFSET(CÁLCULO!H$15,ROW($T55)-ROW(T$15),0)</f>
        <v>0</v>
      </c>
      <c r="U55" s="123"/>
      <c r="V55" s="124" t="s">
        <v>663</v>
      </c>
      <c r="W55" s="122" cm="1">
        <f t="array" aca="1" ref="W55" ca="1">IF($C55="S",ROUND(IF(TIPOORCAMENTO="Proposto",ORÇAMENTO.CustoUnitario*(1+$AH55),ORÇAMENTO.PrecoUnitarioLicitado),15-13*$AF$10),0)</f>
        <v>0</v>
      </c>
      <c r="X55" s="125" cm="1">
        <f t="array" aca="1" ref="X55" ca="1">IF($C55="S",IF(OR(Import.TipoArredondamento&lt;&gt;"TransfereGOV",ACOMPANHAMENTO="BM"),VTOTAL1,SUM(OFFSET(CÁLCULO!$AA$15,ROW($X55)-ROW($X$15),1):OFFSET(CÁLCULO!$AL$15,ROW($X55)-ROW($X$15),-1))),IF($C55=0,0,ROUND(SomaAgrup,15-13*$AF$11)))</f>
        <v>103037.7</v>
      </c>
      <c r="Y55" s="126" t="s">
        <v>751</v>
      </c>
      <c r="Z55" t="str">
        <f t="shared" ca="1" si="27"/>
        <v/>
      </c>
      <c r="AA55" s="127" cm="1">
        <f t="array" aca="1" ref="AA55" ca="1">IF($C55="S",IF($Z55="CP",$X55,IF($Z55="RA",(($X55)*QCI!$AA$3),0)),SomaAgrup)</f>
        <v>0</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t="str">
        <f ca="1">IF(C55&lt;=CRONO.NivelExibicao,MAX($AD$15:OFFSET(AD55,-1,0))+IF($C55&lt;&gt;1,1,MAX(1,COUNTIF(QCI!$A$13:$A$15,OFFSET($E55,-1,0)))),"")</f>
        <v/>
      </c>
      <c r="AE55" s="7" t="b" cm="1">
        <f t="array" aca="1" ref="AE55" ca="1">IF(AND($C55="S",ORÇAMENTO.CodBarra&lt;&gt;""),IF(ORÇAMENTO.Fonte="",ORÇAMENTO.CodBarra,CONCATENATE(ORÇAMENTO.Fonte," ",ORÇAMENTO.CodBarra)))</f>
        <v>0</v>
      </c>
      <c r="AF55" s="12" t="str"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(Sem Código)</v>
      </c>
      <c r="AG55" s="428" cm="1">
        <f t="array" aca="1" ref="AG55" ca="1">ROUND(IF(DESONERACAO="sim",REFERENCIA.Desonerado,REFERENCIA.NaoDesonerado),2)</f>
        <v>0</v>
      </c>
      <c r="AH55" s="429">
        <f t="shared" ca="1" si="16"/>
        <v>0.2485</v>
      </c>
      <c r="AJ55" s="431"/>
      <c r="AL55" s="439"/>
      <c r="AM55" s="336">
        <f t="shared" ca="1" si="0"/>
        <v>103037.7</v>
      </c>
      <c r="AN55" s="470" cm="1">
        <f t="array" aca="1" ref="AN55" ca="1">ROUND(ORÇAMENTO.CustoUnitario*(1+$AH55),2)</f>
        <v>0</v>
      </c>
    </row>
    <row r="56" spans="1:40" ht="51" x14ac:dyDescent="0.2">
      <c r="A56" t="str">
        <f t="shared" si="15"/>
        <v>S</v>
      </c>
      <c r="B56">
        <f t="shared" ca="1" si="17"/>
        <v>3</v>
      </c>
      <c r="C56" t="str">
        <f t="shared" ca="1" si="18"/>
        <v>S</v>
      </c>
      <c r="D56">
        <f t="shared" ca="1" si="19"/>
        <v>0</v>
      </c>
      <c r="E56">
        <f ca="1">IF($C56=1,OFFSET(E56,-1,0)+MAX(1,COUNTIF(QCI!$A$13:$A$15,OFFSET(ORÇAMENTO!E56,-1,0))),OFFSET(E56,-1,0))</f>
        <v>1</v>
      </c>
      <c r="F56">
        <f t="shared" ca="1" si="20"/>
        <v>2</v>
      </c>
      <c r="G56">
        <f t="shared" ca="1" si="21"/>
        <v>4</v>
      </c>
      <c r="H56">
        <f t="shared" ca="1" si="22"/>
        <v>0</v>
      </c>
      <c r="I56">
        <f t="shared" ca="1" si="23"/>
        <v>1</v>
      </c>
      <c r="J56">
        <f t="shared" ca="1" si="28"/>
        <v>0</v>
      </c>
      <c r="K56">
        <f ca="1">IF(OR($C56="S",$C56=0),0,MATCH(OFFSET($D56,0,$C56)+IF($C56&lt;&gt;1,1,COUNTIF(QCI!$A$13:$A$15,ORÇAMENTO!E56)),OFFSET($D56,1,$C56,ROW($C$93)-ROW($C56)),0))</f>
        <v>0</v>
      </c>
      <c r="L56" s="114" t="str">
        <f t="shared" ca="1" si="24"/>
        <v>F</v>
      </c>
      <c r="M56" s="115" t="s">
        <v>705</v>
      </c>
      <c r="N56" s="116" t="str">
        <f t="shared" ca="1" si="25"/>
        <v>Serviço</v>
      </c>
      <c r="O56" s="117" t="str">
        <f t="shared" ca="1" si="26"/>
        <v>1.2.4.1.</v>
      </c>
      <c r="P56" s="118" t="s">
        <v>1020</v>
      </c>
      <c r="Q56" s="119" t="s">
        <v>1056</v>
      </c>
      <c r="R56" s="120" t="str" cm="1">
        <f t="array" aca="1" ref="R56" ca="1">IF($C56="S",REFERENCIA.Descricao,"(digite a descrição aqui)")</f>
        <v>(Código não identificado nas referências)</v>
      </c>
      <c r="S56" s="121" t="s">
        <v>639</v>
      </c>
      <c r="T56" s="122">
        <f ca="1">OFFSET(CÁLCULO!H$15,ROW($T56)-ROW(T$15),0)</f>
        <v>1</v>
      </c>
      <c r="U56" s="123">
        <v>14940.61</v>
      </c>
      <c r="V56" s="124" t="s">
        <v>663</v>
      </c>
      <c r="W56" s="122" cm="1">
        <f t="array" aca="1" ref="W56" ca="1">IF($C56="S",ROUND(IF(TIPOORCAMENTO="Proposto",ORÇAMENTO.CustoUnitario*(1+$AH56),ORÇAMENTO.PrecoUnitarioLicitado),15-13*$AF$10),0)</f>
        <v>18653.349999999999</v>
      </c>
      <c r="X56" s="125" cm="1">
        <f t="array" aca="1" ref="X56" ca="1">IF($C56="S",IF(OR(Import.TipoArredondamento&lt;&gt;"TransfereGOV",ACOMPANHAMENTO="BM"),VTOTAL1,SUM(OFFSET(CÁLCULO!$AA$15,ROW($X56)-ROW($X$15),1):OFFSET(CÁLCULO!$AL$15,ROW($X56)-ROW($X$15),-1))),IF($C56=0,0,ROUND(SomaAgrup,15-13*$AF$11)))</f>
        <v>18653.36</v>
      </c>
      <c r="Y56" s="126" t="s">
        <v>751</v>
      </c>
      <c r="Z56" t="str">
        <f t="shared" ca="1" si="27"/>
        <v>RA</v>
      </c>
      <c r="AA56" s="127" cm="1">
        <f t="array" aca="1" ref="AA56" ca="1">IF($C56="S",IF($Z56="CP",$X56,IF($Z56="RA",(($X56)*QCI!$AA$3),0)),SomaAgrup)</f>
        <v>0</v>
      </c>
      <c r="AB56" s="128" cm="1">
        <f t="array" aca="1" ref="AB56" ca="1">IF($C56="S",IF($Z56="OU",ROUND($X56,2),0),SomaAgrup)</f>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CÓDIGO N/ID</v>
      </c>
      <c r="AD56" t="str">
        <f ca="1">IF(C56&lt;=CRONO.NivelExibicao,MAX($AD$15:OFFSET(AD56,-1,0))+IF($C56&lt;&gt;1,1,MAX(1,COUNTIF(QCI!$A$13:$A$15,OFFSET($E56,-1,0)))),"")</f>
        <v/>
      </c>
      <c r="AE56" s="7" t="str" cm="1">
        <f t="array" aca="1" ref="AE56" ca="1">IF(AND($C56="S",ORÇAMENTO.CodBarra&lt;&gt;""),IF(ORÇAMENTO.Fonte="",ORÇAMENTO.CodBarra,CONCATENATE(ORÇAMENTO.Fonte," ",ORÇAMENTO.CodBarra)))</f>
        <v>SEINFRA ED-50129</v>
      </c>
      <c r="AF56" s="12" t="str"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(Código não identificado nas referências)</v>
      </c>
      <c r="AG56" s="428" cm="1">
        <f t="array" aca="1" ref="AG56" ca="1">ROUND(IF(DESONERACAO="sim",REFERENCIA.Desonerado,REFERENCIA.NaoDesonerado),2)</f>
        <v>0</v>
      </c>
      <c r="AH56" s="429">
        <f t="shared" ca="1" si="16"/>
        <v>0.2485</v>
      </c>
      <c r="AJ56" s="431"/>
      <c r="AL56" s="439"/>
      <c r="AM56" s="336">
        <f t="shared" ca="1" si="0"/>
        <v>18653.36</v>
      </c>
      <c r="AN56" s="470" cm="1">
        <f t="array" aca="1" ref="AN56" ca="1">ROUND(ORÇAMENTO.CustoUnitario*(1+$AH56),2)</f>
        <v>18653.349999999999</v>
      </c>
    </row>
    <row r="57" spans="1:40" ht="51" x14ac:dyDescent="0.2">
      <c r="A57" t="str">
        <f t="shared" si="15"/>
        <v>S</v>
      </c>
      <c r="B57">
        <f t="shared" ca="1" si="17"/>
        <v>3</v>
      </c>
      <c r="C57" t="str">
        <f t="shared" ca="1" si="18"/>
        <v>S</v>
      </c>
      <c r="D57">
        <f t="shared" ca="1" si="19"/>
        <v>0</v>
      </c>
      <c r="E57">
        <f ca="1">IF($C57=1,OFFSET(E57,-1,0)+MAX(1,COUNTIF(QCI!$A$13:$A$15,OFFSET(ORÇAMENTO!E57,-1,0))),OFFSET(E57,-1,0))</f>
        <v>1</v>
      </c>
      <c r="F57">
        <f t="shared" ca="1" si="20"/>
        <v>2</v>
      </c>
      <c r="G57">
        <f t="shared" ca="1" si="21"/>
        <v>4</v>
      </c>
      <c r="H57">
        <f t="shared" ca="1" si="22"/>
        <v>0</v>
      </c>
      <c r="I57">
        <f t="shared" ca="1" si="23"/>
        <v>2</v>
      </c>
      <c r="J57">
        <f t="shared" ca="1" si="28"/>
        <v>0</v>
      </c>
      <c r="K57">
        <f ca="1">IF(OR($C57="S",$C57=0),0,MATCH(OFFSET($D57,0,$C57)+IF($C57&lt;&gt;1,1,COUNTIF(QCI!$A$13:$A$15,ORÇAMENTO!E57)),OFFSET($D57,1,$C57,ROW($C$93)-ROW($C57)),0))</f>
        <v>0</v>
      </c>
      <c r="L57" s="114" t="str">
        <f t="shared" ca="1" si="24"/>
        <v>F</v>
      </c>
      <c r="M57" s="115" t="s">
        <v>705</v>
      </c>
      <c r="N57" s="116" t="str">
        <f t="shared" ca="1" si="25"/>
        <v>Serviço</v>
      </c>
      <c r="O57" s="117" t="str">
        <f t="shared" ca="1" si="26"/>
        <v>1.2.4.2.</v>
      </c>
      <c r="P57" s="118" t="s">
        <v>1020</v>
      </c>
      <c r="Q57" s="119" t="s">
        <v>1057</v>
      </c>
      <c r="R57" s="120" t="str" cm="1">
        <f t="array" aca="1" ref="R57" ca="1">IF($C57="S",REFERENCIA.Descricao,"(digite a descrição aqui)")</f>
        <v>(Código não identificado nas referências)</v>
      </c>
      <c r="S57" s="121" t="s">
        <v>639</v>
      </c>
      <c r="T57" s="122">
        <f ca="1">OFFSET(CÁLCULO!H$15,ROW($T57)-ROW(T$15),0)</f>
        <v>1</v>
      </c>
      <c r="U57" s="123">
        <v>12136.03</v>
      </c>
      <c r="V57" s="124" t="s">
        <v>663</v>
      </c>
      <c r="W57" s="122" cm="1">
        <f t="array" aca="1" ref="W57" ca="1">IF($C57="S",ROUND(IF(TIPOORCAMENTO="Proposto",ORÇAMENTO.CustoUnitario*(1+$AH57),ORÇAMENTO.PrecoUnitarioLicitado),15-13*$AF$10),0)</f>
        <v>15151.83</v>
      </c>
      <c r="X57" s="125" cm="1">
        <f t="array" aca="1" ref="X57" ca="1">IF($C57="S",IF(OR(Import.TipoArredondamento&lt;&gt;"TransfereGOV",ACOMPANHAMENTO="BM"),VTOTAL1,SUM(OFFSET(CÁLCULO!$AA$15,ROW($X57)-ROW($X$15),1):OFFSET(CÁLCULO!$AL$15,ROW($X57)-ROW($X$15),-1))),IF($C57=0,0,ROUND(SomaAgrup,15-13*$AF$11)))</f>
        <v>15151.84</v>
      </c>
      <c r="Y57" s="126" t="s">
        <v>751</v>
      </c>
      <c r="Z57" t="str">
        <f t="shared" ca="1" si="27"/>
        <v>RA</v>
      </c>
      <c r="AA57" s="127" cm="1">
        <f t="array" aca="1" ref="AA57" ca="1">IF($C57="S",IF($Z57="CP",$X57,IF($Z57="RA",(($X57)*QCI!$AA$3),0)),SomaAgrup)</f>
        <v>0</v>
      </c>
      <c r="AB57" s="128" cm="1">
        <f t="array" aca="1" ref="AB57" ca="1">IF($C57="S",IF($Z57="OU",ROUND($X57,2),0),SomaAgrup)</f>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CÓDIGO N/ID</v>
      </c>
      <c r="AD57" t="str">
        <f ca="1">IF(C57&lt;=CRONO.NivelExibicao,MAX($AD$15:OFFSET(AD57,-1,0))+IF($C57&lt;&gt;1,1,MAX(1,COUNTIF(QCI!$A$13:$A$15,OFFSET($E57,-1,0)))),"")</f>
        <v/>
      </c>
      <c r="AE57" s="7" t="str" cm="1">
        <f t="array" aca="1" ref="AE57" ca="1">IF(AND($C57="S",ORÇAMENTO.CodBarra&lt;&gt;""),IF(ORÇAMENTO.Fonte="",ORÇAMENTO.CodBarra,CONCATENATE(ORÇAMENTO.Fonte," ",ORÇAMENTO.CodBarra)))</f>
        <v>SEINFRA ED-50148</v>
      </c>
      <c r="AF57" s="12" t="str"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(Código não identificado nas referências)</v>
      </c>
      <c r="AG57" s="428" cm="1">
        <f t="array" aca="1" ref="AG57" ca="1">ROUND(IF(DESONERACAO="sim",REFERENCIA.Desonerado,REFERENCIA.NaoDesonerado),2)</f>
        <v>0</v>
      </c>
      <c r="AH57" s="429">
        <f t="shared" ca="1" si="16"/>
        <v>0.2485</v>
      </c>
      <c r="AJ57" s="431"/>
      <c r="AL57" s="439"/>
      <c r="AM57" s="336">
        <f t="shared" ca="1" si="0"/>
        <v>15151.84</v>
      </c>
      <c r="AN57" s="470" cm="1">
        <f t="array" aca="1" ref="AN57" ca="1">ROUND(ORÇAMENTO.CustoUnitario*(1+$AH57),2)</f>
        <v>15151.83</v>
      </c>
    </row>
    <row r="58" spans="1:40" ht="38.25" x14ac:dyDescent="0.2">
      <c r="A58" t="str">
        <f t="shared" si="15"/>
        <v>S</v>
      </c>
      <c r="B58">
        <f t="shared" ca="1" si="17"/>
        <v>3</v>
      </c>
      <c r="C58" t="str">
        <f t="shared" ca="1" si="18"/>
        <v>S</v>
      </c>
      <c r="D58">
        <f t="shared" ca="1" si="19"/>
        <v>0</v>
      </c>
      <c r="E58">
        <f ca="1">IF($C58=1,OFFSET(E58,-1,0)+MAX(1,COUNTIF(QCI!$A$13:$A$15,OFFSET(ORÇAMENTO!E58,-1,0))),OFFSET(E58,-1,0))</f>
        <v>1</v>
      </c>
      <c r="F58">
        <f t="shared" ca="1" si="20"/>
        <v>2</v>
      </c>
      <c r="G58">
        <f t="shared" ca="1" si="21"/>
        <v>4</v>
      </c>
      <c r="H58">
        <f t="shared" ca="1" si="22"/>
        <v>0</v>
      </c>
      <c r="I58">
        <f t="shared" ca="1" si="23"/>
        <v>3</v>
      </c>
      <c r="J58">
        <f t="shared" ca="1" si="28"/>
        <v>0</v>
      </c>
      <c r="K58">
        <f ca="1">IF(OR($C58="S",$C58=0),0,MATCH(OFFSET($D58,0,$C58)+IF($C58&lt;&gt;1,1,COUNTIF(QCI!$A$13:$A$15,ORÇAMENTO!E58)),OFFSET($D58,1,$C58,ROW($C$93)-ROW($C58)),0))</f>
        <v>0</v>
      </c>
      <c r="L58" s="114" t="str">
        <f t="shared" ca="1" si="24"/>
        <v>F</v>
      </c>
      <c r="M58" s="115" t="s">
        <v>705</v>
      </c>
      <c r="N58" s="116" t="str">
        <f t="shared" ca="1" si="25"/>
        <v>Serviço</v>
      </c>
      <c r="O58" s="117" t="str">
        <f t="shared" ca="1" si="26"/>
        <v>1.2.4.3.</v>
      </c>
      <c r="P58" s="118" t="s">
        <v>1020</v>
      </c>
      <c r="Q58" s="119" t="s">
        <v>1058</v>
      </c>
      <c r="R58" s="120" t="str" cm="1">
        <f t="array" aca="1" ref="R58" ca="1">IF($C58="S",REFERENCIA.Descricao,"(digite a descrição aqui)")</f>
        <v>(Código não identificado nas referências)</v>
      </c>
      <c r="S58" s="121" t="s">
        <v>639</v>
      </c>
      <c r="T58" s="122">
        <f ca="1">OFFSET(CÁLCULO!H$15,ROW($T58)-ROW(T$15),0)</f>
        <v>1</v>
      </c>
      <c r="U58" s="123">
        <v>12848.46</v>
      </c>
      <c r="V58" s="124" t="s">
        <v>663</v>
      </c>
      <c r="W58" s="122" cm="1">
        <f t="array" aca="1" ref="W58" ca="1">IF($C58="S",ROUND(IF(TIPOORCAMENTO="Proposto",ORÇAMENTO.CustoUnitario*(1+$AH58),ORÇAMENTO.PrecoUnitarioLicitado),15-13*$AF$10),0)</f>
        <v>16041.3</v>
      </c>
      <c r="X58" s="125" cm="1">
        <f t="array" aca="1" ref="X58" ca="1">IF($C58="S",IF(OR(Import.TipoArredondamento&lt;&gt;"TransfereGOV",ACOMPANHAMENTO="BM"),VTOTAL1,SUM(OFFSET(CÁLCULO!$AA$15,ROW($X58)-ROW($X$15),1):OFFSET(CÁLCULO!$AL$15,ROW($X58)-ROW($X$15),-1))),IF($C58=0,0,ROUND(SomaAgrup,15-13*$AF$11)))</f>
        <v>16041.3</v>
      </c>
      <c r="Y58" s="126" t="s">
        <v>751</v>
      </c>
      <c r="Z58" t="str">
        <f t="shared" ca="1" si="27"/>
        <v>RA</v>
      </c>
      <c r="AA58" s="127" cm="1">
        <f t="array" aca="1" ref="AA58" ca="1">IF($C58="S",IF($Z58="CP",$X58,IF($Z58="RA",(($X58)*QCI!$AA$3),0)),SomaAgrup)</f>
        <v>0</v>
      </c>
      <c r="AB58" s="128" cm="1">
        <f t="array" aca="1" ref="AB58" ca="1">IF($C58="S",IF($Z58="OU",ROUND($X58,2),0),SomaAgrup)</f>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CÓDIGO N/ID</v>
      </c>
      <c r="AD58" t="str">
        <f ca="1">IF(C58&lt;=CRONO.NivelExibicao,MAX($AD$15:OFFSET(AD58,-1,0))+IF($C58&lt;&gt;1,1,MAX(1,COUNTIF(QCI!$A$13:$A$15,OFFSET($E58,-1,0)))),"")</f>
        <v/>
      </c>
      <c r="AE58" s="7" t="str" cm="1">
        <f t="array" aca="1" ref="AE58" ca="1">IF(AND($C58="S",ORÇAMENTO.CodBarra&lt;&gt;""),IF(ORÇAMENTO.Fonte="",ORÇAMENTO.CodBarra,CONCATENATE(ORÇAMENTO.Fonte," ",ORÇAMENTO.CodBarra)))</f>
        <v>SEINFRA ED-50131</v>
      </c>
      <c r="AF58" s="12" t="str"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(Código não identificado nas referências)</v>
      </c>
      <c r="AG58" s="428" cm="1">
        <f t="array" aca="1" ref="AG58" ca="1">ROUND(IF(DESONERACAO="sim",REFERENCIA.Desonerado,REFERENCIA.NaoDesonerado),2)</f>
        <v>0</v>
      </c>
      <c r="AH58" s="429">
        <f t="shared" ca="1" si="16"/>
        <v>0.2485</v>
      </c>
      <c r="AJ58" s="431"/>
      <c r="AL58" s="439"/>
      <c r="AM58" s="336">
        <f t="shared" ca="1" si="0"/>
        <v>16041.3</v>
      </c>
      <c r="AN58" s="470" cm="1">
        <f t="array" aca="1" ref="AN58" ca="1">ROUND(ORÇAMENTO.CustoUnitario*(1+$AH58),2)</f>
        <v>16041.3</v>
      </c>
    </row>
    <row r="59" spans="1:40" ht="38.25" x14ac:dyDescent="0.2">
      <c r="A59" t="str">
        <f t="shared" si="15"/>
        <v>S</v>
      </c>
      <c r="B59">
        <f t="shared" ca="1" si="17"/>
        <v>3</v>
      </c>
      <c r="C59" t="str">
        <f t="shared" ca="1" si="18"/>
        <v>S</v>
      </c>
      <c r="D59">
        <f t="shared" ca="1" si="19"/>
        <v>0</v>
      </c>
      <c r="E59">
        <f ca="1">IF($C59=1,OFFSET(E59,-1,0)+MAX(1,COUNTIF(QCI!$A$13:$A$15,OFFSET(ORÇAMENTO!E59,-1,0))),OFFSET(E59,-1,0))</f>
        <v>1</v>
      </c>
      <c r="F59">
        <f t="shared" ca="1" si="20"/>
        <v>2</v>
      </c>
      <c r="G59">
        <f t="shared" ca="1" si="21"/>
        <v>4</v>
      </c>
      <c r="H59">
        <f t="shared" ca="1" si="22"/>
        <v>0</v>
      </c>
      <c r="I59">
        <f t="shared" ca="1" si="23"/>
        <v>4</v>
      </c>
      <c r="J59">
        <f t="shared" ca="1" si="28"/>
        <v>0</v>
      </c>
      <c r="K59">
        <f ca="1">IF(OR($C59="S",$C59=0),0,MATCH(OFFSET($D59,0,$C59)+IF($C59&lt;&gt;1,1,COUNTIF(QCI!$A$13:$A$15,ORÇAMENTO!E59)),OFFSET($D59,1,$C59,ROW($C$93)-ROW($C59)),0))</f>
        <v>0</v>
      </c>
      <c r="L59" s="114" t="str">
        <f t="shared" ca="1" si="24"/>
        <v>F</v>
      </c>
      <c r="M59" s="115" t="s">
        <v>705</v>
      </c>
      <c r="N59" s="116" t="str">
        <f t="shared" ca="1" si="25"/>
        <v>Serviço</v>
      </c>
      <c r="O59" s="117" t="str">
        <f t="shared" ca="1" si="26"/>
        <v>1.2.4.4.</v>
      </c>
      <c r="P59" s="118" t="s">
        <v>1020</v>
      </c>
      <c r="Q59" s="119" t="s">
        <v>1059</v>
      </c>
      <c r="R59" s="120" t="str" cm="1">
        <f t="array" aca="1" ref="R59" ca="1">IF($C59="S",REFERENCIA.Descricao,"(digite a descrição aqui)")</f>
        <v>(Código não identificado nas referências)</v>
      </c>
      <c r="S59" s="121" t="s">
        <v>639</v>
      </c>
      <c r="T59" s="122">
        <f ca="1">OFFSET(CÁLCULO!H$15,ROW($T59)-ROW(T$15),0)</f>
        <v>1</v>
      </c>
      <c r="U59" s="123">
        <v>11354.6</v>
      </c>
      <c r="V59" s="124" t="s">
        <v>663</v>
      </c>
      <c r="W59" s="122" cm="1">
        <f t="array" aca="1" ref="W59" ca="1">IF($C59="S",ROUND(IF(TIPOORCAMENTO="Proposto",ORÇAMENTO.CustoUnitario*(1+$AH59),ORÇAMENTO.PrecoUnitarioLicitado),15-13*$AF$10),0)</f>
        <v>14176.22</v>
      </c>
      <c r="X59" s="125" cm="1">
        <f t="array" aca="1" ref="X59" ca="1">IF($C59="S",IF(OR(Import.TipoArredondamento&lt;&gt;"TransfereGOV",ACOMPANHAMENTO="BM"),VTOTAL1,SUM(OFFSET(CÁLCULO!$AA$15,ROW($X59)-ROW($X$15),1):OFFSET(CÁLCULO!$AL$15,ROW($X59)-ROW($X$15),-1))),IF($C59=0,0,ROUND(SomaAgrup,15-13*$AF$11)))</f>
        <v>14176.22</v>
      </c>
      <c r="Y59" s="126" t="s">
        <v>751</v>
      </c>
      <c r="Z59" t="str">
        <f t="shared" ca="1" si="27"/>
        <v>RA</v>
      </c>
      <c r="AA59" s="127" cm="1">
        <f t="array" aca="1" ref="AA59" ca="1">IF($C59="S",IF($Z59="CP",$X59,IF($Z59="RA",(($X59)*QCI!$AA$3),0)),SomaAgrup)</f>
        <v>0</v>
      </c>
      <c r="AB59" s="128" cm="1">
        <f t="array" aca="1" ref="AB59" ca="1">IF($C59="S",IF($Z59="OU",ROUND($X59,2),0),SomaAgrup)</f>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CÓDIGO N/ID</v>
      </c>
      <c r="AD59" t="str">
        <f ca="1">IF(C59&lt;=CRONO.NivelExibicao,MAX($AD$15:OFFSET(AD59,-1,0))+IF($C59&lt;&gt;1,1,MAX(1,COUNTIF(QCI!$A$13:$A$15,OFFSET($E59,-1,0)))),"")</f>
        <v/>
      </c>
      <c r="AE59" s="7" t="str" cm="1">
        <f t="array" aca="1" ref="AE59" ca="1">IF(AND($C59="S",ORÇAMENTO.CodBarra&lt;&gt;""),IF(ORÇAMENTO.Fonte="",ORÇAMENTO.CodBarra,CONCATENATE(ORÇAMENTO.Fonte," ",ORÇAMENTO.CodBarra)))</f>
        <v>SEINFRA ED-50133</v>
      </c>
      <c r="AF59" s="12" t="str"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(Código não identificado nas referências)</v>
      </c>
      <c r="AG59" s="428" cm="1">
        <f t="array" aca="1" ref="AG59" ca="1">ROUND(IF(DESONERACAO="sim",REFERENCIA.Desonerado,REFERENCIA.NaoDesonerado),2)</f>
        <v>0</v>
      </c>
      <c r="AH59" s="429">
        <f t="shared" ca="1" si="16"/>
        <v>0.2485</v>
      </c>
      <c r="AJ59" s="431"/>
      <c r="AL59" s="439"/>
      <c r="AM59" s="336">
        <f t="shared" ca="1" si="0"/>
        <v>14176.22</v>
      </c>
      <c r="AN59" s="470" cm="1">
        <f t="array" aca="1" ref="AN59" ca="1">ROUND(ORÇAMENTO.CustoUnitario*(1+$AH59),2)</f>
        <v>14176.22</v>
      </c>
    </row>
    <row r="60" spans="1:40" ht="51" x14ac:dyDescent="0.2">
      <c r="A60" t="str">
        <f t="shared" si="15"/>
        <v>S</v>
      </c>
      <c r="B60">
        <f t="shared" ca="1" si="17"/>
        <v>3</v>
      </c>
      <c r="C60" t="str">
        <f t="shared" ca="1" si="18"/>
        <v>S</v>
      </c>
      <c r="D60">
        <f t="shared" ca="1" si="19"/>
        <v>0</v>
      </c>
      <c r="E60">
        <f ca="1">IF($C60=1,OFFSET(E60,-1,0)+MAX(1,COUNTIF(QCI!$A$13:$A$15,OFFSET(ORÇAMENTO!E60,-1,0))),OFFSET(E60,-1,0))</f>
        <v>1</v>
      </c>
      <c r="F60">
        <f t="shared" ca="1" si="20"/>
        <v>2</v>
      </c>
      <c r="G60">
        <f t="shared" ca="1" si="21"/>
        <v>4</v>
      </c>
      <c r="H60">
        <f t="shared" ca="1" si="22"/>
        <v>0</v>
      </c>
      <c r="I60">
        <f t="shared" ca="1" si="23"/>
        <v>5</v>
      </c>
      <c r="J60">
        <f t="shared" ca="1" si="28"/>
        <v>0</v>
      </c>
      <c r="K60">
        <f ca="1">IF(OR($C60="S",$C60=0),0,MATCH(OFFSET($D60,0,$C60)+IF($C60&lt;&gt;1,1,COUNTIF(QCI!$A$13:$A$15,ORÇAMENTO!E60)),OFFSET($D60,1,$C60,ROW($C$93)-ROW($C60)),0))</f>
        <v>0</v>
      </c>
      <c r="L60" s="114" t="str">
        <f t="shared" ca="1" si="24"/>
        <v>F</v>
      </c>
      <c r="M60" s="115" t="s">
        <v>705</v>
      </c>
      <c r="N60" s="116" t="str">
        <f t="shared" ca="1" si="25"/>
        <v>Serviço</v>
      </c>
      <c r="O60" s="117" t="str">
        <f t="shared" ca="1" si="26"/>
        <v>1.2.4.5.</v>
      </c>
      <c r="P60" s="118" t="s">
        <v>1020</v>
      </c>
      <c r="Q60" s="119" t="s">
        <v>1060</v>
      </c>
      <c r="R60" s="120" t="str" cm="1">
        <f t="array" aca="1" ref="R60" ca="1">IF($C60="S",REFERENCIA.Descricao,"(digite a descrição aqui)")</f>
        <v>(Código não identificado nas referências)</v>
      </c>
      <c r="S60" s="121" t="s">
        <v>639</v>
      </c>
      <c r="T60" s="122">
        <f ca="1">OFFSET(CÁLCULO!H$15,ROW($T60)-ROW(T$15),0)</f>
        <v>1</v>
      </c>
      <c r="U60" s="123">
        <v>31249.48</v>
      </c>
      <c r="V60" s="124" t="s">
        <v>663</v>
      </c>
      <c r="W60" s="122" cm="1">
        <f t="array" aca="1" ref="W60" ca="1">IF($C60="S",ROUND(IF(TIPOORCAMENTO="Proposto",ORÇAMENTO.CustoUnitario*(1+$AH60),ORÇAMENTO.PrecoUnitarioLicitado),15-13*$AF$10),0)</f>
        <v>39014.980000000003</v>
      </c>
      <c r="X60" s="125" cm="1">
        <f t="array" aca="1" ref="X60" ca="1">IF($C60="S",IF(OR(Import.TipoArredondamento&lt;&gt;"TransfereGOV",ACOMPANHAMENTO="BM"),VTOTAL1,SUM(OFFSET(CÁLCULO!$AA$15,ROW($X60)-ROW($X$15),1):OFFSET(CÁLCULO!$AL$15,ROW($X60)-ROW($X$15),-1))),IF($C60=0,0,ROUND(SomaAgrup,15-13*$AF$11)))</f>
        <v>39014.980000000003</v>
      </c>
      <c r="Y60" s="126" t="s">
        <v>751</v>
      </c>
      <c r="Z60" t="str">
        <f t="shared" ca="1" si="27"/>
        <v>RA</v>
      </c>
      <c r="AA60" s="127" cm="1">
        <f t="array" aca="1" ref="AA60" ca="1">IF($C60="S",IF($Z60="CP",$X60,IF($Z60="RA",(($X60)*QCI!$AA$3),0)),SomaAgrup)</f>
        <v>0</v>
      </c>
      <c r="AB60" s="128" cm="1">
        <f t="array" aca="1" ref="AB60" ca="1">IF($C60="S",IF($Z60="OU",ROUND($X60,2),0),SomaAgrup)</f>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CÓDIGO N/ID</v>
      </c>
      <c r="AD60" t="str">
        <f ca="1">IF(C60&lt;=CRONO.NivelExibicao,MAX($AD$15:OFFSET(AD60,-1,0))+IF($C60&lt;&gt;1,1,MAX(1,COUNTIF(QCI!$A$13:$A$15,OFFSET($E60,-1,0)))),"")</f>
        <v/>
      </c>
      <c r="AE60" s="7" t="str" cm="1">
        <f t="array" aca="1" ref="AE60" ca="1">IF(AND($C60="S",ORÇAMENTO.CodBarra&lt;&gt;""),IF(ORÇAMENTO.Fonte="",ORÇAMENTO.CodBarra,CONCATENATE(ORÇAMENTO.Fonte," ",ORÇAMENTO.CodBarra)))</f>
        <v>SEINFRA ED-50127</v>
      </c>
      <c r="AF60" s="12" t="str"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(Código não identificado nas referências)</v>
      </c>
      <c r="AG60" s="428" cm="1">
        <f t="array" aca="1" ref="AG60" ca="1">ROUND(IF(DESONERACAO="sim",REFERENCIA.Desonerado,REFERENCIA.NaoDesonerado),2)</f>
        <v>0</v>
      </c>
      <c r="AH60" s="429">
        <f t="shared" ca="1" si="16"/>
        <v>0.2485</v>
      </c>
      <c r="AJ60" s="431"/>
      <c r="AL60" s="439"/>
      <c r="AM60" s="336">
        <f t="shared" ca="1" si="0"/>
        <v>39014.980000000003</v>
      </c>
      <c r="AN60" s="470" cm="1">
        <f t="array" aca="1" ref="AN60" ca="1">ROUND(ORÇAMENTO.CustoUnitario*(1+$AH60),2)</f>
        <v>39014.980000000003</v>
      </c>
    </row>
    <row r="61" spans="1:40" x14ac:dyDescent="0.2">
      <c r="A61">
        <f t="shared" si="1"/>
        <v>2</v>
      </c>
      <c r="B61">
        <f t="shared" ca="1" si="2"/>
        <v>2</v>
      </c>
      <c r="C61">
        <f t="shared" ca="1" si="3"/>
        <v>2</v>
      </c>
      <c r="D61">
        <f t="shared" ca="1" si="4"/>
        <v>5</v>
      </c>
      <c r="E61">
        <f ca="1">IF($C61=1,OFFSET(E61,-1,0)+MAX(1,COUNTIF(QCI!$A$13:$A$15,OFFSET(ORÇAMENTO!E61,-1,0))),OFFSET(E61,-1,0))</f>
        <v>1</v>
      </c>
      <c r="F61">
        <f t="shared" ca="1" si="5"/>
        <v>3</v>
      </c>
      <c r="G61">
        <f t="shared" ca="1" si="6"/>
        <v>0</v>
      </c>
      <c r="H61">
        <f t="shared" ca="1" si="7"/>
        <v>0</v>
      </c>
      <c r="I61">
        <f t="shared" ca="1" si="8"/>
        <v>0</v>
      </c>
      <c r="J61">
        <f t="shared" ca="1" si="28"/>
        <v>32</v>
      </c>
      <c r="K61">
        <f ca="1">IF(OR($C61="S",$C61=0),0,MATCH(OFFSET($D61,0,$C61)+IF($C61&lt;&gt;1,1,COUNTIF(QCI!$A$13:$A$15,ORÇAMENTO!E61)),OFFSET($D61,1,$C61,ROW($C$93)-ROW($C61)),0))</f>
        <v>5</v>
      </c>
      <c r="L61" s="114" t="str">
        <f t="shared" ca="1" si="10"/>
        <v>F</v>
      </c>
      <c r="M61" s="115" t="s">
        <v>702</v>
      </c>
      <c r="N61" s="116" t="str">
        <f t="shared" ca="1" si="11"/>
        <v>Nível 2</v>
      </c>
      <c r="O61" s="117" t="str">
        <f t="shared" ca="1" si="12"/>
        <v>1.3.</v>
      </c>
      <c r="P61" s="118" t="s">
        <v>750</v>
      </c>
      <c r="Q61" s="119"/>
      <c r="R61" s="120" t="s">
        <v>1061</v>
      </c>
      <c r="S61" s="121" t="str" cm="1">
        <f t="array" aca="1" ref="S61" ca="1">REFERENCIA.Unidade</f>
        <v>-</v>
      </c>
      <c r="T61" s="122">
        <f ca="1">OFFSET(CÁLCULO!H$15,ROW($T61)-ROW(T$15),0)</f>
        <v>0</v>
      </c>
      <c r="U61" s="123"/>
      <c r="V61" s="124" t="s">
        <v>663</v>
      </c>
      <c r="W61" s="122" cm="1">
        <f t="array" aca="1" ref="W61" ca="1">IF($C61="S",ROUND(IF(TIPOORCAMENTO="Proposto",ORÇAMENTO.CustoUnitario*(1+$AH61),ORÇAMENTO.PrecoUnitarioLicitado),15-13*$AF$10),0)</f>
        <v>0</v>
      </c>
      <c r="X61" s="125" cm="1">
        <f t="array" aca="1" ref="X61" ca="1">IF($C61="S",IF(OR(Import.TipoArredondamento&lt;&gt;"TransfereGOV",ACOMPANHAMENTO="BM"),VTOTAL1,SUM(OFFSET(CÁLCULO!$AA$15,ROW($X61)-ROW($X$15),1):OFFSET(CÁLCULO!$AL$15,ROW($X61)-ROW($X$15),-1))),IF($C61=0,0,ROUND(SomaAgrup,15-13*$AF$11)))</f>
        <v>188394.17</v>
      </c>
      <c r="Y61" s="126" t="s">
        <v>751</v>
      </c>
      <c r="Z61" t="str">
        <f t="shared" ca="1" si="13"/>
        <v/>
      </c>
      <c r="AA61" s="127" cm="1">
        <f t="array" aca="1" ref="AA61" ca="1">IF($C61="S",IF($Z61="CP",$X61,IF($Z61="RA",(($X61)*QCI!$AA$3),0)),SomaAgrup)</f>
        <v>0</v>
      </c>
      <c r="AB61" s="128" cm="1">
        <f t="array" aca="1" ref="AB61" ca="1">IF($C61="S",IF($Z61="OU",ROUND($X61,2),0),SomaAgrup)</f>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f ca="1">IF(C61&lt;=CRONO.NivelExibicao,MAX($AD$15:OFFSET(AD61,-1,0))+IF($C61&lt;&gt;1,1,MAX(1,COUNTIF(QCI!$A$13:$A$15,OFFSET($E61,-1,0)))),"")</f>
        <v>4</v>
      </c>
      <c r="AE61" s="7" t="b" cm="1">
        <f t="array" aca="1" ref="AE61" ca="1">IF(AND($C61="S",ORÇAMENTO.CodBarra&lt;&gt;""),IF(ORÇAMENTO.Fonte="",ORÇAMENTO.CodBarra,CONCATENATE(ORÇAMENTO.Fonte," ",ORÇAMENTO.CodBarra)))</f>
        <v>0</v>
      </c>
      <c r="AF61" s="12" t="str"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(Sem Código)</v>
      </c>
      <c r="AG61" s="428" cm="1">
        <f t="array" aca="1" ref="AG61" ca="1">ROUND(IF(DESONERACAO="sim",REFERENCIA.Desonerado,REFERENCIA.NaoDesonerado),2)</f>
        <v>0</v>
      </c>
      <c r="AH61" s="429">
        <f t="shared" ca="1" si="14"/>
        <v>0.2485</v>
      </c>
      <c r="AJ61" s="431"/>
      <c r="AL61" s="439"/>
      <c r="AM61" s="336">
        <f t="shared" ca="1" si="0"/>
        <v>188394.17</v>
      </c>
      <c r="AN61" s="470" cm="1">
        <f t="array" aca="1" ref="AN61" ca="1">ROUND(ORÇAMENTO.CustoUnitario*(1+$AH61),2)</f>
        <v>0</v>
      </c>
    </row>
    <row r="62" spans="1:40" x14ac:dyDescent="0.2">
      <c r="A62">
        <f>CHOOSE(1+LOG(1+2*(ORÇAMENTO.Nivel="Meta")+4*(ORÇAMENTO.Nivel="Nível 2")+8*(ORÇAMENTO.Nivel="Nível 3")+16*(ORÇAMENTO.Nivel="Nível 4")+32*(ORÇAMENTO.Nivel="Serviço"),2),0,1,2,3,4,"S")</f>
        <v>3</v>
      </c>
      <c r="B62">
        <f ca="1">IF(OR(C62="s",C62=0),OFFSET(B62,-1,0),C62)</f>
        <v>3</v>
      </c>
      <c r="C62">
        <f ca="1">IF(OFFSET(C62,-1,0)="L",1,IF(OFFSET(C62,-1,0)=1,2,IF(OR(A62="s",A62=0),"S",IF(AND(OFFSET(C62,-1,0)=2,A62=4),3,IF(AND(OR(OFFSET(C62,-1,0)="s",OFFSET(C62,-1,0)=0),A62&lt;&gt;"s",A62&gt;OFFSET(B62,-1,0)),OFFSET(B62,-1,0),A62)))))</f>
        <v>3</v>
      </c>
      <c r="D62">
        <f ca="1">IF(OR(C62="S",C62=0),0,IF(ISERROR(K62),J62,SMALL(J62:K62,1)))</f>
        <v>4</v>
      </c>
      <c r="E62">
        <f ca="1">IF($C62=1,OFFSET(E62,-1,0)+MAX(1,COUNTIF(QCI!$A$13:$A$15,OFFSET(ORÇAMENTO!E62,-1,0))),OFFSET(E62,-1,0))</f>
        <v>1</v>
      </c>
      <c r="F62">
        <f ca="1">IF($C62=1,0,IF($C62=2,OFFSET(F62,-1,0)+1,OFFSET(F62,-1,0)))</f>
        <v>3</v>
      </c>
      <c r="G62">
        <f ca="1">IF(AND($C62&lt;=2,$C62&lt;&gt;0),0,IF($C62=3,OFFSET(G62,-1,0)+1,OFFSET(G62,-1,0)))</f>
        <v>1</v>
      </c>
      <c r="H62">
        <f ca="1">IF(AND($C62&lt;=3,$C62&lt;&gt;0),0,IF($C62=4,OFFSET(H62,-1,0)+1,OFFSET(H62,-1,0)))</f>
        <v>0</v>
      </c>
      <c r="I62">
        <f ca="1">IF(AND($C62&lt;=4,$C62&lt;&gt;0),0,IF(AND($C62="S",$X62&gt;0),OFFSET(I62,-1,0)+1,OFFSET(I62,-1,0)))</f>
        <v>0</v>
      </c>
      <c r="J62">
        <f t="shared" ca="1" si="28"/>
        <v>4</v>
      </c>
      <c r="K62">
        <f ca="1">IF(OR($C62="S",$C62=0),0,MATCH(OFFSET($D62,0,$C62)+IF($C62&lt;&gt;1,1,COUNTIF(QCI!$A$13:$A$15,ORÇAMENTO!E62)),OFFSET($D62,1,$C62,ROW($C$93)-ROW($C62)),0))</f>
        <v>21</v>
      </c>
      <c r="L62" s="114" t="str">
        <f ca="1">IF(OR($X62&gt;0,$C62=1,$C62=2,$C62=3,$C62=4),"F","")</f>
        <v>F</v>
      </c>
      <c r="M62" s="115" t="s">
        <v>703</v>
      </c>
      <c r="N62" s="116" t="str">
        <f ca="1">CHOOSE(1+LOG(1+2*(C62=1)+4*(C62=2)+8*(C62=3)+16*(C62=4)+32*(C62="S"),2),"","Meta","Nível 2","Nível 3","Nível 4","Serviço")</f>
        <v>Nível 3</v>
      </c>
      <c r="O62" s="117" t="str">
        <f ca="1">IF(OR($C62=0,$L62=""),"-",CONCATENATE(E62&amp;".",IF(AND($A$5&gt;=2,$C62&gt;=2),F62&amp;".",""),IF(AND($A$5&gt;=3,$C62&gt;=3),G62&amp;".",""),IF(AND($A$5&gt;=4,$C62&gt;=4),H62&amp;".",""),IF($C62="S",I62&amp;".","")))</f>
        <v>1.3.1.</v>
      </c>
      <c r="P62" s="118" t="s">
        <v>750</v>
      </c>
      <c r="Q62" s="119"/>
      <c r="R62" s="120" t="str">
        <f ca="1">IF($C62="S",REFERENCIA.Descricao,"Administração local da obra")</f>
        <v>Administração local da obra</v>
      </c>
      <c r="S62" s="121" t="str" cm="1">
        <f t="array" aca="1" ref="S62" ca="1">REFERENCIA.Unidade</f>
        <v>-</v>
      </c>
      <c r="T62" s="122">
        <f ca="1">OFFSET(CÁLCULO!H$15,ROW($T62)-ROW(T$15),0)</f>
        <v>0</v>
      </c>
      <c r="U62" s="123"/>
      <c r="V62" s="124" t="s">
        <v>663</v>
      </c>
      <c r="W62" s="122" cm="1">
        <f t="array" aca="1" ref="W62" ca="1">IF($C62="S",ROUND(IF(TIPOORCAMENTO="Proposto",ORÇAMENTO.CustoUnitario*(1+$AH62),ORÇAMENTO.PrecoUnitarioLicitado),15-13*$AF$10),0)</f>
        <v>0</v>
      </c>
      <c r="X62" s="125" cm="1">
        <f t="array" aca="1" ref="X62" ca="1">IF($C62="S",IF(OR(Import.TipoArredondamento&lt;&gt;"TransfereGOV",ACOMPANHAMENTO="BM"),VTOTAL1,SUM(OFFSET(CÁLCULO!$AA$15,ROW($X62)-ROW($X$15),1):OFFSET(CÁLCULO!$AL$15,ROW($X62)-ROW($X$15),-1))),IF($C62=0,0,ROUND(SomaAgrup,15-13*$AF$11)))</f>
        <v>188394.17</v>
      </c>
      <c r="Y62" s="126" t="s">
        <v>751</v>
      </c>
      <c r="Z62" t="str">
        <f ca="1">IF(AND($C62="S",$X62&gt;0),IF(ISBLANK($Y62),"RA",LEFT($Y62,2)),"")</f>
        <v/>
      </c>
      <c r="AA62" s="127" cm="1">
        <f t="array" aca="1" ref="AA62" ca="1">IF($C62="S",IF($Z62="CP",$X62,IF($Z62="RA",(($X62)*QCI!$AA$3),0)),SomaAgrup)</f>
        <v>0</v>
      </c>
      <c r="AB62" s="128" cm="1">
        <f t="array" aca="1" ref="AB62" ca="1">IF($C62="S",IF($Z62="OU",ROUND($X62,2),0),SomaAgrup)</f>
        <v>0</v>
      </c>
      <c r="AC62" s="565"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t="str">
        <f ca="1">IF(C62&lt;=CRONO.NivelExibicao,MAX($AD$15:OFFSET(AD62,-1,0))+IF($C62&lt;&gt;1,1,MAX(1,COUNTIF(QCI!$A$13:$A$15,OFFSET($E62,-1,0)))),"")</f>
        <v/>
      </c>
      <c r="AE62" s="7" t="b" cm="1">
        <f t="array" aca="1" ref="AE62" ca="1">IF(AND($C62="S",ORÇAMENTO.CodBarra&lt;&gt;""),IF(ORÇAMENTO.Fonte="",ORÇAMENTO.CodBarra,CONCATENATE(ORÇAMENTO.Fonte," ",ORÇAMENTO.CodBarra)))</f>
        <v>0</v>
      </c>
      <c r="AF62" s="12" t="str"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(Sem Código)</v>
      </c>
      <c r="AG62" s="428" cm="1">
        <f t="array" aca="1" ref="AG62" ca="1">ROUND(IF(DESONERACAO="sim",REFERENCIA.Desonerado,REFERENCIA.NaoDesonerado),2)</f>
        <v>0</v>
      </c>
      <c r="AH62" s="429">
        <f ca="1">ROUND(IF(ISNUMBER(ORÇAMENTO.OpcaoBDI),ORÇAMENTO.OpcaoBDI,IF(LEFT(ORÇAMENTO.OpcaoBDI,3)="BDI",HLOOKUP(ORÇAMENTO.OpcaoBDI,$F$4:$H$5,2,FALSE),0)),15-11*$AF$9)</f>
        <v>0.2485</v>
      </c>
      <c r="AJ62" s="431"/>
      <c r="AL62" s="439"/>
      <c r="AM62" s="336">
        <f t="shared" ca="1" si="0"/>
        <v>188394.17</v>
      </c>
      <c r="AN62" s="470" cm="1">
        <f t="array" aca="1" ref="AN62" ca="1">ROUND(ORÇAMENTO.CustoUnitario*(1+$AH62),2)</f>
        <v>0</v>
      </c>
    </row>
    <row r="63" spans="1:40" ht="25.5" x14ac:dyDescent="0.2">
      <c r="A63" t="str">
        <f t="shared" si="1"/>
        <v>S</v>
      </c>
      <c r="B63">
        <f t="shared" ca="1" si="2"/>
        <v>3</v>
      </c>
      <c r="C63" t="str">
        <f t="shared" ca="1" si="3"/>
        <v>S</v>
      </c>
      <c r="D63">
        <f t="shared" ca="1" si="4"/>
        <v>0</v>
      </c>
      <c r="E63">
        <f ca="1">IF($C63=1,OFFSET(E63,-1,0)+MAX(1,COUNTIF(QCI!$A$13:$A$15,OFFSET(ORÇAMENTO!E63,-1,0))),OFFSET(E63,-1,0))</f>
        <v>1</v>
      </c>
      <c r="F63">
        <f t="shared" ca="1" si="5"/>
        <v>3</v>
      </c>
      <c r="G63">
        <f t="shared" ca="1" si="6"/>
        <v>1</v>
      </c>
      <c r="H63">
        <f t="shared" ca="1" si="7"/>
        <v>0</v>
      </c>
      <c r="I63">
        <f t="shared" ca="1" si="8"/>
        <v>1</v>
      </c>
      <c r="J63">
        <f t="shared" ca="1" si="28"/>
        <v>0</v>
      </c>
      <c r="K63">
        <f ca="1">IF(OR($C63="S",$C63=0),0,MATCH(OFFSET($D63,0,$C63)+IF($C63&lt;&gt;1,1,COUNTIF(QCI!$A$13:$A$15,ORÇAMENTO!E63)),OFFSET($D63,1,$C63,ROW($C$93)-ROW($C63)),0))</f>
        <v>0</v>
      </c>
      <c r="L63" s="114" t="str">
        <f t="shared" ca="1" si="10"/>
        <v>F</v>
      </c>
      <c r="M63" s="115" t="s">
        <v>705</v>
      </c>
      <c r="N63" s="116" t="str">
        <f t="shared" ca="1" si="11"/>
        <v>Serviço</v>
      </c>
      <c r="O63" s="117" t="str">
        <f t="shared" ca="1" si="12"/>
        <v>1.3.1.1.</v>
      </c>
      <c r="P63" s="118" t="s">
        <v>750</v>
      </c>
      <c r="Q63" s="119">
        <v>90779</v>
      </c>
      <c r="R63" s="120" t="str" cm="1">
        <f t="array" aca="1" ref="R63" ca="1">IF($C63="S",REFERENCIA.Descricao,"(digite a descrição aqui)")</f>
        <v>(Código não identificado nas referências)</v>
      </c>
      <c r="S63" s="121" t="str" cm="1">
        <f t="array" aca="1" ref="S63" ca="1">REFERENCIA.Unidade</f>
        <v>-</v>
      </c>
      <c r="T63" s="122">
        <f ca="1">OFFSET(CÁLCULO!H$15,ROW($T63)-ROW(T$15),0)</f>
        <v>215.99999999999997</v>
      </c>
      <c r="U63" s="123">
        <v>169.23</v>
      </c>
      <c r="V63" s="124" t="s">
        <v>663</v>
      </c>
      <c r="W63" s="122" cm="1">
        <f t="array" aca="1" ref="W63" ca="1">IF($C63="S",ROUND(IF(TIPOORCAMENTO="Proposto",ORÇAMENTO.CustoUnitario*(1+$AH63),ORÇAMENTO.PrecoUnitarioLicitado),15-13*$AF$10),0)</f>
        <v>211.28</v>
      </c>
      <c r="X63" s="125" cm="1">
        <f t="array" aca="1" ref="X63" ca="1">IF($C63="S",IF(OR(Import.TipoArredondamento&lt;&gt;"TransfereGOV",ACOMPANHAMENTO="BM"),VTOTAL1,SUM(OFFSET(CÁLCULO!$AA$15,ROW($X63)-ROW($X$15),1):OFFSET(CÁLCULO!$AL$15,ROW($X63)-ROW($X$15),-1))),IF($C63=0,0,ROUND(SomaAgrup,15-13*$AF$11)))</f>
        <v>45636.480000000003</v>
      </c>
      <c r="Y63" s="126" t="s">
        <v>751</v>
      </c>
      <c r="Z63" t="str">
        <f t="shared" ca="1" si="13"/>
        <v>RA</v>
      </c>
      <c r="AA63" s="127" cm="1">
        <f t="array" aca="1" ref="AA63" ca="1">IF($C63="S",IF($Z63="CP",$X63,IF($Z63="RA",(($X63)*QCI!$AA$3),0)),SomaAgrup)</f>
        <v>0</v>
      </c>
      <c r="AB63" s="128" cm="1">
        <f t="array" aca="1" ref="AB63" ca="1">IF($C63="S",IF($Z63="OU",ROUND($X63,2),0),SomaAgrup)</f>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CÓDIGO N/ID</v>
      </c>
      <c r="AD63" t="str">
        <f ca="1">IF(C63&lt;=CRONO.NivelExibicao,MAX($AD$15:OFFSET(AD63,-1,0))+IF($C63&lt;&gt;1,1,MAX(1,COUNTIF(QCI!$A$13:$A$15,OFFSET($E63,-1,0)))),"")</f>
        <v/>
      </c>
      <c r="AE63" s="7" t="str" cm="1">
        <f t="array" aca="1" ref="AE63" ca="1">IF(AND($C63="S",ORÇAMENTO.CodBarra&lt;&gt;""),IF(ORÇAMENTO.Fonte="",ORÇAMENTO.CodBarra,CONCATENATE(ORÇAMENTO.Fonte," ",ORÇAMENTO.CodBarra)))</f>
        <v>SINAPI 90779</v>
      </c>
      <c r="AF63" s="12" t="str"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(Código não identificado nas referências)</v>
      </c>
      <c r="AG63" s="428" cm="1">
        <f t="array" aca="1" ref="AG63" ca="1">ROUND(IF(DESONERACAO="sim",REFERENCIA.Desonerado,REFERENCIA.NaoDesonerado),2)</f>
        <v>0</v>
      </c>
      <c r="AH63" s="429">
        <f t="shared" ca="1" si="14"/>
        <v>0.2485</v>
      </c>
      <c r="AJ63" s="431"/>
      <c r="AL63" s="439"/>
      <c r="AM63" s="336">
        <f t="shared" ca="1" si="0"/>
        <v>45636.480000000003</v>
      </c>
      <c r="AN63" s="470" cm="1">
        <f t="array" aca="1" ref="AN63" ca="1">ROUND(ORÇAMENTO.CustoUnitario*(1+$AH63),2)</f>
        <v>211.28</v>
      </c>
    </row>
    <row r="64" spans="1:40" x14ac:dyDescent="0.2">
      <c r="A64" t="str">
        <f t="shared" si="1"/>
        <v>S</v>
      </c>
      <c r="B64">
        <f t="shared" ca="1" si="2"/>
        <v>3</v>
      </c>
      <c r="C64" t="str">
        <f t="shared" ca="1" si="3"/>
        <v>S</v>
      </c>
      <c r="D64">
        <f t="shared" ca="1" si="4"/>
        <v>0</v>
      </c>
      <c r="E64">
        <f ca="1">IF($C64=1,OFFSET(E64,-1,0)+MAX(1,COUNTIF(QCI!$A$13:$A$15,OFFSET(ORÇAMENTO!E64,-1,0))),OFFSET(E64,-1,0))</f>
        <v>1</v>
      </c>
      <c r="F64">
        <f t="shared" ca="1" si="5"/>
        <v>3</v>
      </c>
      <c r="G64">
        <f t="shared" ca="1" si="6"/>
        <v>1</v>
      </c>
      <c r="H64">
        <f t="shared" ca="1" si="7"/>
        <v>0</v>
      </c>
      <c r="I64">
        <f t="shared" ca="1" si="8"/>
        <v>2</v>
      </c>
      <c r="J64">
        <f t="shared" ca="1" si="28"/>
        <v>0</v>
      </c>
      <c r="K64">
        <f ca="1">IF(OR($C64="S",$C64=0),0,MATCH(OFFSET($D64,0,$C64)+IF($C64&lt;&gt;1,1,COUNTIF(QCI!$A$13:$A$15,ORÇAMENTO!E64)),OFFSET($D64,1,$C64,ROW($C$93)-ROW($C64)),0))</f>
        <v>0</v>
      </c>
      <c r="L64" s="114" t="str">
        <f t="shared" ca="1" si="10"/>
        <v>F</v>
      </c>
      <c r="M64" s="115" t="s">
        <v>705</v>
      </c>
      <c r="N64" s="116" t="str">
        <f t="shared" ca="1" si="11"/>
        <v>Serviço</v>
      </c>
      <c r="O64" s="117" t="str">
        <f t="shared" ca="1" si="12"/>
        <v>1.3.1.2.</v>
      </c>
      <c r="P64" s="118" t="s">
        <v>750</v>
      </c>
      <c r="Q64" s="119">
        <v>100534</v>
      </c>
      <c r="R64" s="120" t="str" cm="1">
        <f t="array" aca="1" ref="R64" ca="1">IF($C64="S",REFERENCIA.Descricao,"(digite a descrição aqui)")</f>
        <v>(Código não identificado nas referências)</v>
      </c>
      <c r="S64" s="121" t="str" cm="1">
        <f t="array" aca="1" ref="S64" ca="1">REFERENCIA.Unidade</f>
        <v>-</v>
      </c>
      <c r="T64" s="122">
        <f ca="1">OFFSET(CÁLCULO!H$15,ROW($T64)-ROW(T$15),0)</f>
        <v>10</v>
      </c>
      <c r="U64" s="123">
        <v>6809.12</v>
      </c>
      <c r="V64" s="124" t="s">
        <v>663</v>
      </c>
      <c r="W64" s="122" cm="1">
        <f t="array" aca="1" ref="W64" ca="1">IF($C64="S",ROUND(IF(TIPOORCAMENTO="Proposto",ORÇAMENTO.CustoUnitario*(1+$AH64),ORÇAMENTO.PrecoUnitarioLicitado),15-13*$AF$10),0)</f>
        <v>8501.19</v>
      </c>
      <c r="X64" s="125" cm="1">
        <f t="array" aca="1" ref="X64" ca="1">IF($C64="S",IF(OR(Import.TipoArredondamento&lt;&gt;"TransfereGOV",ACOMPANHAMENTO="BM"),VTOTAL1,SUM(OFFSET(CÁLCULO!$AA$15,ROW($X64)-ROW($X$15),1):OFFSET(CÁLCULO!$AL$15,ROW($X64)-ROW($X$15),-1))),IF($C64=0,0,ROUND(SomaAgrup,15-13*$AF$11)))</f>
        <v>85011.890000000014</v>
      </c>
      <c r="Y64" s="126" t="s">
        <v>751</v>
      </c>
      <c r="Z64" t="str">
        <f t="shared" ca="1" si="13"/>
        <v>RA</v>
      </c>
      <c r="AA64" s="127" cm="1">
        <f t="array" aca="1" ref="AA64" ca="1">IF($C64="S",IF($Z64="CP",$X64,IF($Z64="RA",(($X64)*QCI!$AA$3),0)),SomaAgrup)</f>
        <v>0</v>
      </c>
      <c r="AB64" s="128" cm="1">
        <f t="array" aca="1" ref="AB64" ca="1">IF($C64="S",IF($Z64="OU",ROUND($X64,2),0),SomaAgrup)</f>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CÓDIGO N/ID</v>
      </c>
      <c r="AD64" t="str">
        <f ca="1">IF(C64&lt;=CRONO.NivelExibicao,MAX($AD$15:OFFSET(AD64,-1,0))+IF($C64&lt;&gt;1,1,MAX(1,COUNTIF(QCI!$A$13:$A$15,OFFSET($E64,-1,0)))),"")</f>
        <v/>
      </c>
      <c r="AE64" s="7" t="str" cm="1">
        <f t="array" aca="1" ref="AE64" ca="1">IF(AND($C64="S",ORÇAMENTO.CodBarra&lt;&gt;""),IF(ORÇAMENTO.Fonte="",ORÇAMENTO.CodBarra,CONCATENATE(ORÇAMENTO.Fonte," ",ORÇAMENTO.CodBarra)))</f>
        <v>SINAPI 100534</v>
      </c>
      <c r="AF64" s="12" t="str"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(Código não identificado nas referências)</v>
      </c>
      <c r="AG64" s="428" cm="1">
        <f t="array" aca="1" ref="AG64" ca="1">ROUND(IF(DESONERACAO="sim",REFERENCIA.Desonerado,REFERENCIA.NaoDesonerado),2)</f>
        <v>0</v>
      </c>
      <c r="AH64" s="429">
        <f t="shared" ca="1" si="14"/>
        <v>0.2485</v>
      </c>
      <c r="AJ64" s="431"/>
      <c r="AL64" s="439"/>
      <c r="AM64" s="336">
        <f t="shared" ca="1" si="0"/>
        <v>85011.890000000014</v>
      </c>
      <c r="AN64" s="470" cm="1">
        <f t="array" aca="1" ref="AN64" ca="1">ROUND(ORÇAMENTO.CustoUnitario*(1+$AH64),2)</f>
        <v>8501.19</v>
      </c>
    </row>
    <row r="65" spans="1:40" ht="25.5" x14ac:dyDescent="0.2">
      <c r="A65" t="str">
        <f t="shared" si="1"/>
        <v>S</v>
      </c>
      <c r="B65">
        <f t="shared" ca="1" si="2"/>
        <v>3</v>
      </c>
      <c r="C65" t="str">
        <f t="shared" ca="1" si="3"/>
        <v>S</v>
      </c>
      <c r="D65">
        <f t="shared" ca="1" si="4"/>
        <v>0</v>
      </c>
      <c r="E65">
        <f ca="1">IF($C65=1,OFFSET(E65,-1,0)+MAX(1,COUNTIF(QCI!$A$13:$A$15,OFFSET(ORÇAMENTO!E65,-1,0))),OFFSET(E65,-1,0))</f>
        <v>1</v>
      </c>
      <c r="F65">
        <f t="shared" ca="1" si="5"/>
        <v>3</v>
      </c>
      <c r="G65">
        <f t="shared" ca="1" si="6"/>
        <v>1</v>
      </c>
      <c r="H65">
        <f t="shared" ca="1" si="7"/>
        <v>0</v>
      </c>
      <c r="I65">
        <f t="shared" ca="1" si="8"/>
        <v>3</v>
      </c>
      <c r="J65">
        <f t="shared" ca="1" si="28"/>
        <v>0</v>
      </c>
      <c r="K65">
        <f ca="1">IF(OR($C65="S",$C65=0),0,MATCH(OFFSET($D65,0,$C65)+IF($C65&lt;&gt;1,1,COUNTIF(QCI!$A$13:$A$15,ORÇAMENTO!E65)),OFFSET($D65,1,$C65,ROW($C$93)-ROW($C65)),0))</f>
        <v>0</v>
      </c>
      <c r="L65" s="114" t="str">
        <f t="shared" ca="1" si="10"/>
        <v>F</v>
      </c>
      <c r="M65" s="115" t="s">
        <v>705</v>
      </c>
      <c r="N65" s="116" t="str">
        <f t="shared" ca="1" si="11"/>
        <v>Serviço</v>
      </c>
      <c r="O65" s="117" t="str">
        <f t="shared" ca="1" si="12"/>
        <v>1.3.1.3.</v>
      </c>
      <c r="P65" s="118" t="s">
        <v>1020</v>
      </c>
      <c r="Q65" s="119" t="s">
        <v>1062</v>
      </c>
      <c r="R65" s="120" t="str" cm="1">
        <f t="array" aca="1" ref="R65" ca="1">IF($C65="S",REFERENCIA.Descricao,"(digite a descrição aqui)")</f>
        <v>(Código não identificado nas referências)</v>
      </c>
      <c r="S65" s="121" t="str" cm="1">
        <f t="array" aca="1" ref="S65" ca="1">REFERENCIA.Unidade</f>
        <v>-</v>
      </c>
      <c r="T65" s="122">
        <f ca="1">OFFSET(CÁLCULO!H$15,ROW($T65)-ROW(T$15),0)</f>
        <v>2</v>
      </c>
      <c r="U65" s="123">
        <v>23126.07</v>
      </c>
      <c r="V65" s="124" t="s">
        <v>663</v>
      </c>
      <c r="W65" s="122" cm="1">
        <f t="array" aca="1" ref="W65" ca="1">IF($C65="S",ROUND(IF(TIPOORCAMENTO="Proposto",ORÇAMENTO.CustoUnitario*(1+$AH65),ORÇAMENTO.PrecoUnitarioLicitado),15-13*$AF$10),0)</f>
        <v>28872.9</v>
      </c>
      <c r="X65" s="125" cm="1">
        <f t="array" aca="1" ref="X65" ca="1">IF($C65="S",IF(OR(Import.TipoArredondamento&lt;&gt;"TransfereGOV",ACOMPANHAMENTO="BM"),VTOTAL1,SUM(OFFSET(CÁLCULO!$AA$15,ROW($X65)-ROW($X$15),1):OFFSET(CÁLCULO!$AL$15,ROW($X65)-ROW($X$15),-1))),IF($C65=0,0,ROUND(SomaAgrup,15-13*$AF$11)))</f>
        <v>57745.799999999996</v>
      </c>
      <c r="Y65" s="126" t="s">
        <v>751</v>
      </c>
      <c r="Z65" t="str">
        <f t="shared" ca="1" si="13"/>
        <v>RA</v>
      </c>
      <c r="AA65" s="127" cm="1">
        <f t="array" aca="1" ref="AA65" ca="1">IF($C65="S",IF($Z65="CP",$X65,IF($Z65="RA",(($X65)*QCI!$AA$3),0)),SomaAgrup)</f>
        <v>0</v>
      </c>
      <c r="AB65" s="128" cm="1">
        <f t="array" aca="1" ref="AB65" ca="1">IF($C65="S",IF($Z65="OU",ROUND($X65,2),0),SomaAgrup)</f>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CÓDIGO N/ID</v>
      </c>
      <c r="AD65" t="str">
        <f ca="1">IF(C65&lt;=CRONO.NivelExibicao,MAX($AD$15:OFFSET(AD65,-1,0))+IF($C65&lt;&gt;1,1,MAX(1,COUNTIF(QCI!$A$13:$A$15,OFFSET($E65,-1,0)))),"")</f>
        <v/>
      </c>
      <c r="AE65" s="7" t="str" cm="1">
        <f t="array" aca="1" ref="AE65" ca="1">IF(AND($C65="S",ORÇAMENTO.CodBarra&lt;&gt;""),IF(ORÇAMENTO.Fonte="",ORÇAMENTO.CodBarra,CONCATENATE(ORÇAMENTO.Fonte," ",ORÇAMENTO.CodBarra)))</f>
        <v>SEINFRA ED-21772</v>
      </c>
      <c r="AF65" s="12" t="str"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(Código não identificado nas referências)</v>
      </c>
      <c r="AG65" s="428" cm="1">
        <f t="array" aca="1" ref="AG65" ca="1">ROUND(IF(DESONERACAO="sim",REFERENCIA.Desonerado,REFERENCIA.NaoDesonerado),2)</f>
        <v>0</v>
      </c>
      <c r="AH65" s="429">
        <f t="shared" ca="1" si="14"/>
        <v>0.2485</v>
      </c>
      <c r="AJ65" s="431"/>
      <c r="AL65" s="439"/>
      <c r="AM65" s="336">
        <f t="shared" ca="1" si="0"/>
        <v>57745.799999999996</v>
      </c>
      <c r="AN65" s="470" cm="1">
        <f t="array" aca="1" ref="AN65" ca="1">ROUND(ORÇAMENTO.CustoUnitario*(1+$AH65),2)</f>
        <v>28872.9</v>
      </c>
    </row>
    <row r="66" spans="1:40" x14ac:dyDescent="0.2">
      <c r="A66">
        <f t="shared" si="1"/>
        <v>2</v>
      </c>
      <c r="B66">
        <f t="shared" ca="1" si="2"/>
        <v>2</v>
      </c>
      <c r="C66">
        <f t="shared" ca="1" si="3"/>
        <v>2</v>
      </c>
      <c r="D66">
        <f t="shared" ca="1" si="4"/>
        <v>4</v>
      </c>
      <c r="E66">
        <f ca="1">IF($C66=1,OFFSET(E66,-1,0)+MAX(1,COUNTIF(QCI!$A$13:$A$15,OFFSET(ORÇAMENTO!E66,-1,0))),OFFSET(E66,-1,0))</f>
        <v>1</v>
      </c>
      <c r="F66">
        <f t="shared" ca="1" si="5"/>
        <v>4</v>
      </c>
      <c r="G66">
        <f t="shared" ca="1" si="6"/>
        <v>0</v>
      </c>
      <c r="H66">
        <f t="shared" ca="1" si="7"/>
        <v>0</v>
      </c>
      <c r="I66">
        <f t="shared" ca="1" si="8"/>
        <v>0</v>
      </c>
      <c r="J66">
        <f t="shared" ca="1" si="28"/>
        <v>27</v>
      </c>
      <c r="K66">
        <f ca="1">IF(OR($C66="S",$C66=0),0,MATCH(OFFSET($D66,0,$C66)+IF($C66&lt;&gt;1,1,COUNTIF(QCI!$A$13:$A$15,ORÇAMENTO!E66)),OFFSET($D66,1,$C66,ROW($C$93)-ROW($C66)),0))</f>
        <v>4</v>
      </c>
      <c r="L66" s="114" t="str">
        <f t="shared" ca="1" si="10"/>
        <v>F</v>
      </c>
      <c r="M66" s="115" t="s">
        <v>702</v>
      </c>
      <c r="N66" s="116" t="str">
        <f t="shared" ca="1" si="11"/>
        <v>Nível 2</v>
      </c>
      <c r="O66" s="117" t="str">
        <f t="shared" ca="1" si="12"/>
        <v>1.4.</v>
      </c>
      <c r="P66" s="118" t="s">
        <v>750</v>
      </c>
      <c r="Q66" s="119"/>
      <c r="R66" s="120" t="str">
        <f ca="1">IF($C66="S",REFERENCIA.Descricao,"PAVIMENTAÇÃO")</f>
        <v>PAVIMENTAÇÃO</v>
      </c>
      <c r="S66" s="121" t="str" cm="1">
        <f t="array" aca="1" ref="S66" ca="1">REFERENCIA.Unidade</f>
        <v>-</v>
      </c>
      <c r="T66" s="122">
        <f ca="1">OFFSET(CÁLCULO!H$15,ROW($T66)-ROW(T$15),0)</f>
        <v>0</v>
      </c>
      <c r="U66" s="123"/>
      <c r="V66" s="124" t="s">
        <v>663</v>
      </c>
      <c r="W66" s="122" cm="1">
        <f t="array" aca="1" ref="W66" ca="1">IF($C66="S",ROUND(IF(TIPOORCAMENTO="Proposto",ORÇAMENTO.CustoUnitario*(1+$AH66),ORÇAMENTO.PrecoUnitarioLicitado),15-13*$AF$10),0)</f>
        <v>0</v>
      </c>
      <c r="X66" s="125" cm="1">
        <f t="array" aca="1" ref="X66" ca="1">IF($C66="S",IF(OR(Import.TipoArredondamento&lt;&gt;"TransfereGOV",ACOMPANHAMENTO="BM"),VTOTAL1,SUM(OFFSET(CÁLCULO!$AA$15,ROW($X66)-ROW($X$15),1):OFFSET(CÁLCULO!$AL$15,ROW($X66)-ROW($X$15),-1))),IF($C66=0,0,ROUND(SomaAgrup,15-13*$AF$11)))</f>
        <v>497047.8</v>
      </c>
      <c r="Y66" s="126" t="s">
        <v>751</v>
      </c>
      <c r="Z66" t="str">
        <f t="shared" ca="1" si="13"/>
        <v/>
      </c>
      <c r="AA66" s="127" cm="1">
        <f t="array" aca="1" ref="AA66" ca="1">IF($C66="S",IF($Z66="CP",$X66,IF($Z66="RA",(($X66)*QCI!$AA$3),0)),SomaAgrup)</f>
        <v>0</v>
      </c>
      <c r="AB66" s="128" cm="1">
        <f t="array" aca="1" ref="AB66" ca="1">IF($C66="S",IF($Z66="OU",ROUND($X66,2),0),SomaAgrup)</f>
        <v>0</v>
      </c>
      <c r="AC66" s="565"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f ca="1">IF(C66&lt;=CRONO.NivelExibicao,MAX($AD$15:OFFSET(AD66,-1,0))+IF($C66&lt;&gt;1,1,MAX(1,COUNTIF(QCI!$A$13:$A$15,OFFSET($E66,-1,0)))),"")</f>
        <v>5</v>
      </c>
      <c r="AE66" s="7" t="b" cm="1">
        <f t="array" aca="1" ref="AE66" ca="1">IF(AND($C66="S",ORÇAMENTO.CodBarra&lt;&gt;""),IF(ORÇAMENTO.Fonte="",ORÇAMENTO.CodBarra,CONCATENATE(ORÇAMENTO.Fonte," ",ORÇAMENTO.CodBarra)))</f>
        <v>0</v>
      </c>
      <c r="AF66" s="12" t="str"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(Sem Código)</v>
      </c>
      <c r="AG66" s="428" cm="1">
        <f t="array" aca="1" ref="AG66" ca="1">ROUND(IF(DESONERACAO="sim",REFERENCIA.Desonerado,REFERENCIA.NaoDesonerado),2)</f>
        <v>0</v>
      </c>
      <c r="AH66" s="429">
        <f t="shared" ca="1" si="14"/>
        <v>0.2485</v>
      </c>
      <c r="AJ66" s="431"/>
      <c r="AL66" s="439"/>
      <c r="AM66" s="336">
        <f t="shared" ca="1" si="0"/>
        <v>497047.8</v>
      </c>
      <c r="AN66" s="470" cm="1">
        <f t="array" aca="1" ref="AN66" ca="1">ROUND(ORÇAMENTO.CustoUnitario*(1+$AH66),2)</f>
        <v>0</v>
      </c>
    </row>
    <row r="67" spans="1:40" ht="38.25" x14ac:dyDescent="0.2">
      <c r="A67" t="str">
        <f t="shared" si="1"/>
        <v>S</v>
      </c>
      <c r="B67">
        <f t="shared" ca="1" si="2"/>
        <v>2</v>
      </c>
      <c r="C67" t="str">
        <f t="shared" ca="1" si="3"/>
        <v>S</v>
      </c>
      <c r="D67">
        <f t="shared" ca="1" si="4"/>
        <v>0</v>
      </c>
      <c r="E67">
        <f ca="1">IF($C67=1,OFFSET(E67,-1,0)+MAX(1,COUNTIF(QCI!$A$13:$A$15,OFFSET(ORÇAMENTO!E67,-1,0))),OFFSET(E67,-1,0))</f>
        <v>1</v>
      </c>
      <c r="F67">
        <f t="shared" ca="1" si="5"/>
        <v>4</v>
      </c>
      <c r="G67">
        <f t="shared" ca="1" si="6"/>
        <v>0</v>
      </c>
      <c r="H67">
        <f t="shared" ca="1" si="7"/>
        <v>0</v>
      </c>
      <c r="I67">
        <f t="shared" ca="1" si="8"/>
        <v>1</v>
      </c>
      <c r="J67">
        <f t="shared" ca="1" si="28"/>
        <v>0</v>
      </c>
      <c r="K67">
        <f ca="1">IF(OR($C67="S",$C67=0),0,MATCH(OFFSET($D67,0,$C67)+IF($C67&lt;&gt;1,1,COUNTIF(QCI!$A$13:$A$15,ORÇAMENTO!E67)),OFFSET($D67,1,$C67,ROW($C$93)-ROW($C67)),0))</f>
        <v>0</v>
      </c>
      <c r="L67" s="114" t="str">
        <f t="shared" ca="1" si="10"/>
        <v>F</v>
      </c>
      <c r="M67" s="115" t="s">
        <v>705</v>
      </c>
      <c r="N67" s="116" t="str">
        <f t="shared" ca="1" si="11"/>
        <v>Serviço</v>
      </c>
      <c r="O67" s="117" t="str">
        <f t="shared" ca="1" si="12"/>
        <v>1.4.0.1.</v>
      </c>
      <c r="P67" s="118" t="s">
        <v>750</v>
      </c>
      <c r="Q67" s="119">
        <v>105598</v>
      </c>
      <c r="R67" s="120" t="str" cm="1">
        <f t="array" aca="1" ref="R67" ca="1">IF($C67="S",REFERENCIA.Descricao,"(digite a descrição aqui)")</f>
        <v>(Código não identificado nas referências)</v>
      </c>
      <c r="S67" s="121" t="str" cm="1">
        <f t="array" aca="1" ref="S67" ca="1">REFERENCIA.Unidade</f>
        <v>-</v>
      </c>
      <c r="T67" s="122">
        <f ca="1">OFFSET(CÁLCULO!H$15,ROW($T67)-ROW(T$15),0)</f>
        <v>7617.82</v>
      </c>
      <c r="U67" s="123">
        <v>1.96</v>
      </c>
      <c r="V67" s="124" t="s">
        <v>663</v>
      </c>
      <c r="W67" s="122" cm="1">
        <f t="array" aca="1" ref="W67" ca="1">IF($C67="S",ROUND(IF(TIPOORCAMENTO="Proposto",ORÇAMENTO.CustoUnitario*(1+$AH67),ORÇAMENTO.PrecoUnitarioLicitado),15-13*$AF$10),0)</f>
        <v>2.4500000000000002</v>
      </c>
      <c r="X67" s="125" cm="1">
        <f t="array" aca="1" ref="X67" ca="1">IF($C67="S",IF(OR(Import.TipoArredondamento&lt;&gt;"TransfereGOV",ACOMPANHAMENTO="BM"),VTOTAL1,SUM(OFFSET(CÁLCULO!$AA$15,ROW($X67)-ROW($X$15),1):OFFSET(CÁLCULO!$AL$15,ROW($X67)-ROW($X$15),-1))),IF($C67=0,0,ROUND(SomaAgrup,15-13*$AF$11)))</f>
        <v>18663.649999999998</v>
      </c>
      <c r="Y67" s="126" t="s">
        <v>751</v>
      </c>
      <c r="Z67" t="str">
        <f t="shared" ca="1" si="13"/>
        <v>RA</v>
      </c>
      <c r="AA67" s="127" cm="1">
        <f t="array" aca="1" ref="AA67" ca="1">IF($C67="S",IF($Z67="CP",$X67,IF($Z67="RA",(($X67)*QCI!$AA$3),0)),SomaAgrup)</f>
        <v>0</v>
      </c>
      <c r="AB67" s="128" cm="1">
        <f t="array" aca="1" ref="AB67" ca="1">IF($C67="S",IF($Z67="OU",ROUND($X67,2),0),SomaAgrup)</f>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CÓDIGO N/ID</v>
      </c>
      <c r="AD67" t="str">
        <f ca="1">IF(C67&lt;=CRONO.NivelExibicao,MAX($AD$15:OFFSET(AD67,-1,0))+IF($C67&lt;&gt;1,1,MAX(1,COUNTIF(QCI!$A$13:$A$15,OFFSET($E67,-1,0)))),"")</f>
        <v/>
      </c>
      <c r="AE67" s="7" t="str" cm="1">
        <f t="array" aca="1" ref="AE67" ca="1">IF(AND($C67="S",ORÇAMENTO.CodBarra&lt;&gt;""),IF(ORÇAMENTO.Fonte="",ORÇAMENTO.CodBarra,CONCATENATE(ORÇAMENTO.Fonte," ",ORÇAMENTO.CodBarra)))</f>
        <v>SINAPI 105598</v>
      </c>
      <c r="AF67" s="12" t="str"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(Código não identificado nas referências)</v>
      </c>
      <c r="AG67" s="428" cm="1">
        <f t="array" aca="1" ref="AG67" ca="1">ROUND(IF(DESONERACAO="sim",REFERENCIA.Desonerado,REFERENCIA.NaoDesonerado),2)</f>
        <v>0</v>
      </c>
      <c r="AH67" s="429">
        <f t="shared" ca="1" si="14"/>
        <v>0.2485</v>
      </c>
      <c r="AJ67" s="431"/>
      <c r="AL67" s="439"/>
      <c r="AM67" s="336">
        <f t="shared" ca="1" si="0"/>
        <v>18663.649999999998</v>
      </c>
      <c r="AN67" s="470" cm="1">
        <f t="array" aca="1" ref="AN67" ca="1">ROUND(ORÇAMENTO.CustoUnitario*(1+$AH67),2)</f>
        <v>2.4500000000000002</v>
      </c>
    </row>
    <row r="68" spans="1:40" ht="25.5" x14ac:dyDescent="0.2">
      <c r="A68" t="str">
        <f t="shared" si="1"/>
        <v>S</v>
      </c>
      <c r="B68">
        <f t="shared" ca="1" si="2"/>
        <v>2</v>
      </c>
      <c r="C68" t="str">
        <f t="shared" ca="1" si="3"/>
        <v>S</v>
      </c>
      <c r="D68">
        <f t="shared" ca="1" si="4"/>
        <v>0</v>
      </c>
      <c r="E68">
        <f ca="1">IF($C68=1,OFFSET(E68,-1,0)+MAX(1,COUNTIF(QCI!$A$13:$A$15,OFFSET(ORÇAMENTO!E68,-1,0))),OFFSET(E68,-1,0))</f>
        <v>1</v>
      </c>
      <c r="F68">
        <f t="shared" ca="1" si="5"/>
        <v>4</v>
      </c>
      <c r="G68">
        <f t="shared" ca="1" si="6"/>
        <v>0</v>
      </c>
      <c r="H68">
        <f t="shared" ca="1" si="7"/>
        <v>0</v>
      </c>
      <c r="I68">
        <f t="shared" ca="1" si="8"/>
        <v>2</v>
      </c>
      <c r="J68">
        <f t="shared" ca="1" si="28"/>
        <v>0</v>
      </c>
      <c r="K68">
        <f ca="1">IF(OR($C68="S",$C68=0),0,MATCH(OFFSET($D68,0,$C68)+IF($C68&lt;&gt;1,1,COUNTIF(QCI!$A$13:$A$15,ORÇAMENTO!E68)),OFFSET($D68,1,$C68,ROW($C$93)-ROW($C68)),0))</f>
        <v>0</v>
      </c>
      <c r="L68" s="114" t="str">
        <f t="shared" ca="1" si="10"/>
        <v>F</v>
      </c>
      <c r="M68" s="115" t="s">
        <v>705</v>
      </c>
      <c r="N68" s="116" t="str">
        <f t="shared" ca="1" si="11"/>
        <v>Serviço</v>
      </c>
      <c r="O68" s="117" t="str">
        <f t="shared" ca="1" si="12"/>
        <v>1.4.0.2.</v>
      </c>
      <c r="P68" s="118" t="s">
        <v>750</v>
      </c>
      <c r="Q68" s="119">
        <v>92400</v>
      </c>
      <c r="R68" s="120" t="str" cm="1">
        <f t="array" aca="1" ref="R68" ca="1">IF($C68="S",REFERENCIA.Descricao,"(digite a descrição aqui)")</f>
        <v>(Código não identificado nas referências)</v>
      </c>
      <c r="S68" s="121" t="str" cm="1">
        <f t="array" aca="1" ref="S68" ca="1">REFERENCIA.Unidade</f>
        <v>-</v>
      </c>
      <c r="T68" s="122">
        <f ca="1">OFFSET(CÁLCULO!H$15,ROW($T68)-ROW(T$15),0)</f>
        <v>2795.65</v>
      </c>
      <c r="U68" s="123">
        <v>108.04</v>
      </c>
      <c r="V68" s="124" t="s">
        <v>663</v>
      </c>
      <c r="W68" s="122" cm="1">
        <f t="array" aca="1" ref="W68" ca="1">IF($C68="S",ROUND(IF(TIPOORCAMENTO="Proposto",ORÇAMENTO.CustoUnitario*(1+$AH68),ORÇAMENTO.PrecoUnitarioLicitado),15-13*$AF$10),0)</f>
        <v>134.88999999999999</v>
      </c>
      <c r="X68" s="125" cm="1">
        <f t="array" aca="1" ref="X68" ca="1">IF($C68="S",IF(OR(Import.TipoArredondamento&lt;&gt;"TransfereGOV",ACOMPANHAMENTO="BM"),VTOTAL1,SUM(OFFSET(CÁLCULO!$AA$15,ROW($X68)-ROW($X$15),1):OFFSET(CÁLCULO!$AL$15,ROW($X68)-ROW($X$15),-1))),IF($C68=0,0,ROUND(SomaAgrup,15-13*$AF$11)))</f>
        <v>377105.25</v>
      </c>
      <c r="Y68" s="126" t="s">
        <v>751</v>
      </c>
      <c r="Z68" t="str">
        <f t="shared" ca="1" si="13"/>
        <v>RA</v>
      </c>
      <c r="AA68" s="127" cm="1">
        <f t="array" aca="1" ref="AA68" ca="1">IF($C68="S",IF($Z68="CP",$X68,IF($Z68="RA",(($X68)*QCI!$AA$3),0)),SomaAgrup)</f>
        <v>0</v>
      </c>
      <c r="AB68" s="128" cm="1">
        <f t="array" aca="1" ref="AB68" ca="1">IF($C68="S",IF($Z68="OU",ROUND($X68,2),0),SomaAgrup)</f>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CÓDIGO N/ID</v>
      </c>
      <c r="AD68" t="str">
        <f ca="1">IF(C68&lt;=CRONO.NivelExibicao,MAX($AD$15:OFFSET(AD68,-1,0))+IF($C68&lt;&gt;1,1,MAX(1,COUNTIF(QCI!$A$13:$A$15,OFFSET($E68,-1,0)))),"")</f>
        <v/>
      </c>
      <c r="AE68" s="7" t="str" cm="1">
        <f t="array" aca="1" ref="AE68" ca="1">IF(AND($C68="S",ORÇAMENTO.CodBarra&lt;&gt;""),IF(ORÇAMENTO.Fonte="",ORÇAMENTO.CodBarra,CONCATENATE(ORÇAMENTO.Fonte," ",ORÇAMENTO.CodBarra)))</f>
        <v>SINAPI 92400</v>
      </c>
      <c r="AF68" s="12" t="str"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(Código não identificado nas referências)</v>
      </c>
      <c r="AG68" s="428" cm="1">
        <f t="array" aca="1" ref="AG68" ca="1">ROUND(IF(DESONERACAO="sim",REFERENCIA.Desonerado,REFERENCIA.NaoDesonerado),2)</f>
        <v>0</v>
      </c>
      <c r="AH68" s="429">
        <f t="shared" ca="1" si="14"/>
        <v>0.2485</v>
      </c>
      <c r="AJ68" s="431"/>
      <c r="AL68" s="439"/>
      <c r="AM68" s="336">
        <f t="shared" ca="1" si="0"/>
        <v>377105.25</v>
      </c>
      <c r="AN68" s="470" cm="1">
        <f t="array" aca="1" ref="AN68" ca="1">ROUND(ORÇAMENTO.CustoUnitario*(1+$AH68),2)</f>
        <v>134.88999999999999</v>
      </c>
    </row>
    <row r="69" spans="1:40" ht="51" x14ac:dyDescent="0.2">
      <c r="A69" t="str">
        <f t="shared" si="1"/>
        <v>S</v>
      </c>
      <c r="B69">
        <f t="shared" ca="1" si="2"/>
        <v>2</v>
      </c>
      <c r="C69" t="str">
        <f t="shared" ca="1" si="3"/>
        <v>S</v>
      </c>
      <c r="D69">
        <f t="shared" ca="1" si="4"/>
        <v>0</v>
      </c>
      <c r="E69">
        <f ca="1">IF($C69=1,OFFSET(E69,-1,0)+MAX(1,COUNTIF(QCI!$A$13:$A$15,OFFSET(ORÇAMENTO!E69,-1,0))),OFFSET(E69,-1,0))</f>
        <v>1</v>
      </c>
      <c r="F69">
        <f t="shared" ca="1" si="5"/>
        <v>4</v>
      </c>
      <c r="G69">
        <f t="shared" ca="1" si="6"/>
        <v>0</v>
      </c>
      <c r="H69">
        <f t="shared" ca="1" si="7"/>
        <v>0</v>
      </c>
      <c r="I69">
        <f t="shared" ca="1" si="8"/>
        <v>3</v>
      </c>
      <c r="J69">
        <f t="shared" ca="1" si="28"/>
        <v>0</v>
      </c>
      <c r="K69">
        <f ca="1">IF(OR($C69="S",$C69=0),0,MATCH(OFFSET($D69,0,$C69)+IF($C69&lt;&gt;1,1,COUNTIF(QCI!$A$13:$A$15,ORÇAMENTO!E69)),OFFSET($D69,1,$C69,ROW($C$93)-ROW($C69)),0))</f>
        <v>0</v>
      </c>
      <c r="L69" s="114" t="str">
        <f t="shared" ca="1" si="10"/>
        <v>F</v>
      </c>
      <c r="M69" s="115" t="s">
        <v>705</v>
      </c>
      <c r="N69" s="116" t="str">
        <f t="shared" ca="1" si="11"/>
        <v>Serviço</v>
      </c>
      <c r="O69" s="117" t="str">
        <f t="shared" ca="1" si="12"/>
        <v>1.4.0.3.</v>
      </c>
      <c r="P69" s="118" t="s">
        <v>750</v>
      </c>
      <c r="Q69" s="119">
        <v>94269</v>
      </c>
      <c r="R69" s="120" t="str" cm="1">
        <f t="array" aca="1" ref="R69" ca="1">IF($C69="S",REFERENCIA.Descricao,"(digite a descrição aqui)")</f>
        <v>(Código não identificado nas referências)</v>
      </c>
      <c r="S69" s="121" t="str" cm="1">
        <f t="array" aca="1" ref="S69" ca="1">REFERENCIA.Unidade</f>
        <v>-</v>
      </c>
      <c r="T69" s="122">
        <f ca="1">OFFSET(CÁLCULO!H$15,ROW($T69)-ROW(T$15),0)</f>
        <v>931.9</v>
      </c>
      <c r="U69" s="123">
        <v>87.05</v>
      </c>
      <c r="V69" s="124" t="s">
        <v>663</v>
      </c>
      <c r="W69" s="122" cm="1">
        <f t="array" aca="1" ref="W69" ca="1">IF($C69="S",ROUND(IF(TIPOORCAMENTO="Proposto",ORÇAMENTO.CustoUnitario*(1+$AH69),ORÇAMENTO.PrecoUnitarioLicitado),15-13*$AF$10),0)</f>
        <v>108.68</v>
      </c>
      <c r="X69" s="125" cm="1">
        <f t="array" aca="1" ref="X69" ca="1">IF($C69="S",IF(OR(Import.TipoArredondamento&lt;&gt;"TransfereGOV",ACOMPANHAMENTO="BM"),VTOTAL1,SUM(OFFSET(CÁLCULO!$AA$15,ROW($X69)-ROW($X$15),1):OFFSET(CÁLCULO!$AL$15,ROW($X69)-ROW($X$15),-1))),IF($C69=0,0,ROUND(SomaAgrup,15-13*$AF$11)))</f>
        <v>101278.9</v>
      </c>
      <c r="Y69" s="126" t="s">
        <v>751</v>
      </c>
      <c r="Z69" t="str">
        <f t="shared" ca="1" si="13"/>
        <v>RA</v>
      </c>
      <c r="AA69" s="127" cm="1">
        <f t="array" aca="1" ref="AA69" ca="1">IF($C69="S",IF($Z69="CP",$X69,IF($Z69="RA",(($X69)*QCI!$AA$3),0)),SomaAgrup)</f>
        <v>0</v>
      </c>
      <c r="AB69" s="128" cm="1">
        <f t="array" aca="1" ref="AB69" ca="1">IF($C69="S",IF($Z69="OU",ROUND($X69,2),0),SomaAgrup)</f>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CÓDIGO N/ID</v>
      </c>
      <c r="AD69" t="str">
        <f ca="1">IF(C69&lt;=CRONO.NivelExibicao,MAX($AD$15:OFFSET(AD69,-1,0))+IF($C69&lt;&gt;1,1,MAX(1,COUNTIF(QCI!$A$13:$A$15,OFFSET($E69,-1,0)))),"")</f>
        <v/>
      </c>
      <c r="AE69" s="7" t="str" cm="1">
        <f t="array" aca="1" ref="AE69" ca="1">IF(AND($C69="S",ORÇAMENTO.CodBarra&lt;&gt;""),IF(ORÇAMENTO.Fonte="",ORÇAMENTO.CodBarra,CONCATENATE(ORÇAMENTO.Fonte," ",ORÇAMENTO.CodBarra)))</f>
        <v>SINAPI 94269</v>
      </c>
      <c r="AF69" s="12" t="str"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(Código não identificado nas referências)</v>
      </c>
      <c r="AG69" s="428" cm="1">
        <f t="array" aca="1" ref="AG69" ca="1">ROUND(IF(DESONERACAO="sim",REFERENCIA.Desonerado,REFERENCIA.NaoDesonerado),2)</f>
        <v>0</v>
      </c>
      <c r="AH69" s="429">
        <f t="shared" ca="1" si="14"/>
        <v>0.2485</v>
      </c>
      <c r="AJ69" s="431"/>
      <c r="AL69" s="439"/>
      <c r="AM69" s="336">
        <f t="shared" ca="1" si="0"/>
        <v>101278.9</v>
      </c>
      <c r="AN69" s="470" cm="1">
        <f t="array" aca="1" ref="AN69" ca="1">ROUND(ORÇAMENTO.CustoUnitario*(1+$AH69),2)</f>
        <v>108.68</v>
      </c>
    </row>
    <row r="70" spans="1:40" x14ac:dyDescent="0.2">
      <c r="A70">
        <f t="shared" si="1"/>
        <v>2</v>
      </c>
      <c r="B70">
        <f t="shared" ca="1" si="2"/>
        <v>2</v>
      </c>
      <c r="C70">
        <f t="shared" ca="1" si="3"/>
        <v>2</v>
      </c>
      <c r="D70">
        <f t="shared" ca="1" si="4"/>
        <v>5</v>
      </c>
      <c r="E70">
        <f ca="1">IF($C70=1,OFFSET(E70,-1,0)+MAX(1,COUNTIF(QCI!$A$13:$A$15,OFFSET(ORÇAMENTO!E70,-1,0))),OFFSET(E70,-1,0))</f>
        <v>1</v>
      </c>
      <c r="F70">
        <f t="shared" ca="1" si="5"/>
        <v>5</v>
      </c>
      <c r="G70">
        <f t="shared" ca="1" si="6"/>
        <v>0</v>
      </c>
      <c r="H70">
        <f t="shared" ca="1" si="7"/>
        <v>0</v>
      </c>
      <c r="I70">
        <f t="shared" ca="1" si="8"/>
        <v>0</v>
      </c>
      <c r="J70">
        <f t="shared" ca="1" si="28"/>
        <v>23</v>
      </c>
      <c r="K70">
        <f ca="1">IF(OR($C70="S",$C70=0),0,MATCH(OFFSET($D70,0,$C70)+IF($C70&lt;&gt;1,1,COUNTIF(QCI!$A$13:$A$15,ORÇAMENTO!E70)),OFFSET($D70,1,$C70,ROW($C$93)-ROW($C70)),0))</f>
        <v>5</v>
      </c>
      <c r="L70" s="114" t="str">
        <f t="shared" ca="1" si="10"/>
        <v>F</v>
      </c>
      <c r="M70" s="115" t="s">
        <v>702</v>
      </c>
      <c r="N70" s="116" t="str">
        <f t="shared" ca="1" si="11"/>
        <v>Nível 2</v>
      </c>
      <c r="O70" s="117" t="str">
        <f t="shared" ca="1" si="12"/>
        <v>1.5.</v>
      </c>
      <c r="P70" s="118" t="s">
        <v>750</v>
      </c>
      <c r="Q70" s="119"/>
      <c r="R70" s="120" t="str">
        <f ca="1">IF($C70="S",REFERENCIA.Descricao,"GALPÃO, UNIDADES ADMINISTRATIVAS E ÁREAS DE CONVIVÊNCIA")</f>
        <v>GALPÃO, UNIDADES ADMINISTRATIVAS E ÁREAS DE CONVIVÊNCIA</v>
      </c>
      <c r="S70" s="121" t="str" cm="1">
        <f t="array" aca="1" ref="S70" ca="1">REFERENCIA.Unidade</f>
        <v>-</v>
      </c>
      <c r="T70" s="122">
        <f ca="1">OFFSET(CÁLCULO!H$15,ROW($T70)-ROW(T$15),0)</f>
        <v>0</v>
      </c>
      <c r="U70" s="123"/>
      <c r="V70" s="124" t="s">
        <v>663</v>
      </c>
      <c r="W70" s="122" cm="1">
        <f t="array" aca="1" ref="W70" ca="1">IF($C70="S",ROUND(IF(TIPOORCAMENTO="Proposto",ORÇAMENTO.CustoUnitario*(1+$AH70),ORÇAMENTO.PrecoUnitarioLicitado),15-13*$AF$10),0)</f>
        <v>0</v>
      </c>
      <c r="X70" s="125" cm="1">
        <f t="array" aca="1" ref="X70" ca="1">IF($C70="S",IF(OR(Import.TipoArredondamento&lt;&gt;"TransfereGOV",ACOMPANHAMENTO="BM"),VTOTAL1,SUM(OFFSET(CÁLCULO!$AA$15,ROW($X70)-ROW($X$15),1):OFFSET(CÁLCULO!$AL$15,ROW($X70)-ROW($X$15),-1))),IF($C70=0,0,ROUND(SomaAgrup,15-13*$AF$11)))</f>
        <v>4796233.05</v>
      </c>
      <c r="Y70" s="126" t="s">
        <v>751</v>
      </c>
      <c r="Z70" t="str">
        <f t="shared" ca="1" si="13"/>
        <v/>
      </c>
      <c r="AA70" s="127" cm="1">
        <f t="array" aca="1" ref="AA70" ca="1">IF($C70="S",IF($Z70="CP",$X70,IF($Z70="RA",(($X70)*QCI!$AA$3),0)),SomaAgrup)</f>
        <v>0</v>
      </c>
      <c r="AB70" s="128" cm="1">
        <f t="array" aca="1" ref="AB70" ca="1">IF($C70="S",IF($Z70="OU",ROUND($X70,2),0),SomaAgrup)</f>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f ca="1">IF(C70&lt;=CRONO.NivelExibicao,MAX($AD$15:OFFSET(AD70,-1,0))+IF($C70&lt;&gt;1,1,MAX(1,COUNTIF(QCI!$A$13:$A$15,OFFSET($E70,-1,0)))),"")</f>
        <v>6</v>
      </c>
      <c r="AE70" s="7" t="b" cm="1">
        <f t="array" aca="1" ref="AE70" ca="1">IF(AND($C70="S",ORÇAMENTO.CodBarra&lt;&gt;""),IF(ORÇAMENTO.Fonte="",ORÇAMENTO.CodBarra,CONCATENATE(ORÇAMENTO.Fonte," ",ORÇAMENTO.CodBarra)))</f>
        <v>0</v>
      </c>
      <c r="AF70" s="12" t="str"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(Sem Código)</v>
      </c>
      <c r="AG70" s="428" cm="1">
        <f t="array" aca="1" ref="AG70" ca="1">ROUND(IF(DESONERACAO="sim",REFERENCIA.Desonerado,REFERENCIA.NaoDesonerado),2)</f>
        <v>0</v>
      </c>
      <c r="AH70" s="429">
        <f t="shared" ca="1" si="14"/>
        <v>0.2485</v>
      </c>
      <c r="AJ70" s="431"/>
      <c r="AL70" s="439"/>
      <c r="AM70" s="336">
        <f t="shared" ca="1" si="0"/>
        <v>4796233.05</v>
      </c>
      <c r="AN70" s="470" cm="1">
        <f t="array" aca="1" ref="AN70" ca="1">ROUND(ORÇAMENTO.CustoUnitario*(1+$AH70),2)</f>
        <v>0</v>
      </c>
    </row>
    <row r="71" spans="1:40" x14ac:dyDescent="0.2">
      <c r="A71">
        <f t="shared" si="1"/>
        <v>3</v>
      </c>
      <c r="B71">
        <f t="shared" ca="1" si="2"/>
        <v>3</v>
      </c>
      <c r="C71">
        <f t="shared" ca="1" si="3"/>
        <v>3</v>
      </c>
      <c r="D71">
        <f t="shared" ca="1" si="4"/>
        <v>4</v>
      </c>
      <c r="E71">
        <f ca="1">IF($C71=1,OFFSET(E71,-1,0)+MAX(1,COUNTIF(QCI!$A$13:$A$15,OFFSET(ORÇAMENTO!E71,-1,0))),OFFSET(E71,-1,0))</f>
        <v>1</v>
      </c>
      <c r="F71">
        <f t="shared" ca="1" si="5"/>
        <v>5</v>
      </c>
      <c r="G71">
        <f t="shared" ca="1" si="6"/>
        <v>1</v>
      </c>
      <c r="H71">
        <f t="shared" ca="1" si="7"/>
        <v>0</v>
      </c>
      <c r="I71">
        <f t="shared" ca="1" si="8"/>
        <v>0</v>
      </c>
      <c r="J71">
        <f t="shared" ca="1" si="28"/>
        <v>4</v>
      </c>
      <c r="K71">
        <f ca="1">IF(OR($C71="S",$C71=0),0,MATCH(OFFSET($D71,0,$C71)+IF($C71&lt;&gt;1,1,COUNTIF(QCI!$A$13:$A$15,ORÇAMENTO!E71)),OFFSET($D71,1,$C71,ROW($C$93)-ROW($C71)),0))</f>
        <v>12</v>
      </c>
      <c r="L71" s="114" t="str">
        <f t="shared" ca="1" si="10"/>
        <v>F</v>
      </c>
      <c r="M71" s="115" t="s">
        <v>703</v>
      </c>
      <c r="N71" s="116" t="str">
        <f t="shared" ca="1" si="11"/>
        <v>Nível 3</v>
      </c>
      <c r="O71" s="117" t="str">
        <f t="shared" ca="1" si="12"/>
        <v>1.5.1.</v>
      </c>
      <c r="P71" s="118" t="s">
        <v>750</v>
      </c>
      <c r="Q71" s="119"/>
      <c r="R71" s="120" t="str">
        <f ca="1">IF($C71="S",REFERENCIA.Descricao,"Galpão, unidades administrativas e áreas de convivência")</f>
        <v>Galpão, unidades administrativas e áreas de convivência</v>
      </c>
      <c r="S71" s="121" t="str" cm="1">
        <f t="array" aca="1" ref="S71" ca="1">REFERENCIA.Unidade</f>
        <v>-</v>
      </c>
      <c r="T71" s="122">
        <f ca="1">OFFSET(CÁLCULO!H$15,ROW($T71)-ROW(T$15),0)</f>
        <v>0</v>
      </c>
      <c r="U71" s="123"/>
      <c r="V71" s="124" t="s">
        <v>663</v>
      </c>
      <c r="W71" s="122" cm="1">
        <f t="array" aca="1" ref="W71" ca="1">IF($C71="S",ROUND(IF(TIPOORCAMENTO="Proposto",ORÇAMENTO.CustoUnitario*(1+$AH71),ORÇAMENTO.PrecoUnitarioLicitado),15-13*$AF$10),0)</f>
        <v>0</v>
      </c>
      <c r="X71" s="125" cm="1">
        <f t="array" aca="1" ref="X71" ca="1">IF($C71="S",IF(OR(Import.TipoArredondamento&lt;&gt;"TransfereGOV",ACOMPANHAMENTO="BM"),VTOTAL1,SUM(OFFSET(CÁLCULO!$AA$15,ROW($X71)-ROW($X$15),1):OFFSET(CÁLCULO!$AL$15,ROW($X71)-ROW($X$15),-1))),IF($C71=0,0,ROUND(SomaAgrup,15-13*$AF$11)))</f>
        <v>4796233.05</v>
      </c>
      <c r="Y71" s="126" t="s">
        <v>751</v>
      </c>
      <c r="Z71" t="str">
        <f t="shared" ca="1" si="13"/>
        <v/>
      </c>
      <c r="AA71" s="127" cm="1">
        <f t="array" aca="1" ref="AA71" ca="1">IF($C71="S",IF($Z71="CP",$X71,IF($Z71="RA",(($X71)*QCI!$AA$3),0)),SomaAgrup)</f>
        <v>0</v>
      </c>
      <c r="AB71" s="128" cm="1">
        <f t="array" aca="1" ref="AB71" ca="1">IF($C71="S",IF($Z71="OU",ROUND($X71,2),0),SomaAgrup)</f>
        <v>0</v>
      </c>
      <c r="AC71" s="565"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t="str">
        <f ca="1">IF(C71&lt;=CRONO.NivelExibicao,MAX($AD$15:OFFSET(AD71,-1,0))+IF($C71&lt;&gt;1,1,MAX(1,COUNTIF(QCI!$A$13:$A$15,OFFSET($E71,-1,0)))),"")</f>
        <v/>
      </c>
      <c r="AE71" s="7" t="b" cm="1">
        <f t="array" aca="1" ref="AE71" ca="1">IF(AND($C71="S",ORÇAMENTO.CodBarra&lt;&gt;""),IF(ORÇAMENTO.Fonte="",ORÇAMENTO.CodBarra,CONCATENATE(ORÇAMENTO.Fonte," ",ORÇAMENTO.CodBarra)))</f>
        <v>0</v>
      </c>
      <c r="AF71" s="12" t="str"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(Sem Código)</v>
      </c>
      <c r="AG71" s="428" cm="1">
        <f t="array" aca="1" ref="AG71" ca="1">ROUND(IF(DESONERACAO="sim",REFERENCIA.Desonerado,REFERENCIA.NaoDesonerado),2)</f>
        <v>0</v>
      </c>
      <c r="AH71" s="429">
        <f t="shared" ca="1" si="14"/>
        <v>0.2485</v>
      </c>
      <c r="AJ71" s="431"/>
      <c r="AL71" s="439"/>
      <c r="AM71" s="336">
        <f t="shared" ca="1" si="0"/>
        <v>4796233.05</v>
      </c>
      <c r="AN71" s="470" cm="1">
        <f t="array" aca="1" ref="AN71" ca="1">ROUND(ORÇAMENTO.CustoUnitario*(1+$AH71),2)</f>
        <v>0</v>
      </c>
    </row>
    <row r="72" spans="1:40" ht="25.5" x14ac:dyDescent="0.2">
      <c r="A72" t="str">
        <f t="shared" si="1"/>
        <v>S</v>
      </c>
      <c r="B72">
        <f t="shared" ca="1" si="2"/>
        <v>3</v>
      </c>
      <c r="C72" t="str">
        <f t="shared" ca="1" si="3"/>
        <v>S</v>
      </c>
      <c r="D72">
        <f t="shared" ca="1" si="4"/>
        <v>0</v>
      </c>
      <c r="E72">
        <f ca="1">IF($C72=1,OFFSET(E72,-1,0)+MAX(1,COUNTIF(QCI!$A$13:$A$15,OFFSET(ORÇAMENTO!E72,-1,0))),OFFSET(E72,-1,0))</f>
        <v>1</v>
      </c>
      <c r="F72">
        <f t="shared" ca="1" si="5"/>
        <v>5</v>
      </c>
      <c r="G72">
        <f t="shared" ca="1" si="6"/>
        <v>1</v>
      </c>
      <c r="H72">
        <f t="shared" ca="1" si="7"/>
        <v>0</v>
      </c>
      <c r="I72">
        <f t="shared" ca="1" si="8"/>
        <v>1</v>
      </c>
      <c r="J72">
        <f t="shared" ca="1" si="28"/>
        <v>0</v>
      </c>
      <c r="K72">
        <f ca="1">IF(OR($C72="S",$C72=0),0,MATCH(OFFSET($D72,0,$C72)+IF($C72&lt;&gt;1,1,COUNTIF(QCI!$A$13:$A$15,ORÇAMENTO!E72)),OFFSET($D72,1,$C72,ROW($C$93)-ROW($C72)),0))</f>
        <v>0</v>
      </c>
      <c r="L72" s="114" t="str">
        <f t="shared" ca="1" si="10"/>
        <v>F</v>
      </c>
      <c r="M72" s="115" t="s">
        <v>705</v>
      </c>
      <c r="N72" s="116" t="str">
        <f t="shared" ca="1" si="11"/>
        <v>Serviço</v>
      </c>
      <c r="O72" s="117" t="str">
        <f t="shared" ca="1" si="12"/>
        <v>1.5.1.1.</v>
      </c>
      <c r="P72" s="118" t="s">
        <v>1063</v>
      </c>
      <c r="Q72" s="119" t="s">
        <v>1107</v>
      </c>
      <c r="R72" s="120" t="str" cm="1">
        <f t="array" aca="1" ref="R72" ca="1">IF($C72="S",REFERENCIA.Descricao,"(digite a descrição aqui)")</f>
        <v>(Código não identificado nas referências)</v>
      </c>
      <c r="S72" s="121" t="str" cm="1">
        <f t="array" aca="1" ref="S72" ca="1">REFERENCIA.Unidade</f>
        <v>-</v>
      </c>
      <c r="T72" s="122">
        <f ca="1">OFFSET(CÁLCULO!H$15,ROW($T72)-ROW(T$15),0)</f>
        <v>2822.1800000000003</v>
      </c>
      <c r="U72" s="123">
        <v>1246.6600000000001</v>
      </c>
      <c r="V72" s="124" t="s">
        <v>663</v>
      </c>
      <c r="W72" s="122" cm="1">
        <f t="array" aca="1" ref="W72" ca="1">IF($C72="S",ROUND(IF(TIPOORCAMENTO="Proposto",ORÇAMENTO.CustoUnitario*(1+$AH72),ORÇAMENTO.PrecoUnitarioLicitado),15-13*$AF$10),0)</f>
        <v>1556.46</v>
      </c>
      <c r="X72" s="125" cm="1">
        <f t="array" aca="1" ref="X72" ca="1">IF($C72="S",IF(OR(Import.TipoArredondamento&lt;&gt;"TransfereGOV",ACOMPANHAMENTO="BM"),VTOTAL1,SUM(OFFSET(CÁLCULO!$AA$15,ROW($X72)-ROW($X$15),1):OFFSET(CÁLCULO!$AL$15,ROW($X72)-ROW($X$15),-1))),IF($C72=0,0,ROUND(SomaAgrup,15-13*$AF$11)))</f>
        <v>4392610.28</v>
      </c>
      <c r="Y72" s="126" t="s">
        <v>751</v>
      </c>
      <c r="Z72" t="str">
        <f t="shared" ca="1" si="13"/>
        <v>RA</v>
      </c>
      <c r="AA72" s="127" cm="1">
        <f t="array" aca="1" ref="AA72" ca="1">IF($C72="S",IF($Z72="CP",$X72,IF($Z72="RA",(($X72)*QCI!$AA$3),0)),SomaAgrup)</f>
        <v>0</v>
      </c>
      <c r="AB72" s="128" cm="1">
        <f t="array" aca="1" ref="AB72" ca="1">IF($C72="S",IF($Z72="OU",ROUND($X72,2),0),SomaAgrup)</f>
        <v>0</v>
      </c>
      <c r="AC72" s="565"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CÓDIGO N/ID</v>
      </c>
      <c r="AD72" t="str">
        <f ca="1">IF(C72&lt;=CRONO.NivelExibicao,MAX($AD$15:OFFSET(AD72,-1,0))+IF($C72&lt;&gt;1,1,MAX(1,COUNTIF(QCI!$A$13:$A$15,OFFSET($E72,-1,0)))),"")</f>
        <v/>
      </c>
      <c r="AE72" s="7" t="str" cm="1">
        <f t="array" aca="1" ref="AE72" ca="1">IF(AND($C72="S",ORÇAMENTO.CodBarra&lt;&gt;""),IF(ORÇAMENTO.Fonte="",ORÇAMENTO.CodBarra,CONCATENATE(ORÇAMENTO.Fonte," ",ORÇAMENTO.CodBarra)))</f>
        <v>CUB GALPÃO IND.</v>
      </c>
      <c r="AF72" s="12" t="str"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(Código não identificado nas referências)</v>
      </c>
      <c r="AG72" s="428" cm="1">
        <f t="array" aca="1" ref="AG72" ca="1">ROUND(IF(DESONERACAO="sim",REFERENCIA.Desonerado,REFERENCIA.NaoDesonerado),2)</f>
        <v>0</v>
      </c>
      <c r="AH72" s="429">
        <f t="shared" ca="1" si="14"/>
        <v>0.2485</v>
      </c>
      <c r="AJ72" s="431"/>
      <c r="AL72" s="439"/>
      <c r="AM72" s="336">
        <f t="shared" ca="1" si="0"/>
        <v>4392610.28</v>
      </c>
      <c r="AN72" s="470" cm="1">
        <f t="array" aca="1" ref="AN72" ca="1">ROUND(ORÇAMENTO.CustoUnitario*(1+$AH72),2)</f>
        <v>1556.46</v>
      </c>
    </row>
    <row r="73" spans="1:40" x14ac:dyDescent="0.2">
      <c r="A73" t="str">
        <f t="shared" si="1"/>
        <v>S</v>
      </c>
      <c r="B73">
        <f t="shared" ca="1" si="2"/>
        <v>3</v>
      </c>
      <c r="C73" t="str">
        <f t="shared" ca="1" si="3"/>
        <v>S</v>
      </c>
      <c r="D73">
        <f t="shared" ca="1" si="4"/>
        <v>0</v>
      </c>
      <c r="E73">
        <f ca="1">IF($C73=1,OFFSET(E73,-1,0)+MAX(1,COUNTIF(QCI!$A$13:$A$15,OFFSET(ORÇAMENTO!E73,-1,0))),OFFSET(E73,-1,0))</f>
        <v>1</v>
      </c>
      <c r="F73">
        <f t="shared" ca="1" si="5"/>
        <v>5</v>
      </c>
      <c r="G73">
        <f t="shared" ca="1" si="6"/>
        <v>1</v>
      </c>
      <c r="H73">
        <f t="shared" ca="1" si="7"/>
        <v>0</v>
      </c>
      <c r="I73">
        <f t="shared" ca="1" si="8"/>
        <v>2</v>
      </c>
      <c r="J73">
        <f t="shared" ca="1" si="28"/>
        <v>0</v>
      </c>
      <c r="K73">
        <f ca="1">IF(OR($C73="S",$C73=0),0,MATCH(OFFSET($D73,0,$C73)+IF($C73&lt;&gt;1,1,COUNTIF(QCI!$A$13:$A$15,ORÇAMENTO!E73)),OFFSET($D73,1,$C73,ROW($C$93)-ROW($C73)),0))</f>
        <v>0</v>
      </c>
      <c r="L73" s="114" t="str">
        <f t="shared" ca="1" si="10"/>
        <v>F</v>
      </c>
      <c r="M73" s="115" t="s">
        <v>705</v>
      </c>
      <c r="N73" s="116" t="str">
        <f t="shared" ca="1" si="11"/>
        <v>Serviço</v>
      </c>
      <c r="O73" s="117" t="str">
        <f t="shared" ca="1" si="12"/>
        <v>1.5.1.2.</v>
      </c>
      <c r="P73" s="118" t="s">
        <v>1064</v>
      </c>
      <c r="Q73" s="119" t="s">
        <v>1108</v>
      </c>
      <c r="R73" s="120" t="str" cm="1">
        <f t="array" aca="1" ref="R73" ca="1">IF($C73="S",REFERENCIA.Descricao,"(digite a descrição aqui)")</f>
        <v>(Código não identificado nas referências)</v>
      </c>
      <c r="S73" s="121" t="str" cm="1">
        <f t="array" aca="1" ref="S73" ca="1">REFERENCIA.Unidade</f>
        <v>-</v>
      </c>
      <c r="T73" s="122">
        <f ca="1">OFFSET(CÁLCULO!H$15,ROW($T73)-ROW(T$15),0)</f>
        <v>2822.18</v>
      </c>
      <c r="U73" s="123">
        <v>112.74</v>
      </c>
      <c r="V73" s="124" t="s">
        <v>663</v>
      </c>
      <c r="W73" s="122" cm="1">
        <f t="array" aca="1" ref="W73" ca="1">IF($C73="S",ROUND(IF(TIPOORCAMENTO="Proposto",ORÇAMENTO.CustoUnitario*(1+$AH73),ORÇAMENTO.PrecoUnitarioLicitado),15-13*$AF$10),0)</f>
        <v>140.76</v>
      </c>
      <c r="X73" s="125" cm="1">
        <f t="array" aca="1" ref="X73" ca="1">IF($C73="S",IF(OR(Import.TipoArredondamento&lt;&gt;"TransfereGOV",ACOMPANHAMENTO="BM"),VTOTAL1,SUM(OFFSET(CÁLCULO!$AA$15,ROW($X73)-ROW($X$15),1):OFFSET(CÁLCULO!$AL$15,ROW($X73)-ROW($X$15),-1))),IF($C73=0,0,ROUND(SomaAgrup,15-13*$AF$11)))</f>
        <v>397250.05</v>
      </c>
      <c r="Y73" s="126" t="s">
        <v>751</v>
      </c>
      <c r="Z73" t="str">
        <f t="shared" ca="1" si="13"/>
        <v>RA</v>
      </c>
      <c r="AA73" s="127" cm="1">
        <f t="array" aca="1" ref="AA73" ca="1">IF($C73="S",IF($Z73="CP",$X73,IF($Z73="RA",(($X73)*QCI!$AA$3),0)),SomaAgrup)</f>
        <v>0</v>
      </c>
      <c r="AB73" s="128" cm="1">
        <f t="array" aca="1" ref="AB73" ca="1">IF($C73="S",IF($Z73="OU",ROUND($X73,2),0),SomaAgrup)</f>
        <v>0</v>
      </c>
      <c r="AC73" s="565"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CÓDIGO N/ID</v>
      </c>
      <c r="AD73" t="str">
        <f ca="1">IF(C73&lt;=CRONO.NivelExibicao,MAX($AD$15:OFFSET(AD73,-1,0))+IF($C73&lt;&gt;1,1,MAX(1,COUNTIF(QCI!$A$13:$A$15,OFFSET($E73,-1,0)))),"")</f>
        <v/>
      </c>
      <c r="AE73" s="7" t="str" cm="1">
        <f t="array" aca="1" ref="AE73" ca="1">IF(AND($C73="S",ORÇAMENTO.CodBarra&lt;&gt;""),IF(ORÇAMENTO.Fonte="",ORÇAMENTO.CodBarra,CONCATENATE(ORÇAMENTO.Fonte," ",ORÇAMENTO.CodBarra)))</f>
        <v>PARAMÉTRICO UTC</v>
      </c>
      <c r="AF73" s="12" t="str" cm="1">
        <f t="array" aca="1" ref="AF73" ca="1">IF(ISERROR(ORÇAMENTO.BancoRef),"(abra o arquivo 'Referência "&amp;Excel_BuiltIn_Database&amp;".xlsm)",IF(OR($C73&lt;&gt;"S",ORÇAMENTO.CodBarra=""),"(Sem Código)",IF(ISERROR(MATCH($AE73,INDIRECT(ORÇAMENTO.BancoRef),0)),"(Código não identificado nas referências)",MATCH($AE73,INDIRECT(ORÇAMENTO.BancoRef),0))))</f>
        <v>(Código não identificado nas referências)</v>
      </c>
      <c r="AG73" s="428" cm="1">
        <f t="array" aca="1" ref="AG73" ca="1">ROUND(IF(DESONERACAO="sim",REFERENCIA.Desonerado,REFERENCIA.NaoDesonerado),2)</f>
        <v>0</v>
      </c>
      <c r="AH73" s="429">
        <f t="shared" ca="1" si="14"/>
        <v>0.2485</v>
      </c>
      <c r="AJ73" s="431"/>
      <c r="AL73" s="439"/>
      <c r="AM73" s="336">
        <f t="shared" ca="1" si="0"/>
        <v>397250.05</v>
      </c>
      <c r="AN73" s="470" cm="1">
        <f t="array" aca="1" ref="AN73" ca="1">ROUND(ORÇAMENTO.CustoUnitario*(1+$AH73),2)</f>
        <v>140.76</v>
      </c>
    </row>
    <row r="74" spans="1:40" ht="25.5" x14ac:dyDescent="0.2">
      <c r="A74" t="str">
        <f t="shared" si="1"/>
        <v>S</v>
      </c>
      <c r="B74">
        <f t="shared" ca="1" si="2"/>
        <v>3</v>
      </c>
      <c r="C74" t="str">
        <f t="shared" ca="1" si="3"/>
        <v>S</v>
      </c>
      <c r="D74">
        <f t="shared" ca="1" si="4"/>
        <v>0</v>
      </c>
      <c r="E74">
        <f ca="1">IF($C74=1,OFFSET(E74,-1,0)+MAX(1,COUNTIF(QCI!$A$13:$A$15,OFFSET(ORÇAMENTO!E74,-1,0))),OFFSET(E74,-1,0))</f>
        <v>1</v>
      </c>
      <c r="F74">
        <f t="shared" ca="1" si="5"/>
        <v>5</v>
      </c>
      <c r="G74">
        <f t="shared" ca="1" si="6"/>
        <v>1</v>
      </c>
      <c r="H74">
        <f t="shared" ca="1" si="7"/>
        <v>0</v>
      </c>
      <c r="I74">
        <f t="shared" ca="1" si="8"/>
        <v>3</v>
      </c>
      <c r="J74">
        <f t="shared" ca="1" si="28"/>
        <v>0</v>
      </c>
      <c r="K74">
        <f ca="1">IF(OR($C74="S",$C74=0),0,MATCH(OFFSET($D74,0,$C74)+IF($C74&lt;&gt;1,1,COUNTIF(QCI!$A$13:$A$15,ORÇAMENTO!E74)),OFFSET($D74,1,$C74,ROW($C$93)-ROW($C74)),0))</f>
        <v>0</v>
      </c>
      <c r="L74" s="114" t="str">
        <f t="shared" ca="1" si="10"/>
        <v>F</v>
      </c>
      <c r="M74" s="115" t="s">
        <v>705</v>
      </c>
      <c r="N74" s="116" t="str">
        <f t="shared" ca="1" si="11"/>
        <v>Serviço</v>
      </c>
      <c r="O74" s="117" t="str">
        <f t="shared" ca="1" si="12"/>
        <v>1.5.1.3.</v>
      </c>
      <c r="P74" s="118" t="s">
        <v>1020</v>
      </c>
      <c r="Q74" s="119" t="s">
        <v>1065</v>
      </c>
      <c r="R74" s="120" t="str" cm="1">
        <f t="array" aca="1" ref="R74" ca="1">IF($C74="S",REFERENCIA.Descricao,"(digite a descrição aqui)")</f>
        <v>(Código não identificado nas referências)</v>
      </c>
      <c r="S74" s="121" t="s">
        <v>639</v>
      </c>
      <c r="T74" s="122">
        <f ca="1">OFFSET(CÁLCULO!H$15,ROW($T74)-ROW(T$15),0)</f>
        <v>1</v>
      </c>
      <c r="U74" s="123">
        <v>5104.3</v>
      </c>
      <c r="V74" s="124" t="s">
        <v>663</v>
      </c>
      <c r="W74" s="122" cm="1">
        <f t="array" aca="1" ref="W74" ca="1">IF($C74="S",ROUND(IF(TIPOORCAMENTO="Proposto",ORÇAMENTO.CustoUnitario*(1+$AH74),ORÇAMENTO.PrecoUnitarioLicitado),15-13*$AF$10),0)</f>
        <v>6372.72</v>
      </c>
      <c r="X74" s="125" cm="1">
        <f t="array" aca="1" ref="X74" ca="1">IF($C74="S",IF(OR(Import.TipoArredondamento&lt;&gt;"TransfereGOV",ACOMPANHAMENTO="BM"),VTOTAL1,SUM(OFFSET(CÁLCULO!$AA$15,ROW($X74)-ROW($X$15),1):OFFSET(CÁLCULO!$AL$15,ROW($X74)-ROW($X$15),-1))),IF($C74=0,0,ROUND(SomaAgrup,15-13*$AF$11)))</f>
        <v>6372.72</v>
      </c>
      <c r="Y74" s="126" t="s">
        <v>751</v>
      </c>
      <c r="Z74" t="str">
        <f t="shared" ca="1" si="13"/>
        <v>RA</v>
      </c>
      <c r="AA74" s="127" cm="1">
        <f t="array" aca="1" ref="AA74" ca="1">IF($C74="S",IF($Z74="CP",$X74,IF($Z74="RA",(($X74)*QCI!$AA$3),0)),SomaAgrup)</f>
        <v>0</v>
      </c>
      <c r="AB74" s="128" cm="1">
        <f t="array" aca="1" ref="AB74" ca="1">IF($C74="S",IF($Z74="OU",ROUND($X74,2),0),SomaAgrup)</f>
        <v>0</v>
      </c>
      <c r="AC74" s="565"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CÓDIGO N/ID</v>
      </c>
      <c r="AD74" t="str">
        <f ca="1">IF(C74&lt;=CRONO.NivelExibicao,MAX($AD$15:OFFSET(AD74,-1,0))+IF($C74&lt;&gt;1,1,MAX(1,COUNTIF(QCI!$A$13:$A$15,OFFSET($E74,-1,0)))),"")</f>
        <v/>
      </c>
      <c r="AE74" s="7" t="str" cm="1">
        <f t="array" aca="1" ref="AE74" ca="1">IF(AND($C74="S",ORÇAMENTO.CodBarra&lt;&gt;""),IF(ORÇAMENTO.Fonte="",ORÇAMENTO.CodBarra,CONCATENATE(ORÇAMENTO.Fonte," ",ORÇAMENTO.CodBarra)))</f>
        <v>SEINFRA ED-48149</v>
      </c>
      <c r="AF74" s="12" t="str" cm="1">
        <f t="array" aca="1" ref="AF74" ca="1">IF(ISERROR(ORÇAMENTO.BancoRef),"(abra o arquivo 'Referência "&amp;Excel_BuiltIn_Database&amp;".xlsm)",IF(OR($C74&lt;&gt;"S",ORÇAMENTO.CodBarra=""),"(Sem Código)",IF(ISERROR(MATCH($AE74,INDIRECT(ORÇAMENTO.BancoRef),0)),"(Código não identificado nas referências)",MATCH($AE74,INDIRECT(ORÇAMENTO.BancoRef),0))))</f>
        <v>(Código não identificado nas referências)</v>
      </c>
      <c r="AG74" s="428" cm="1">
        <f t="array" aca="1" ref="AG74" ca="1">ROUND(IF(DESONERACAO="sim",REFERENCIA.Desonerado,REFERENCIA.NaoDesonerado),2)</f>
        <v>0</v>
      </c>
      <c r="AH74" s="429">
        <f t="shared" ca="1" si="14"/>
        <v>0.2485</v>
      </c>
      <c r="AJ74" s="431"/>
      <c r="AL74" s="439"/>
      <c r="AM74" s="336">
        <f t="shared" ca="1" si="0"/>
        <v>6372.72</v>
      </c>
      <c r="AN74" s="470" cm="1">
        <f t="array" aca="1" ref="AN74" ca="1">ROUND(ORÇAMENTO.CustoUnitario*(1+$AH74),2)</f>
        <v>6372.72</v>
      </c>
    </row>
    <row r="75" spans="1:40" x14ac:dyDescent="0.2">
      <c r="A75">
        <f t="shared" si="1"/>
        <v>2</v>
      </c>
      <c r="B75">
        <f t="shared" ca="1" si="2"/>
        <v>2</v>
      </c>
      <c r="C75">
        <f t="shared" ca="1" si="3"/>
        <v>2</v>
      </c>
      <c r="D75">
        <f t="shared" ca="1" si="4"/>
        <v>5</v>
      </c>
      <c r="E75">
        <f ca="1">IF($C75=1,OFFSET(E75,-1,0)+MAX(1,COUNTIF(QCI!$A$13:$A$15,OFFSET(ORÇAMENTO!E75,-1,0))),OFFSET(E75,-1,0))</f>
        <v>1</v>
      </c>
      <c r="F75">
        <f t="shared" ca="1" si="5"/>
        <v>6</v>
      </c>
      <c r="G75">
        <f t="shared" ca="1" si="6"/>
        <v>0</v>
      </c>
      <c r="H75">
        <f t="shared" ca="1" si="7"/>
        <v>0</v>
      </c>
      <c r="I75">
        <f t="shared" ca="1" si="8"/>
        <v>0</v>
      </c>
      <c r="J75">
        <f t="shared" ca="1" si="28"/>
        <v>18</v>
      </c>
      <c r="K75">
        <f ca="1">IF(OR($C75="S",$C75=0),0,MATCH(OFFSET($D75,0,$C75)+IF($C75&lt;&gt;1,1,COUNTIF(QCI!$A$13:$A$15,ORÇAMENTO!E75)),OFFSET($D75,1,$C75,ROW($C$93)-ROW($C75)),0))</f>
        <v>5</v>
      </c>
      <c r="L75" s="114" t="str">
        <f t="shared" ca="1" si="10"/>
        <v>F</v>
      </c>
      <c r="M75" s="115" t="s">
        <v>702</v>
      </c>
      <c r="N75" s="116" t="str">
        <f t="shared" ca="1" si="11"/>
        <v>Nível 2</v>
      </c>
      <c r="O75" s="117" t="str">
        <f t="shared" ca="1" si="12"/>
        <v>1.6.</v>
      </c>
      <c r="P75" s="118" t="s">
        <v>750</v>
      </c>
      <c r="Q75" s="119"/>
      <c r="R75" s="120" t="str">
        <f ca="1">IF($C75="S",REFERENCIA.Descricao,"PÁTIO DE COMPOSTAGEM")</f>
        <v>PÁTIO DE COMPOSTAGEM</v>
      </c>
      <c r="S75" s="121" t="str" cm="1">
        <f t="array" aca="1" ref="S75" ca="1">REFERENCIA.Unidade</f>
        <v>-</v>
      </c>
      <c r="T75" s="122">
        <f ca="1">OFFSET(CÁLCULO!H$15,ROW($T75)-ROW(T$15),0)</f>
        <v>0</v>
      </c>
      <c r="U75" s="123"/>
      <c r="V75" s="124" t="s">
        <v>663</v>
      </c>
      <c r="W75" s="122" cm="1">
        <f t="array" aca="1" ref="W75" ca="1">IF($C75="S",ROUND(IF(TIPOORCAMENTO="Proposto",ORÇAMENTO.CustoUnitario*(1+$AH75),ORÇAMENTO.PrecoUnitarioLicitado),15-13*$AF$10),0)</f>
        <v>0</v>
      </c>
      <c r="X75" s="125" cm="1">
        <f t="array" aca="1" ref="X75" ca="1">IF($C75="S",IF(OR(Import.TipoArredondamento&lt;&gt;"TransfereGOV",ACOMPANHAMENTO="BM"),VTOTAL1,SUM(OFFSET(CÁLCULO!$AA$15,ROW($X75)-ROW($X$15),1):OFFSET(CÁLCULO!$AL$15,ROW($X75)-ROW($X$15),-1))),IF($C75=0,0,ROUND(SomaAgrup,15-13*$AF$11)))</f>
        <v>345647.02</v>
      </c>
      <c r="Y75" s="126" t="s">
        <v>751</v>
      </c>
      <c r="Z75" t="str">
        <f t="shared" ca="1" si="13"/>
        <v/>
      </c>
      <c r="AA75" s="127" cm="1">
        <f t="array" aca="1" ref="AA75" ca="1">IF($C75="S",IF($Z75="CP",$X75,IF($Z75="RA",(($X75)*QCI!$AA$3),0)),SomaAgrup)</f>
        <v>0</v>
      </c>
      <c r="AB75" s="128" cm="1">
        <f t="array" aca="1" ref="AB75" ca="1">IF($C75="S",IF($Z75="OU",ROUND($X75,2),0),SomaAgrup)</f>
        <v>0</v>
      </c>
      <c r="AC75" s="565"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f ca="1">IF(C75&lt;=CRONO.NivelExibicao,MAX($AD$15:OFFSET(AD75,-1,0))+IF($C75&lt;&gt;1,1,MAX(1,COUNTIF(QCI!$A$13:$A$15,OFFSET($E75,-1,0)))),"")</f>
        <v>7</v>
      </c>
      <c r="AE75" s="7" t="b" cm="1">
        <f t="array" aca="1" ref="AE75" ca="1">IF(AND($C75="S",ORÇAMENTO.CodBarra&lt;&gt;""),IF(ORÇAMENTO.Fonte="",ORÇAMENTO.CodBarra,CONCATENATE(ORÇAMENTO.Fonte," ",ORÇAMENTO.CodBarra)))</f>
        <v>0</v>
      </c>
      <c r="AF75" s="12" t="str" cm="1">
        <f t="array" aca="1" ref="AF75" ca="1">IF(ISERROR(ORÇAMENTO.BancoRef),"(abra o arquivo 'Referência "&amp;Excel_BuiltIn_Database&amp;".xlsm)",IF(OR($C75&lt;&gt;"S",ORÇAMENTO.CodBarra=""),"(Sem Código)",IF(ISERROR(MATCH($AE75,INDIRECT(ORÇAMENTO.BancoRef),0)),"(Código não identificado nas referências)",MATCH($AE75,INDIRECT(ORÇAMENTO.BancoRef),0))))</f>
        <v>(Sem Código)</v>
      </c>
      <c r="AG75" s="428" cm="1">
        <f t="array" aca="1" ref="AG75" ca="1">ROUND(IF(DESONERACAO="sim",REFERENCIA.Desonerado,REFERENCIA.NaoDesonerado),2)</f>
        <v>0</v>
      </c>
      <c r="AH75" s="429">
        <f t="shared" ca="1" si="14"/>
        <v>0.2485</v>
      </c>
      <c r="AJ75" s="431"/>
      <c r="AL75" s="439"/>
      <c r="AM75" s="336">
        <f t="shared" ca="1" si="0"/>
        <v>345647.02</v>
      </c>
      <c r="AN75" s="470" cm="1">
        <f t="array" aca="1" ref="AN75" ca="1">ROUND(ORÇAMENTO.CustoUnitario*(1+$AH75),2)</f>
        <v>0</v>
      </c>
    </row>
    <row r="76" spans="1:40" x14ac:dyDescent="0.2">
      <c r="A76">
        <f t="shared" si="1"/>
        <v>3</v>
      </c>
      <c r="B76">
        <f t="shared" ca="1" si="2"/>
        <v>3</v>
      </c>
      <c r="C76">
        <f t="shared" ca="1" si="3"/>
        <v>3</v>
      </c>
      <c r="D76">
        <f t="shared" ca="1" si="4"/>
        <v>4</v>
      </c>
      <c r="E76">
        <f ca="1">IF($C76=1,OFFSET(E76,-1,0)+MAX(1,COUNTIF(QCI!$A$13:$A$15,OFFSET(ORÇAMENTO!E76,-1,0))),OFFSET(E76,-1,0))</f>
        <v>1</v>
      </c>
      <c r="F76">
        <f t="shared" ca="1" si="5"/>
        <v>6</v>
      </c>
      <c r="G76">
        <f t="shared" ca="1" si="6"/>
        <v>1</v>
      </c>
      <c r="H76">
        <f t="shared" ca="1" si="7"/>
        <v>0</v>
      </c>
      <c r="I76">
        <f t="shared" ca="1" si="8"/>
        <v>0</v>
      </c>
      <c r="J76">
        <f t="shared" ca="1" si="28"/>
        <v>4</v>
      </c>
      <c r="K76">
        <f ca="1">IF(OR($C76="S",$C76=0),0,MATCH(OFFSET($D76,0,$C76)+IF($C76&lt;&gt;1,1,COUNTIF(QCI!$A$13:$A$15,ORÇAMENTO!E76)),OFFSET($D76,1,$C76,ROW($C$93)-ROW($C76)),0))</f>
        <v>7</v>
      </c>
      <c r="L76" s="114" t="str">
        <f t="shared" ca="1" si="10"/>
        <v>F</v>
      </c>
      <c r="M76" s="115" t="s">
        <v>703</v>
      </c>
      <c r="N76" s="116" t="str">
        <f t="shared" ca="1" si="11"/>
        <v>Nível 3</v>
      </c>
      <c r="O76" s="117" t="str">
        <f t="shared" ca="1" si="12"/>
        <v>1.6.1.</v>
      </c>
      <c r="P76" s="118" t="s">
        <v>750</v>
      </c>
      <c r="Q76" s="119"/>
      <c r="R76" s="120" t="str">
        <f ca="1">IF($C76="S",REFERENCIA.Descricao,"PÁTIO DE COMPOSTAGEM")</f>
        <v>PÁTIO DE COMPOSTAGEM</v>
      </c>
      <c r="S76" s="121" t="str" cm="1">
        <f t="array" aca="1" ref="S76" ca="1">REFERENCIA.Unidade</f>
        <v>-</v>
      </c>
      <c r="T76" s="122">
        <f ca="1">OFFSET(CÁLCULO!H$15,ROW($T76)-ROW(T$15),0)</f>
        <v>0</v>
      </c>
      <c r="U76" s="123"/>
      <c r="V76" s="124" t="s">
        <v>663</v>
      </c>
      <c r="W76" s="122" cm="1">
        <f t="array" aca="1" ref="W76" ca="1">IF($C76="S",ROUND(IF(TIPOORCAMENTO="Proposto",ORÇAMENTO.CustoUnitario*(1+$AH76),ORÇAMENTO.PrecoUnitarioLicitado),15-13*$AF$10),0)</f>
        <v>0</v>
      </c>
      <c r="X76" s="125" cm="1">
        <f t="array" aca="1" ref="X76" ca="1">IF($C76="S",IF(OR(Import.TipoArredondamento&lt;&gt;"TransfereGOV",ACOMPANHAMENTO="BM"),VTOTAL1,SUM(OFFSET(CÁLCULO!$AA$15,ROW($X76)-ROW($X$15),1):OFFSET(CÁLCULO!$AL$15,ROW($X76)-ROW($X$15),-1))),IF($C76=0,0,ROUND(SomaAgrup,15-13*$AF$11)))</f>
        <v>345647.02</v>
      </c>
      <c r="Y76" s="126" t="s">
        <v>751</v>
      </c>
      <c r="Z76" t="str">
        <f t="shared" ca="1" si="13"/>
        <v/>
      </c>
      <c r="AA76" s="127" cm="1">
        <f t="array" aca="1" ref="AA76" ca="1">IF($C76="S",IF($Z76="CP",$X76,IF($Z76="RA",(($X76)*QCI!$AA$3),0)),SomaAgrup)</f>
        <v>0</v>
      </c>
      <c r="AB76" s="128" cm="1">
        <f t="array" aca="1" ref="AB76" ca="1">IF($C76="S",IF($Z76="OU",ROUND($X76,2),0),SomaAgrup)</f>
        <v>0</v>
      </c>
      <c r="AC76" s="565"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t="str">
        <f ca="1">IF(C76&lt;=CRONO.NivelExibicao,MAX($AD$15:OFFSET(AD76,-1,0))+IF($C76&lt;&gt;1,1,MAX(1,COUNTIF(QCI!$A$13:$A$15,OFFSET($E76,-1,0)))),"")</f>
        <v/>
      </c>
      <c r="AE76" s="7" t="b" cm="1">
        <f t="array" aca="1" ref="AE76" ca="1">IF(AND($C76="S",ORÇAMENTO.CodBarra&lt;&gt;""),IF(ORÇAMENTO.Fonte="",ORÇAMENTO.CodBarra,CONCATENATE(ORÇAMENTO.Fonte," ",ORÇAMENTO.CodBarra)))</f>
        <v>0</v>
      </c>
      <c r="AF76" s="12" t="str" cm="1">
        <f t="array" aca="1" ref="AF76" ca="1">IF(ISERROR(ORÇAMENTO.BancoRef),"(abra o arquivo 'Referência "&amp;Excel_BuiltIn_Database&amp;".xlsm)",IF(OR($C76&lt;&gt;"S",ORÇAMENTO.CodBarra=""),"(Sem Código)",IF(ISERROR(MATCH($AE76,INDIRECT(ORÇAMENTO.BancoRef),0)),"(Código não identificado nas referências)",MATCH($AE76,INDIRECT(ORÇAMENTO.BancoRef),0))))</f>
        <v>(Sem Código)</v>
      </c>
      <c r="AG76" s="428" cm="1">
        <f t="array" aca="1" ref="AG76" ca="1">ROUND(IF(DESONERACAO="sim",REFERENCIA.Desonerado,REFERENCIA.NaoDesonerado),2)</f>
        <v>0</v>
      </c>
      <c r="AH76" s="429">
        <f t="shared" ca="1" si="14"/>
        <v>0.2485</v>
      </c>
      <c r="AJ76" s="431"/>
      <c r="AL76" s="439"/>
      <c r="AM76" s="336">
        <f t="shared" ca="1" si="0"/>
        <v>345647.02</v>
      </c>
      <c r="AN76" s="470" cm="1">
        <f t="array" aca="1" ref="AN76" ca="1">ROUND(ORÇAMENTO.CustoUnitario*(1+$AH76),2)</f>
        <v>0</v>
      </c>
    </row>
    <row r="77" spans="1:40" ht="25.5" x14ac:dyDescent="0.2">
      <c r="A77" t="str">
        <f t="shared" si="1"/>
        <v>S</v>
      </c>
      <c r="B77">
        <f t="shared" ca="1" si="2"/>
        <v>3</v>
      </c>
      <c r="C77" t="str">
        <f t="shared" ca="1" si="3"/>
        <v>S</v>
      </c>
      <c r="D77">
        <f t="shared" ca="1" si="4"/>
        <v>0</v>
      </c>
      <c r="E77">
        <f ca="1">IF($C77=1,OFFSET(E77,-1,0)+MAX(1,COUNTIF(QCI!$A$13:$A$15,OFFSET(ORÇAMENTO!E77,-1,0))),OFFSET(E77,-1,0))</f>
        <v>1</v>
      </c>
      <c r="F77">
        <f t="shared" ca="1" si="5"/>
        <v>6</v>
      </c>
      <c r="G77">
        <f t="shared" ca="1" si="6"/>
        <v>1</v>
      </c>
      <c r="H77">
        <f t="shared" ca="1" si="7"/>
        <v>0</v>
      </c>
      <c r="I77">
        <f t="shared" ca="1" si="8"/>
        <v>1</v>
      </c>
      <c r="J77">
        <f t="shared" ca="1" si="28"/>
        <v>0</v>
      </c>
      <c r="K77">
        <f ca="1">IF(OR($C77="S",$C77=0),0,MATCH(OFFSET($D77,0,$C77)+IF($C77&lt;&gt;1,1,COUNTIF(QCI!$A$13:$A$15,ORÇAMENTO!E77)),OFFSET($D77,1,$C77,ROW($C$93)-ROW($C77)),0))</f>
        <v>0</v>
      </c>
      <c r="L77" s="114" t="str">
        <f t="shared" ca="1" si="10"/>
        <v>F</v>
      </c>
      <c r="M77" s="115" t="s">
        <v>705</v>
      </c>
      <c r="N77" s="116" t="str">
        <f t="shared" ca="1" si="11"/>
        <v>Serviço</v>
      </c>
      <c r="O77" s="117" t="str">
        <f t="shared" ca="1" si="12"/>
        <v>1.6.1.1.</v>
      </c>
      <c r="P77" s="118" t="s">
        <v>750</v>
      </c>
      <c r="Q77" s="119" t="s">
        <v>1117</v>
      </c>
      <c r="R77" s="120" t="str" cm="1">
        <f t="array" aca="1" ref="R77" ca="1">IF($C77="S",REFERENCIA.Descricao,"(digite a descrição aqui)")</f>
        <v>(Código não identificado nas referências)</v>
      </c>
      <c r="S77" s="121" t="str" cm="1">
        <f t="array" aca="1" ref="S77" ca="1">REFERENCIA.Unidade</f>
        <v>-</v>
      </c>
      <c r="T77" s="122">
        <f ca="1">OFFSET(CÁLCULO!H$15,ROW($T77)-ROW(T$15),0)</f>
        <v>2000</v>
      </c>
      <c r="U77" s="123">
        <v>124.87</v>
      </c>
      <c r="V77" s="124" t="s">
        <v>663</v>
      </c>
      <c r="W77" s="122" cm="1">
        <f t="array" aca="1" ref="W77" ca="1">IF($C77="S",ROUND(IF(TIPOORCAMENTO="Proposto",ORÇAMENTO.CustoUnitario*(1+$AH77),ORÇAMENTO.PrecoUnitarioLicitado),15-13*$AF$10),0)</f>
        <v>155.9</v>
      </c>
      <c r="X77" s="125" cm="1">
        <f t="array" aca="1" ref="X77" ca="1">IF($C77="S",IF(OR(Import.TipoArredondamento&lt;&gt;"TransfereGOV",ACOMPANHAMENTO="BM"),VTOTAL1,SUM(OFFSET(CÁLCULO!$AA$15,ROW($X77)-ROW($X$15),1):OFFSET(CÁLCULO!$AL$15,ROW($X77)-ROW($X$15),-1))),IF($C77=0,0,ROUND(SomaAgrup,15-13*$AF$11)))</f>
        <v>311800</v>
      </c>
      <c r="Y77" s="126" t="s">
        <v>751</v>
      </c>
      <c r="Z77" t="str">
        <f t="shared" ca="1" si="13"/>
        <v>RA</v>
      </c>
      <c r="AA77" s="127" cm="1">
        <f t="array" aca="1" ref="AA77" ca="1">IF($C77="S",IF($Z77="CP",$X77,IF($Z77="RA",(($X77)*QCI!$AA$3),0)),SomaAgrup)</f>
        <v>0</v>
      </c>
      <c r="AB77" s="128" cm="1">
        <f t="array" aca="1" ref="AB77" ca="1">IF($C77="S",IF($Z77="OU",ROUND($X77,2),0),SomaAgrup)</f>
        <v>0</v>
      </c>
      <c r="AC77" s="565"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CÓDIGO N/ID</v>
      </c>
      <c r="AD77" t="str">
        <f ca="1">IF(C77&lt;=CRONO.NivelExibicao,MAX($AD$15:OFFSET(AD77,-1,0))+IF($C77&lt;&gt;1,1,MAX(1,COUNTIF(QCI!$A$13:$A$15,OFFSET($E77,-1,0)))),"")</f>
        <v/>
      </c>
      <c r="AE77" s="7" t="str" cm="1">
        <f t="array" aca="1" ref="AE77" ca="1">IF(AND($C77="S",ORÇAMENTO.CodBarra&lt;&gt;""),IF(ORÇAMENTO.Fonte="",ORÇAMENTO.CodBarra,CONCATENATE(ORÇAMENTO.Fonte," ",ORÇAMENTO.CodBarra)))</f>
        <v>SINAPI 103913</v>
      </c>
      <c r="AF77" s="12" t="str" cm="1">
        <f t="array" aca="1" ref="AF77" ca="1">IF(ISERROR(ORÇAMENTO.BancoRef),"(abra o arquivo 'Referência "&amp;Excel_BuiltIn_Database&amp;".xlsm)",IF(OR($C77&lt;&gt;"S",ORÇAMENTO.CodBarra=""),"(Sem Código)",IF(ISERROR(MATCH($AE77,INDIRECT(ORÇAMENTO.BancoRef),0)),"(Código não identificado nas referências)",MATCH($AE77,INDIRECT(ORÇAMENTO.BancoRef),0))))</f>
        <v>(Código não identificado nas referências)</v>
      </c>
      <c r="AG77" s="428" cm="1">
        <f t="array" aca="1" ref="AG77" ca="1">ROUND(IF(DESONERACAO="sim",REFERENCIA.Desonerado,REFERENCIA.NaoDesonerado),2)</f>
        <v>0</v>
      </c>
      <c r="AH77" s="429">
        <f t="shared" ca="1" si="14"/>
        <v>0.2485</v>
      </c>
      <c r="AJ77" s="431"/>
      <c r="AL77" s="439"/>
      <c r="AM77" s="336">
        <f t="shared" ca="1" si="0"/>
        <v>311800</v>
      </c>
      <c r="AN77" s="470" cm="1">
        <f t="array" aca="1" ref="AN77" ca="1">ROUND(ORÇAMENTO.CustoUnitario*(1+$AH77),2)</f>
        <v>155.9</v>
      </c>
    </row>
    <row r="78" spans="1:40" ht="51" x14ac:dyDescent="0.2">
      <c r="A78" t="str">
        <f t="shared" si="1"/>
        <v>S</v>
      </c>
      <c r="B78">
        <f t="shared" ca="1" si="2"/>
        <v>3</v>
      </c>
      <c r="C78" t="str">
        <f t="shared" ca="1" si="3"/>
        <v>S</v>
      </c>
      <c r="D78">
        <f t="shared" ca="1" si="4"/>
        <v>0</v>
      </c>
      <c r="E78">
        <f ca="1">IF($C78=1,OFFSET(E78,-1,0)+MAX(1,COUNTIF(QCI!$A$13:$A$15,OFFSET(ORÇAMENTO!E78,-1,0))),OFFSET(E78,-1,0))</f>
        <v>1</v>
      </c>
      <c r="F78">
        <f t="shared" ca="1" si="5"/>
        <v>6</v>
      </c>
      <c r="G78">
        <f t="shared" ca="1" si="6"/>
        <v>1</v>
      </c>
      <c r="H78">
        <f t="shared" ca="1" si="7"/>
        <v>0</v>
      </c>
      <c r="I78">
        <f t="shared" ca="1" si="8"/>
        <v>2</v>
      </c>
      <c r="J78">
        <f t="shared" ca="1" si="28"/>
        <v>0</v>
      </c>
      <c r="K78">
        <f ca="1">IF(OR($C78="S",$C78=0),0,MATCH(OFFSET($D78,0,$C78)+IF($C78&lt;&gt;1,1,COUNTIF(QCI!$A$13:$A$15,ORÇAMENTO!E78)),OFFSET($D78,1,$C78,ROW($C$93)-ROW($C78)),0))</f>
        <v>0</v>
      </c>
      <c r="L78" s="114" t="str">
        <f t="shared" ca="1" si="10"/>
        <v>F</v>
      </c>
      <c r="M78" s="115" t="s">
        <v>705</v>
      </c>
      <c r="N78" s="116" t="str">
        <f t="shared" ca="1" si="11"/>
        <v>Serviço</v>
      </c>
      <c r="O78" s="117" t="str">
        <f t="shared" ca="1" si="12"/>
        <v>1.6.1.2.</v>
      </c>
      <c r="P78" s="118" t="s">
        <v>1020</v>
      </c>
      <c r="Q78" s="119" t="s">
        <v>1066</v>
      </c>
      <c r="R78" s="120" t="str" cm="1">
        <f t="array" aca="1" ref="R78" ca="1">IF($C78="S",REFERENCIA.Descricao,"(digite a descrição aqui)")</f>
        <v>(Código não identificado nas referências)</v>
      </c>
      <c r="S78" s="121" t="str" cm="1">
        <f t="array" aca="1" ref="S78" ca="1">REFERENCIA.Unidade</f>
        <v>-</v>
      </c>
      <c r="T78" s="122">
        <f ca="1">OFFSET(CÁLCULO!H$15,ROW($T78)-ROW(T$15),0)</f>
        <v>210</v>
      </c>
      <c r="U78" s="123">
        <v>104.79</v>
      </c>
      <c r="V78" s="124" t="s">
        <v>663</v>
      </c>
      <c r="W78" s="122" cm="1">
        <f t="array" aca="1" ref="W78" ca="1">IF($C78="S",ROUND(IF(TIPOORCAMENTO="Proposto",ORÇAMENTO.CustoUnitario*(1+$AH78),ORÇAMENTO.PrecoUnitarioLicitado),15-13*$AF$10),0)</f>
        <v>130.83000000000001</v>
      </c>
      <c r="X78" s="125" cm="1">
        <f t="array" aca="1" ref="X78" ca="1">IF($C78="S",IF(OR(Import.TipoArredondamento&lt;&gt;"TransfereGOV",ACOMPANHAMENTO="BM"),VTOTAL1,SUM(OFFSET(CÁLCULO!$AA$15,ROW($X78)-ROW($X$15),1):OFFSET(CÁLCULO!$AL$15,ROW($X78)-ROW($X$15),-1))),IF($C78=0,0,ROUND(SomaAgrup,15-13*$AF$11)))</f>
        <v>27474.3</v>
      </c>
      <c r="Y78" s="126" t="s">
        <v>751</v>
      </c>
      <c r="Z78" t="str">
        <f t="shared" ca="1" si="13"/>
        <v>RA</v>
      </c>
      <c r="AA78" s="127" cm="1">
        <f t="array" aca="1" ref="AA78" ca="1">IF($C78="S",IF($Z78="CP",$X78,IF($Z78="RA",(($X78)*QCI!$AA$3),0)),SomaAgrup)</f>
        <v>0</v>
      </c>
      <c r="AB78" s="128" cm="1">
        <f t="array" aca="1" ref="AB78" ca="1">IF($C78="S",IF($Z78="OU",ROUND($X78,2),0),SomaAgrup)</f>
        <v>0</v>
      </c>
      <c r="AC78" s="565"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CÓDIGO N/ID</v>
      </c>
      <c r="AD78" t="str">
        <f ca="1">IF(C78&lt;=CRONO.NivelExibicao,MAX($AD$15:OFFSET(AD78,-1,0))+IF($C78&lt;&gt;1,1,MAX(1,COUNTIF(QCI!$A$13:$A$15,OFFSET($E78,-1,0)))),"")</f>
        <v/>
      </c>
      <c r="AE78" s="7" t="str" cm="1">
        <f t="array" aca="1" ref="AE78" ca="1">IF(AND($C78="S",ORÇAMENTO.CodBarra&lt;&gt;""),IF(ORÇAMENTO.Fonte="",ORÇAMENTO.CodBarra,CONCATENATE(ORÇAMENTO.Fonte," ",ORÇAMENTO.CodBarra)))</f>
        <v>SEINFRA ED-48552</v>
      </c>
      <c r="AF78" s="12" t="str" cm="1">
        <f t="array" aca="1" ref="AF78" ca="1">IF(ISERROR(ORÇAMENTO.BancoRef),"(abra o arquivo 'Referência "&amp;Excel_BuiltIn_Database&amp;".xlsm)",IF(OR($C78&lt;&gt;"S",ORÇAMENTO.CodBarra=""),"(Sem Código)",IF(ISERROR(MATCH($AE78,INDIRECT(ORÇAMENTO.BancoRef),0)),"(Código não identificado nas referências)",MATCH($AE78,INDIRECT(ORÇAMENTO.BancoRef),0))))</f>
        <v>(Código não identificado nas referências)</v>
      </c>
      <c r="AG78" s="428" cm="1">
        <f t="array" aca="1" ref="AG78" ca="1">ROUND(IF(DESONERACAO="sim",REFERENCIA.Desonerado,REFERENCIA.NaoDesonerado),2)</f>
        <v>0</v>
      </c>
      <c r="AH78" s="429">
        <f t="shared" ca="1" si="14"/>
        <v>0.2485</v>
      </c>
      <c r="AJ78" s="431"/>
      <c r="AL78" s="439"/>
      <c r="AM78" s="336">
        <f t="shared" ca="1" si="0"/>
        <v>27474.3</v>
      </c>
      <c r="AN78" s="470" cm="1">
        <f t="array" aca="1" ref="AN78" ca="1">ROUND(ORÇAMENTO.CustoUnitario*(1+$AH78),2)</f>
        <v>130.83000000000001</v>
      </c>
    </row>
    <row r="79" spans="1:40" ht="25.5" x14ac:dyDescent="0.2">
      <c r="A79" t="str">
        <f t="shared" si="1"/>
        <v>S</v>
      </c>
      <c r="B79">
        <f t="shared" ca="1" si="2"/>
        <v>3</v>
      </c>
      <c r="C79" t="str">
        <f t="shared" ca="1" si="3"/>
        <v>S</v>
      </c>
      <c r="D79">
        <f t="shared" ca="1" si="4"/>
        <v>0</v>
      </c>
      <c r="E79">
        <f ca="1">IF($C79=1,OFFSET(E79,-1,0)+MAX(1,COUNTIF(QCI!$A$13:$A$15,OFFSET(ORÇAMENTO!E79,-1,0))),OFFSET(E79,-1,0))</f>
        <v>1</v>
      </c>
      <c r="F79">
        <f t="shared" ca="1" si="5"/>
        <v>6</v>
      </c>
      <c r="G79">
        <f t="shared" ca="1" si="6"/>
        <v>1</v>
      </c>
      <c r="H79">
        <f t="shared" ca="1" si="7"/>
        <v>0</v>
      </c>
      <c r="I79">
        <f t="shared" ca="1" si="8"/>
        <v>3</v>
      </c>
      <c r="J79">
        <f t="shared" ca="1" si="28"/>
        <v>0</v>
      </c>
      <c r="K79">
        <f ca="1">IF(OR($C79="S",$C79=0),0,MATCH(OFFSET($D79,0,$C79)+IF($C79&lt;&gt;1,1,COUNTIF(QCI!$A$13:$A$15,ORÇAMENTO!E79)),OFFSET($D79,1,$C79,ROW($C$93)-ROW($C79)),0))</f>
        <v>0</v>
      </c>
      <c r="L79" s="114" t="str">
        <f t="shared" ca="1" si="10"/>
        <v>F</v>
      </c>
      <c r="M79" s="115" t="s">
        <v>705</v>
      </c>
      <c r="N79" s="116" t="str">
        <f t="shared" ca="1" si="11"/>
        <v>Serviço</v>
      </c>
      <c r="O79" s="117" t="str">
        <f t="shared" ca="1" si="12"/>
        <v>1.6.1.3.</v>
      </c>
      <c r="P79" s="118" t="s">
        <v>1020</v>
      </c>
      <c r="Q79" s="119" t="s">
        <v>1065</v>
      </c>
      <c r="R79" s="120" t="str" cm="1">
        <f t="array" aca="1" ref="R79" ca="1">IF($C79="S",REFERENCIA.Descricao,"(digite a descrição aqui)")</f>
        <v>(Código não identificado nas referências)</v>
      </c>
      <c r="S79" s="121" t="s">
        <v>639</v>
      </c>
      <c r="T79" s="122">
        <f ca="1">OFFSET(CÁLCULO!H$15,ROW($T79)-ROW(T$15),0)</f>
        <v>1</v>
      </c>
      <c r="U79" s="123">
        <v>5104.3</v>
      </c>
      <c r="V79" s="124" t="s">
        <v>663</v>
      </c>
      <c r="W79" s="122" cm="1">
        <f t="array" aca="1" ref="W79" ca="1">IF($C79="S",ROUND(IF(TIPOORCAMENTO="Proposto",ORÇAMENTO.CustoUnitario*(1+$AH79),ORÇAMENTO.PrecoUnitarioLicitado),15-13*$AF$10),0)</f>
        <v>6372.72</v>
      </c>
      <c r="X79" s="125" cm="1">
        <f t="array" aca="1" ref="X79" ca="1">IF($C79="S",IF(OR(Import.TipoArredondamento&lt;&gt;"TransfereGOV",ACOMPANHAMENTO="BM"),VTOTAL1,SUM(OFFSET(CÁLCULO!$AA$15,ROW($X79)-ROW($X$15),1):OFFSET(CÁLCULO!$AL$15,ROW($X79)-ROW($X$15),-1))),IF($C79=0,0,ROUND(SomaAgrup,15-13*$AF$11)))</f>
        <v>6372.72</v>
      </c>
      <c r="Y79" s="126" t="s">
        <v>751</v>
      </c>
      <c r="Z79" t="str">
        <f t="shared" ca="1" si="13"/>
        <v>RA</v>
      </c>
      <c r="AA79" s="127" cm="1">
        <f t="array" aca="1" ref="AA79" ca="1">IF($C79="S",IF($Z79="CP",$X79,IF($Z79="RA",(($X79)*QCI!$AA$3),0)),SomaAgrup)</f>
        <v>0</v>
      </c>
      <c r="AB79" s="128" cm="1">
        <f t="array" aca="1" ref="AB79" ca="1">IF($C79="S",IF($Z79="OU",ROUND($X79,2),0),SomaAgrup)</f>
        <v>0</v>
      </c>
      <c r="AC79" s="565"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CÓDIGO N/ID</v>
      </c>
      <c r="AD79" t="str">
        <f ca="1">IF(C79&lt;=CRONO.NivelExibicao,MAX($AD$15:OFFSET(AD79,-1,0))+IF($C79&lt;&gt;1,1,MAX(1,COUNTIF(QCI!$A$13:$A$15,OFFSET($E79,-1,0)))),"")</f>
        <v/>
      </c>
      <c r="AE79" s="7" t="str" cm="1">
        <f t="array" aca="1" ref="AE79" ca="1">IF(AND($C79="S",ORÇAMENTO.CodBarra&lt;&gt;""),IF(ORÇAMENTO.Fonte="",ORÇAMENTO.CodBarra,CONCATENATE(ORÇAMENTO.Fonte," ",ORÇAMENTO.CodBarra)))</f>
        <v>SEINFRA ED-48149</v>
      </c>
      <c r="AF79" s="12" t="str" cm="1">
        <f t="array" aca="1" ref="AF79" ca="1">IF(ISERROR(ORÇAMENTO.BancoRef),"(abra o arquivo 'Referência "&amp;Excel_BuiltIn_Database&amp;".xlsm)",IF(OR($C79&lt;&gt;"S",ORÇAMENTO.CodBarra=""),"(Sem Código)",IF(ISERROR(MATCH($AE79,INDIRECT(ORÇAMENTO.BancoRef),0)),"(Código não identificado nas referências)",MATCH($AE79,INDIRECT(ORÇAMENTO.BancoRef),0))))</f>
        <v>(Código não identificado nas referências)</v>
      </c>
      <c r="AG79" s="428" cm="1">
        <f t="array" aca="1" ref="AG79" ca="1">ROUND(IF(DESONERACAO="sim",REFERENCIA.Desonerado,REFERENCIA.NaoDesonerado),2)</f>
        <v>0</v>
      </c>
      <c r="AH79" s="429">
        <f t="shared" ca="1" si="14"/>
        <v>0.2485</v>
      </c>
      <c r="AJ79" s="431"/>
      <c r="AL79" s="439"/>
      <c r="AM79" s="336">
        <f t="shared" ca="1" si="0"/>
        <v>6372.72</v>
      </c>
      <c r="AN79" s="470" cm="1">
        <f t="array" aca="1" ref="AN79" ca="1">ROUND(ORÇAMENTO.CustoUnitario*(1+$AH79),2)</f>
        <v>6372.72</v>
      </c>
    </row>
    <row r="80" spans="1:40" x14ac:dyDescent="0.2">
      <c r="A80">
        <f t="shared" ref="A80:A92" si="29">CHOOSE(1+LOG(1+2*(ORÇAMENTO.Nivel="Meta")+4*(ORÇAMENTO.Nivel="Nível 2")+8*(ORÇAMENTO.Nivel="Nível 3")+16*(ORÇAMENTO.Nivel="Nível 4")+32*(ORÇAMENTO.Nivel="Serviço"),2),0,1,2,3,4,"S")</f>
        <v>2</v>
      </c>
      <c r="B80">
        <f t="shared" ref="B80:B92" ca="1" si="30">IF(OR(C80="s",C80=0),OFFSET(B80,-1,0),C80)</f>
        <v>2</v>
      </c>
      <c r="C80">
        <f t="shared" ref="C80:C92" ca="1" si="31">IF(OFFSET(C80,-1,0)="L",1,IF(OFFSET(C80,-1,0)=1,2,IF(OR(A80="s",A80=0),"S",IF(AND(OFFSET(C80,-1,0)=2,A80=4),3,IF(AND(OR(OFFSET(C80,-1,0)="s",OFFSET(C80,-1,0)=0),A80&lt;&gt;"s",A80&gt;OFFSET(B80,-1,0)),OFFSET(B80,-1,0),A80)))))</f>
        <v>2</v>
      </c>
      <c r="D80">
        <f t="shared" ref="D80:D92" ca="1" si="32">IF(OR(C80="S",C80=0),0,IF(ISERROR(K80),J80,SMALL(J80:K80,1)))</f>
        <v>5</v>
      </c>
      <c r="E80">
        <f ca="1">IF($C80=1,OFFSET(E80,-1,0)+MAX(1,COUNTIF(QCI!$A$13:$A$15,OFFSET(ORÇAMENTO!E80,-1,0))),OFFSET(E80,-1,0))</f>
        <v>1</v>
      </c>
      <c r="F80">
        <f t="shared" ref="F80:F92" ca="1" si="33">IF($C80=1,0,IF($C80=2,OFFSET(F80,-1,0)+1,OFFSET(F80,-1,0)))</f>
        <v>7</v>
      </c>
      <c r="G80">
        <f t="shared" ref="G80:G92" ca="1" si="34">IF(AND($C80&lt;=2,$C80&lt;&gt;0),0,IF($C80=3,OFFSET(G80,-1,0)+1,OFFSET(G80,-1,0)))</f>
        <v>0</v>
      </c>
      <c r="H80">
        <f t="shared" ref="H80:H92" ca="1" si="35">IF(AND($C80&lt;=3,$C80&lt;&gt;0),0,IF($C80=4,OFFSET(H80,-1,0)+1,OFFSET(H80,-1,0)))</f>
        <v>0</v>
      </c>
      <c r="I80">
        <f t="shared" ref="I80:I92" ca="1" si="36">IF(AND($C80&lt;=4,$C80&lt;&gt;0),0,IF(AND($C80="S",$X80&gt;0),OFFSET(I80,-1,0)+1,OFFSET(I80,-1,0)))</f>
        <v>0</v>
      </c>
      <c r="J80">
        <f t="shared" ref="J80:J92" ca="1" si="37">IF(OR($C80="S",$C80=0),0,MATCH(0,OFFSET($D80,1,$C80,ROW($C$93)-ROW($C80)),0))</f>
        <v>13</v>
      </c>
      <c r="K80">
        <f ca="1">IF(OR($C80="S",$C80=0),0,MATCH(OFFSET($D80,0,$C80)+IF($C80&lt;&gt;1,1,COUNTIF(QCI!$A$13:$A$15,ORÇAMENTO!E80)),OFFSET($D80,1,$C80,ROW($C$93)-ROW($C80)),0))</f>
        <v>5</v>
      </c>
      <c r="L80" s="114" t="str">
        <f t="shared" ref="L80:L92" ca="1" si="38">IF(OR($X80&gt;0,$C80=1,$C80=2,$C80=3,$C80=4),"F","")</f>
        <v>F</v>
      </c>
      <c r="M80" s="115" t="s">
        <v>702</v>
      </c>
      <c r="N80" s="116" t="str">
        <f t="shared" ref="N80:N92" ca="1" si="39">CHOOSE(1+LOG(1+2*(C80=1)+4*(C80=2)+8*(C80=3)+16*(C80=4)+32*(C80="S"),2),"","Meta","Nível 2","Nível 3","Nível 4","Serviço")</f>
        <v>Nível 2</v>
      </c>
      <c r="O80" s="117" t="str">
        <f t="shared" ref="O80:O92" ca="1" si="40">IF(OR($C80=0,$L80=""),"-",CONCATENATE(E80&amp;".",IF(AND($A$5&gt;=2,$C80&gt;=2),F80&amp;".",""),IF(AND($A$5&gt;=3,$C80&gt;=3),G80&amp;".",""),IF(AND($A$5&gt;=4,$C80&gt;=4),H80&amp;".",""),IF($C80="S",I80&amp;".","")))</f>
        <v>1.7.</v>
      </c>
      <c r="P80" s="118" t="s">
        <v>750</v>
      </c>
      <c r="Q80" s="119"/>
      <c r="R80" s="120" t="str">
        <f ca="1">IF($C80="S",REFERENCIA.Descricao,"EQUIPAMENTOS")</f>
        <v>EQUIPAMENTOS</v>
      </c>
      <c r="S80" s="121" t="str" cm="1">
        <f t="array" aca="1" ref="S80" ca="1">REFERENCIA.Unidade</f>
        <v>-</v>
      </c>
      <c r="T80" s="122">
        <f ca="1">OFFSET(CÁLCULO!H$15,ROW($T80)-ROW(T$15),0)</f>
        <v>0</v>
      </c>
      <c r="U80" s="123"/>
      <c r="V80" s="124" t="s">
        <v>663</v>
      </c>
      <c r="W80" s="122" cm="1">
        <f t="array" aca="1" ref="W80" ca="1">IF($C80="S",ROUND(IF(TIPOORCAMENTO="Proposto",ORÇAMENTO.CustoUnitario*(1+$AH80),ORÇAMENTO.PrecoUnitarioLicitado),15-13*$AF$10),0)</f>
        <v>0</v>
      </c>
      <c r="X80" s="125" cm="1">
        <f t="array" aca="1" ref="X80" ca="1">IF($C80="S",IF(OR(Import.TipoArredondamento&lt;&gt;"TransfereGOV",ACOMPANHAMENTO="BM"),VTOTAL1,SUM(OFFSET(CÁLCULO!$AA$15,ROW($X80)-ROW($X$15),1):OFFSET(CÁLCULO!$AL$15,ROW($X80)-ROW($X$15),-1))),IF($C80=0,0,ROUND(SomaAgrup,15-13*$AF$11)))</f>
        <v>14327820.48</v>
      </c>
      <c r="Y80" s="126" t="s">
        <v>751</v>
      </c>
      <c r="Z80" t="str">
        <f t="shared" ref="Z80:Z92" ca="1" si="41">IF(AND($C80="S",$X80&gt;0),IF(ISBLANK($Y80),"RA",LEFT($Y80,2)),"")</f>
        <v/>
      </c>
      <c r="AA80" s="127" cm="1">
        <f t="array" aca="1" ref="AA80" ca="1">IF($C80="S",IF($Z80="CP",$X80,IF($Z80="RA",(($X80)*QCI!$AA$3),0)),SomaAgrup)</f>
        <v>0</v>
      </c>
      <c r="AB80" s="128" cm="1">
        <f t="array" aca="1" ref="AB80" ca="1">IF($C80="S",IF($Z80="OU",ROUND($X80,2),0),SomaAgrup)</f>
        <v>0</v>
      </c>
      <c r="AC80" s="565"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f ca="1">IF(C80&lt;=CRONO.NivelExibicao,MAX($AD$15:OFFSET(AD80,-1,0))+IF($C80&lt;&gt;1,1,MAX(1,COUNTIF(QCI!$A$13:$A$15,OFFSET($E80,-1,0)))),"")</f>
        <v>8</v>
      </c>
      <c r="AE80" s="7" t="b" cm="1">
        <f t="array" aca="1" ref="AE80" ca="1">IF(AND($C80="S",ORÇAMENTO.CodBarra&lt;&gt;""),IF(ORÇAMENTO.Fonte="",ORÇAMENTO.CodBarra,CONCATENATE(ORÇAMENTO.Fonte," ",ORÇAMENTO.CodBarra)))</f>
        <v>0</v>
      </c>
      <c r="AF80" s="12" t="str" cm="1">
        <f t="array" aca="1" ref="AF80" ca="1">IF(ISERROR(ORÇAMENTO.BancoRef),"(abra o arquivo 'Referência "&amp;Excel_BuiltIn_Database&amp;".xlsm)",IF(OR($C80&lt;&gt;"S",ORÇAMENTO.CodBarra=""),"(Sem Código)",IF(ISERROR(MATCH($AE80,INDIRECT(ORÇAMENTO.BancoRef),0)),"(Código não identificado nas referências)",MATCH($AE80,INDIRECT(ORÇAMENTO.BancoRef),0))))</f>
        <v>(Sem Código)</v>
      </c>
      <c r="AG80" s="428" cm="1">
        <f t="array" aca="1" ref="AG80" ca="1">ROUND(IF(DESONERACAO="sim",REFERENCIA.Desonerado,REFERENCIA.NaoDesonerado),2)</f>
        <v>0</v>
      </c>
      <c r="AH80" s="429">
        <f t="shared" ref="AH80:AH92" ca="1" si="42">ROUND(IF(ISNUMBER(ORÇAMENTO.OpcaoBDI),ORÇAMENTO.OpcaoBDI,IF(LEFT(ORÇAMENTO.OpcaoBDI,3)="BDI",HLOOKUP(ORÇAMENTO.OpcaoBDI,$F$4:$H$5,2,FALSE),0)),15-11*$AF$9)</f>
        <v>0.2485</v>
      </c>
      <c r="AJ80" s="431"/>
      <c r="AL80" s="439"/>
      <c r="AM80" s="336">
        <f t="shared" ca="1" si="0"/>
        <v>14327820.48</v>
      </c>
      <c r="AN80" s="470" cm="1">
        <f t="array" aca="1" ref="AN80" ca="1">ROUND(ORÇAMENTO.CustoUnitario*(1+$AH80),2)</f>
        <v>0</v>
      </c>
    </row>
    <row r="81" spans="1:40" x14ac:dyDescent="0.2">
      <c r="A81">
        <f t="shared" si="29"/>
        <v>3</v>
      </c>
      <c r="B81">
        <f t="shared" ca="1" si="30"/>
        <v>3</v>
      </c>
      <c r="C81">
        <f t="shared" ca="1" si="31"/>
        <v>3</v>
      </c>
      <c r="D81">
        <f t="shared" ca="1" si="32"/>
        <v>2</v>
      </c>
      <c r="E81">
        <f ca="1">IF($C81=1,OFFSET(E81,-1,0)+MAX(1,COUNTIF(QCI!$A$13:$A$15,OFFSET(ORÇAMENTO!E81,-1,0))),OFFSET(E81,-1,0))</f>
        <v>1</v>
      </c>
      <c r="F81">
        <f t="shared" ca="1" si="33"/>
        <v>7</v>
      </c>
      <c r="G81">
        <f t="shared" ca="1" si="34"/>
        <v>1</v>
      </c>
      <c r="H81">
        <f t="shared" ca="1" si="35"/>
        <v>0</v>
      </c>
      <c r="I81">
        <f t="shared" ca="1" si="36"/>
        <v>0</v>
      </c>
      <c r="J81">
        <f t="shared" ca="1" si="37"/>
        <v>4</v>
      </c>
      <c r="K81">
        <f ca="1">IF(OR($C81="S",$C81=0),0,MATCH(OFFSET($D81,0,$C81)+IF($C81&lt;&gt;1,1,COUNTIF(QCI!$A$13:$A$15,ORÇAMENTO!E81)),OFFSET($D81,1,$C81,ROW($C$93)-ROW($C81)),0))</f>
        <v>2</v>
      </c>
      <c r="L81" s="114" t="str">
        <f t="shared" ca="1" si="38"/>
        <v>F</v>
      </c>
      <c r="M81" s="115" t="s">
        <v>703</v>
      </c>
      <c r="N81" s="116" t="str">
        <f t="shared" ca="1" si="39"/>
        <v>Nível 3</v>
      </c>
      <c r="O81" s="117" t="str">
        <f t="shared" ca="1" si="40"/>
        <v>1.7.1.</v>
      </c>
      <c r="P81" s="118" t="s">
        <v>750</v>
      </c>
      <c r="Q81" s="119"/>
      <c r="R81" s="120" t="str">
        <f ca="1">IF($C81="S",REFERENCIA.Descricao,"UTM")</f>
        <v>UTM</v>
      </c>
      <c r="S81" s="121" t="str" cm="1">
        <f t="array" aca="1" ref="S81" ca="1">REFERENCIA.Unidade</f>
        <v>-</v>
      </c>
      <c r="T81" s="122">
        <f ca="1">OFFSET(CÁLCULO!H$15,ROW($T81)-ROW(T$15),0)</f>
        <v>0</v>
      </c>
      <c r="U81" s="123"/>
      <c r="V81" s="124" t="s">
        <v>663</v>
      </c>
      <c r="W81" s="122" cm="1">
        <f t="array" aca="1" ref="W81" ca="1">IF($C81="S",ROUND(IF(TIPOORCAMENTO="Proposto",ORÇAMENTO.CustoUnitario*(1+$AH81),ORÇAMENTO.PrecoUnitarioLicitado),15-13*$AF$10),0)</f>
        <v>0</v>
      </c>
      <c r="X81" s="125" cm="1">
        <f t="array" aca="1" ref="X81" ca="1">IF($C81="S",IF(OR(Import.TipoArredondamento&lt;&gt;"TransfereGOV",ACOMPANHAMENTO="BM"),VTOTAL1,SUM(OFFSET(CÁLCULO!$AA$15,ROW($X81)-ROW($X$15),1):OFFSET(CÁLCULO!$AL$15,ROW($X81)-ROW($X$15),-1))),IF($C81=0,0,ROUND(SomaAgrup,15-13*$AF$11)))</f>
        <v>14039431.68</v>
      </c>
      <c r="Y81" s="126" t="s">
        <v>751</v>
      </c>
      <c r="Z81" t="str">
        <f t="shared" ca="1" si="41"/>
        <v/>
      </c>
      <c r="AA81" s="127" cm="1">
        <f t="array" aca="1" ref="AA81" ca="1">IF($C81="S",IF($Z81="CP",$X81,IF($Z81="RA",(($X81)*QCI!$AA$3),0)),SomaAgrup)</f>
        <v>0</v>
      </c>
      <c r="AB81" s="128" cm="1">
        <f t="array" aca="1" ref="AB81" ca="1">IF($C81="S",IF($Z81="OU",ROUND($X81,2),0),SomaAgrup)</f>
        <v>0</v>
      </c>
      <c r="AC81" s="565" t="str"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IF(AND(TIPOORCAMENTO="Licitado",$AL81=0,$AN81&gt;0),"SEM PREÇO",
IF(AND($C81="S",$P81&lt;&gt;"",$Q81&lt;&gt;"",$U81&gt;0,AND($V81&lt;&gt;"BDI 1",$V81&lt;&gt;"BDI 2",$V81&lt;&gt;"BDI 3")),IF(ISNUMBER($V81),"JUSTIFICAR BDI","BDI"),
IF(OR(AND(import.recurso="OGU",TIPOORCAMENTO="Proposto",LEFT($O$8,5)&lt;&gt;"(N/D:",$AG81&lt;&gt;"",ORÇAMENTO.CustoUnitario&gt;$AG81),AND(TIPOORCAMENTO="LICITADO",ORÇAMENTO.PrecoUnitarioLicitado&gt;$AN81)),"ACIMA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t="str">
        <f ca="1">IF(C81&lt;=CRONO.NivelExibicao,MAX($AD$15:OFFSET(AD81,-1,0))+IF($C81&lt;&gt;1,1,MAX(1,COUNTIF(QCI!$A$13:$A$15,OFFSET($E81,-1,0)))),"")</f>
        <v/>
      </c>
      <c r="AE81" s="7" t="b" cm="1">
        <f t="array" aca="1" ref="AE81" ca="1">IF(AND($C81="S",ORÇAMENTO.CodBarra&lt;&gt;""),IF(ORÇAMENTO.Fonte="",ORÇAMENTO.CodBarra,CONCATENATE(ORÇAMENTO.Fonte," ",ORÇAMENTO.CodBarra)))</f>
        <v>0</v>
      </c>
      <c r="AF81" s="12" t="str" cm="1">
        <f t="array" aca="1" ref="AF81" ca="1">IF(ISERROR(ORÇAMENTO.BancoRef),"(abra o arquivo 'Referência "&amp;Excel_BuiltIn_Database&amp;".xlsm)",IF(OR($C81&lt;&gt;"S",ORÇAMENTO.CodBarra=""),"(Sem Código)",IF(ISERROR(MATCH($AE81,INDIRECT(ORÇAMENTO.BancoRef),0)),"(Código não identificado nas referências)",MATCH($AE81,INDIRECT(ORÇAMENTO.BancoRef),0))))</f>
        <v>(Sem Código)</v>
      </c>
      <c r="AG81" s="428" cm="1">
        <f t="array" aca="1" ref="AG81" ca="1">ROUND(IF(DESONERACAO="sim",REFERENCIA.Desonerado,REFERENCIA.NaoDesonerado),2)</f>
        <v>0</v>
      </c>
      <c r="AH81" s="429">
        <f t="shared" ca="1" si="42"/>
        <v>0.2485</v>
      </c>
      <c r="AJ81" s="431"/>
      <c r="AL81" s="439"/>
      <c r="AM81" s="336">
        <f t="shared" ca="1" si="0"/>
        <v>14039431.68</v>
      </c>
      <c r="AN81" s="470" cm="1">
        <f t="array" aca="1" ref="AN81" ca="1">ROUND(ORÇAMENTO.CustoUnitario*(1+$AH81),2)</f>
        <v>0</v>
      </c>
    </row>
    <row r="82" spans="1:40" ht="51" x14ac:dyDescent="0.2">
      <c r="A82" t="str">
        <f t="shared" si="29"/>
        <v>S</v>
      </c>
      <c r="B82">
        <f t="shared" ca="1" si="30"/>
        <v>3</v>
      </c>
      <c r="C82" t="str">
        <f t="shared" ca="1" si="31"/>
        <v>S</v>
      </c>
      <c r="D82">
        <f t="shared" ca="1" si="32"/>
        <v>0</v>
      </c>
      <c r="E82">
        <f ca="1">IF($C82=1,OFFSET(E82,-1,0)+MAX(1,COUNTIF(QCI!$A$13:$A$15,OFFSET(ORÇAMENTO!E82,-1,0))),OFFSET(E82,-1,0))</f>
        <v>1</v>
      </c>
      <c r="F82">
        <f t="shared" ca="1" si="33"/>
        <v>7</v>
      </c>
      <c r="G82">
        <f t="shared" ca="1" si="34"/>
        <v>1</v>
      </c>
      <c r="H82">
        <f t="shared" ca="1" si="35"/>
        <v>0</v>
      </c>
      <c r="I82">
        <f t="shared" ca="1" si="36"/>
        <v>1</v>
      </c>
      <c r="J82">
        <f t="shared" ca="1" si="37"/>
        <v>0</v>
      </c>
      <c r="K82">
        <f ca="1">IF(OR($C82="S",$C82=0),0,MATCH(OFFSET($D82,0,$C82)+IF($C82&lt;&gt;1,1,COUNTIF(QCI!$A$13:$A$15,ORÇAMENTO!E82)),OFFSET($D82,1,$C82,ROW($C$93)-ROW($C82)),0))</f>
        <v>0</v>
      </c>
      <c r="L82" s="114" t="str">
        <f t="shared" ca="1" si="38"/>
        <v>F</v>
      </c>
      <c r="M82" s="115" t="s">
        <v>705</v>
      </c>
      <c r="N82" s="116" t="str">
        <f t="shared" ca="1" si="39"/>
        <v>Serviço</v>
      </c>
      <c r="O82" s="117" t="str">
        <f t="shared" ca="1" si="40"/>
        <v>1.7.1.1.</v>
      </c>
      <c r="P82" s="118" t="s">
        <v>1064</v>
      </c>
      <c r="Q82" s="119" t="s">
        <v>1112</v>
      </c>
      <c r="R82" s="120" t="str" cm="1">
        <f t="array" aca="1" ref="R82" ca="1">IF($C82="S",REFERENCIA.Descricao,"(digite a descrição aqui)")</f>
        <v>(Código não identificado nas referências)</v>
      </c>
      <c r="S82" s="121" t="s">
        <v>639</v>
      </c>
      <c r="T82" s="122">
        <f ca="1">OFFSET(CÁLCULO!H$15,ROW($T82)-ROW(T$15),0)</f>
        <v>1</v>
      </c>
      <c r="U82" s="123">
        <v>12267941</v>
      </c>
      <c r="V82" s="124" t="s">
        <v>697</v>
      </c>
      <c r="W82" s="122" cm="1">
        <f t="array" aca="1" ref="W82" ca="1">IF($C82="S",ROUND(IF(TIPOORCAMENTO="Proposto",ORÇAMENTO.CustoUnitario*(1+$AH82),ORÇAMENTO.PrecoUnitarioLicitado),15-13*$AF$10),0)</f>
        <v>14039431.68</v>
      </c>
      <c r="X82" s="125" cm="1">
        <f t="array" aca="1" ref="X82" ca="1">IF($C82="S",IF(OR(Import.TipoArredondamento&lt;&gt;"TransfereGOV",ACOMPANHAMENTO="BM"),VTOTAL1,SUM(OFFSET(CÁLCULO!$AA$15,ROW($X82)-ROW($X$15),1):OFFSET(CÁLCULO!$AL$15,ROW($X82)-ROW($X$15),-1))),IF($C82=0,0,ROUND(SomaAgrup,15-13*$AF$11)))</f>
        <v>14039431.68</v>
      </c>
      <c r="Y82" s="126" t="s">
        <v>751</v>
      </c>
      <c r="Z82" t="str">
        <f t="shared" ca="1" si="41"/>
        <v>RA</v>
      </c>
      <c r="AA82" s="127" cm="1">
        <f t="array" aca="1" ref="AA82" ca="1">IF($C82="S",IF($Z82="CP",$X82,IF($Z82="RA",(($X82)*QCI!$AA$3),0)),SomaAgrup)</f>
        <v>0</v>
      </c>
      <c r="AB82" s="128" cm="1">
        <f t="array" aca="1" ref="AB82" ca="1">IF($C82="S",IF($Z82="OU",ROUND($X82,2),0),SomaAgrup)</f>
        <v>0</v>
      </c>
      <c r="AC82" s="565"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IF(AND(TIPOORCAMENTO="Licitado",$AL82=0,$AN82&gt;0),"SEM PREÇO",
IF(AND($C82="S",$P82&lt;&gt;"",$Q82&lt;&gt;"",$U82&gt;0,AND($V82&lt;&gt;"BDI 1",$V82&lt;&gt;"BDI 2",$V82&lt;&gt;"BDI 3")),IF(ISNUMBER($V82),"JUSTIFICAR BDI","BDI"),
IF(OR(AND(import.recurso="OGU",TIPOORCAMENTO="Proposto",LEFT($O$8,5)&lt;&gt;"(N/D:",$AG82&lt;&gt;"",ORÇAMENTO.CustoUnitario&gt;$AG82),AND(TIPOORCAMENTO="LICITADO",ORÇAMENTO.PrecoUnitarioLicitado&gt;$AN82)),"ACIMA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CÓDIGO N/ID</v>
      </c>
      <c r="AD82" t="str">
        <f ca="1">IF(C82&lt;=CRONO.NivelExibicao,MAX($AD$15:OFFSET(AD82,-1,0))+IF($C82&lt;&gt;1,1,MAX(1,COUNTIF(QCI!$A$13:$A$15,OFFSET($E82,-1,0)))),"")</f>
        <v/>
      </c>
      <c r="AE82" s="7" t="str" cm="1">
        <f t="array" aca="1" ref="AE82" ca="1">IF(AND($C82="S",ORÇAMENTO.CodBarra&lt;&gt;""),IF(ORÇAMENTO.Fonte="",ORÇAMENTO.CodBarra,CONCATENATE(ORÇAMENTO.Fonte," ",ORÇAMENTO.CodBarra)))</f>
        <v>PARAMÉTRICO T. MEC. 1</v>
      </c>
      <c r="AF82" s="12" t="str" cm="1">
        <f t="array" aca="1" ref="AF82" ca="1">IF(ISERROR(ORÇAMENTO.BancoRef),"(abra o arquivo 'Referência "&amp;Excel_BuiltIn_Database&amp;".xlsm)",IF(OR($C82&lt;&gt;"S",ORÇAMENTO.CodBarra=""),"(Sem Código)",IF(ISERROR(MATCH($AE82,INDIRECT(ORÇAMENTO.BancoRef),0)),"(Código não identificado nas referências)",MATCH($AE82,INDIRECT(ORÇAMENTO.BancoRef),0))))</f>
        <v>(Código não identificado nas referências)</v>
      </c>
      <c r="AG82" s="428" cm="1">
        <f t="array" aca="1" ref="AG82" ca="1">ROUND(IF(DESONERACAO="sim",REFERENCIA.Desonerado,REFERENCIA.NaoDesonerado),2)</f>
        <v>0</v>
      </c>
      <c r="AH82" s="429">
        <f t="shared" ca="1" si="42"/>
        <v>0.1444</v>
      </c>
      <c r="AJ82" s="431"/>
      <c r="AL82" s="439"/>
      <c r="AM82" s="336">
        <f t="shared" ca="1" si="0"/>
        <v>14039431.68</v>
      </c>
      <c r="AN82" s="470" cm="1">
        <f t="array" aca="1" ref="AN82" ca="1">ROUND(ORÇAMENTO.CustoUnitario*(1+$AH82),2)</f>
        <v>14039431.68</v>
      </c>
    </row>
    <row r="83" spans="1:40" x14ac:dyDescent="0.2">
      <c r="A83">
        <f t="shared" si="29"/>
        <v>3</v>
      </c>
      <c r="B83">
        <f t="shared" ca="1" si="30"/>
        <v>3</v>
      </c>
      <c r="C83">
        <f t="shared" ca="1" si="31"/>
        <v>3</v>
      </c>
      <c r="D83">
        <f t="shared" ca="1" si="32"/>
        <v>2</v>
      </c>
      <c r="E83">
        <f ca="1">IF($C83=1,OFFSET(E83,-1,0)+MAX(1,COUNTIF(QCI!$A$13:$A$15,OFFSET(ORÇAMENTO!E83,-1,0))),OFFSET(E83,-1,0))</f>
        <v>1</v>
      </c>
      <c r="F83">
        <f t="shared" ca="1" si="33"/>
        <v>7</v>
      </c>
      <c r="G83">
        <f t="shared" ca="1" si="34"/>
        <v>2</v>
      </c>
      <c r="H83">
        <f t="shared" ca="1" si="35"/>
        <v>0</v>
      </c>
      <c r="I83">
        <f t="shared" ca="1" si="36"/>
        <v>0</v>
      </c>
      <c r="J83">
        <f t="shared" ca="1" si="37"/>
        <v>2</v>
      </c>
      <c r="K83" t="e">
        <f ca="1">IF(OR($C83="S",$C83=0),0,MATCH(OFFSET($D83,0,$C83)+IF($C83&lt;&gt;1,1,COUNTIF(QCI!$A$13:$A$15,ORÇAMENTO!E83)),OFFSET($D83,1,$C83,ROW($C$93)-ROW($C83)),0))</f>
        <v>#N/A</v>
      </c>
      <c r="L83" s="114" t="str">
        <f t="shared" ca="1" si="38"/>
        <v>F</v>
      </c>
      <c r="M83" s="115" t="s">
        <v>703</v>
      </c>
      <c r="N83" s="116" t="str">
        <f t="shared" ca="1" si="39"/>
        <v>Nível 3</v>
      </c>
      <c r="O83" s="117" t="str">
        <f t="shared" ca="1" si="40"/>
        <v>1.7.2.</v>
      </c>
      <c r="P83" s="118" t="s">
        <v>750</v>
      </c>
      <c r="Q83" s="119"/>
      <c r="R83" s="120" t="str">
        <f ca="1">IF($C83="S",REFERENCIA.Descricao,"BALANÇA")</f>
        <v>BALANÇA</v>
      </c>
      <c r="S83" s="121" t="str" cm="1">
        <f t="array" aca="1" ref="S83" ca="1">REFERENCIA.Unidade</f>
        <v>-</v>
      </c>
      <c r="T83" s="122">
        <f ca="1">OFFSET(CÁLCULO!H$15,ROW($T83)-ROW(T$15),0)</f>
        <v>0</v>
      </c>
      <c r="U83" s="123"/>
      <c r="V83" s="124" t="s">
        <v>663</v>
      </c>
      <c r="W83" s="122" cm="1">
        <f t="array" aca="1" ref="W83" ca="1">IF($C83="S",ROUND(IF(TIPOORCAMENTO="Proposto",ORÇAMENTO.CustoUnitario*(1+$AH83),ORÇAMENTO.PrecoUnitarioLicitado),15-13*$AF$10),0)</f>
        <v>0</v>
      </c>
      <c r="X83" s="125" cm="1">
        <f t="array" aca="1" ref="X83" ca="1">IF($C83="S",IF(OR(Import.TipoArredondamento&lt;&gt;"TransfereGOV",ACOMPANHAMENTO="BM"),VTOTAL1,SUM(OFFSET(CÁLCULO!$AA$15,ROW($X83)-ROW($X$15),1):OFFSET(CÁLCULO!$AL$15,ROW($X83)-ROW($X$15),-1))),IF($C83=0,0,ROUND(SomaAgrup,15-13*$AF$11)))</f>
        <v>288388.8</v>
      </c>
      <c r="Y83" s="126" t="s">
        <v>751</v>
      </c>
      <c r="Z83" t="str">
        <f t="shared" ca="1" si="41"/>
        <v/>
      </c>
      <c r="AA83" s="127" cm="1">
        <f t="array" aca="1" ref="AA83" ca="1">IF($C83="S",IF($Z83="CP",$X83,IF($Z83="RA",(($X83)*QCI!$AA$3),0)),SomaAgrup)</f>
        <v>0</v>
      </c>
      <c r="AB83" s="128" cm="1">
        <f t="array" aca="1" ref="AB83" ca="1">IF($C83="S",IF($Z83="OU",ROUND($X83,2),0),SomaAgrup)</f>
        <v>0</v>
      </c>
      <c r="AC83" s="565"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IF(AND(TIPOORCAMENTO="Licitado",$AL83=0,$AN83&gt;0),"SEM PREÇO",
IF(AND($C83="S",$P83&lt;&gt;"",$Q83&lt;&gt;"",$U83&gt;0,AND($V83&lt;&gt;"BDI 1",$V83&lt;&gt;"BDI 2",$V83&lt;&gt;"BDI 3")),IF(ISNUMBER($V83),"JUSTIFICAR BDI","BDI"),
IF(OR(AND(import.recurso="OGU",TIPOORCAMENTO="Proposto",LEFT($O$8,5)&lt;&gt;"(N/D:",$AG83&lt;&gt;"",ORÇAMENTO.CustoUnitario&gt;$AG83),AND(TIPOORCAMENTO="LICITADO",ORÇAMENTO.PrecoUnitarioLicitado&gt;$AN83)),"ACIMA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t="str">
        <f ca="1">IF(C83&lt;=CRONO.NivelExibicao,MAX($AD$15:OFFSET(AD83,-1,0))+IF($C83&lt;&gt;1,1,MAX(1,COUNTIF(QCI!$A$13:$A$15,OFFSET($E83,-1,0)))),"")</f>
        <v/>
      </c>
      <c r="AE83" s="7" t="b" cm="1">
        <f t="array" aca="1" ref="AE83" ca="1">IF(AND($C83="S",ORÇAMENTO.CodBarra&lt;&gt;""),IF(ORÇAMENTO.Fonte="",ORÇAMENTO.CodBarra,CONCATENATE(ORÇAMENTO.Fonte," ",ORÇAMENTO.CodBarra)))</f>
        <v>0</v>
      </c>
      <c r="AF83" s="12" t="str" cm="1">
        <f t="array" aca="1" ref="AF83" ca="1">IF(ISERROR(ORÇAMENTO.BancoRef),"(abra o arquivo 'Referência "&amp;Excel_BuiltIn_Database&amp;".xlsm)",IF(OR($C83&lt;&gt;"S",ORÇAMENTO.CodBarra=""),"(Sem Código)",IF(ISERROR(MATCH($AE83,INDIRECT(ORÇAMENTO.BancoRef),0)),"(Código não identificado nas referências)",MATCH($AE83,INDIRECT(ORÇAMENTO.BancoRef),0))))</f>
        <v>(Sem Código)</v>
      </c>
      <c r="AG83" s="428" cm="1">
        <f t="array" aca="1" ref="AG83" ca="1">ROUND(IF(DESONERACAO="sim",REFERENCIA.Desonerado,REFERENCIA.NaoDesonerado),2)</f>
        <v>0</v>
      </c>
      <c r="AH83" s="429">
        <f t="shared" ca="1" si="42"/>
        <v>0.2485</v>
      </c>
      <c r="AJ83" s="431"/>
      <c r="AL83" s="439"/>
      <c r="AM83" s="336">
        <f t="shared" ca="1" si="0"/>
        <v>288388.8</v>
      </c>
      <c r="AN83" s="470" cm="1">
        <f t="array" aca="1" ref="AN83" ca="1">ROUND(ORÇAMENTO.CustoUnitario*(1+$AH83),2)</f>
        <v>0</v>
      </c>
    </row>
    <row r="84" spans="1:40" ht="89.25" x14ac:dyDescent="0.2">
      <c r="A84" t="str">
        <f t="shared" si="29"/>
        <v>S</v>
      </c>
      <c r="B84">
        <f t="shared" ca="1" si="30"/>
        <v>3</v>
      </c>
      <c r="C84" t="str">
        <f t="shared" ca="1" si="31"/>
        <v>S</v>
      </c>
      <c r="D84">
        <f t="shared" ca="1" si="32"/>
        <v>0</v>
      </c>
      <c r="E84">
        <f ca="1">IF($C84=1,OFFSET(E84,-1,0)+MAX(1,COUNTIF(QCI!$A$13:$A$15,OFFSET(ORÇAMENTO!E84,-1,0))),OFFSET(E84,-1,0))</f>
        <v>1</v>
      </c>
      <c r="F84">
        <f t="shared" ca="1" si="33"/>
        <v>7</v>
      </c>
      <c r="G84">
        <f t="shared" ca="1" si="34"/>
        <v>2</v>
      </c>
      <c r="H84">
        <f t="shared" ca="1" si="35"/>
        <v>0</v>
      </c>
      <c r="I84">
        <f t="shared" ca="1" si="36"/>
        <v>1</v>
      </c>
      <c r="J84">
        <f t="shared" ca="1" si="37"/>
        <v>0</v>
      </c>
      <c r="K84">
        <f ca="1">IF(OR($C84="S",$C84=0),0,MATCH(OFFSET($D84,0,$C84)+IF($C84&lt;&gt;1,1,COUNTIF(QCI!$A$13:$A$15,ORÇAMENTO!E84)),OFFSET($D84,1,$C84,ROW($C$93)-ROW($C84)),0))</f>
        <v>0</v>
      </c>
      <c r="L84" s="114" t="str">
        <f t="shared" ca="1" si="38"/>
        <v>F</v>
      </c>
      <c r="M84" s="115" t="s">
        <v>705</v>
      </c>
      <c r="N84" s="116" t="str">
        <f t="shared" ca="1" si="39"/>
        <v>Serviço</v>
      </c>
      <c r="O84" s="117" t="str">
        <f t="shared" ca="1" si="40"/>
        <v>1.7.2.1.</v>
      </c>
      <c r="P84" s="118" t="s">
        <v>1064</v>
      </c>
      <c r="Q84" s="119" t="s">
        <v>1113</v>
      </c>
      <c r="R84" s="120" t="str" cm="1">
        <f t="array" aca="1" ref="R84" ca="1">IF($C84="S",REFERENCIA.Descricao,"(digite a descrição aqui)")</f>
        <v>(Código não identificado nas referências)</v>
      </c>
      <c r="S84" s="121" t="s">
        <v>639</v>
      </c>
      <c r="T84" s="122">
        <f ca="1">OFFSET(CÁLCULO!H$15,ROW($T84)-ROW(T$15),0)</f>
        <v>1</v>
      </c>
      <c r="U84" s="123">
        <v>252000</v>
      </c>
      <c r="V84" s="124" t="s">
        <v>697</v>
      </c>
      <c r="W84" s="122" cm="1">
        <f t="array" aca="1" ref="W84" ca="1">IF($C84="S",ROUND(IF(TIPOORCAMENTO="Proposto",ORÇAMENTO.CustoUnitario*(1+$AH84),ORÇAMENTO.PrecoUnitarioLicitado),15-13*$AF$10),0)</f>
        <v>288388.8</v>
      </c>
      <c r="X84" s="125" cm="1">
        <f t="array" aca="1" ref="X84" ca="1">IF($C84="S",IF(OR(Import.TipoArredondamento&lt;&gt;"TransfereGOV",ACOMPANHAMENTO="BM"),VTOTAL1,SUM(OFFSET(CÁLCULO!$AA$15,ROW($X84)-ROW($X$15),1):OFFSET(CÁLCULO!$AL$15,ROW($X84)-ROW($X$15),-1))),IF($C84=0,0,ROUND(SomaAgrup,15-13*$AF$11)))</f>
        <v>288388.8</v>
      </c>
      <c r="Y84" s="126" t="s">
        <v>751</v>
      </c>
      <c r="Z84" t="str">
        <f t="shared" ca="1" si="41"/>
        <v>RA</v>
      </c>
      <c r="AA84" s="127" cm="1">
        <f t="array" aca="1" ref="AA84" ca="1">IF($C84="S",IF($Z84="CP",$X84,IF($Z84="RA",(($X84)*QCI!$AA$3),0)),SomaAgrup)</f>
        <v>0</v>
      </c>
      <c r="AB84" s="128" cm="1">
        <f t="array" aca="1" ref="AB84" ca="1">IF($C84="S",IF($Z84="OU",ROUND($X84,2),0),SomaAgrup)</f>
        <v>0</v>
      </c>
      <c r="AC84" s="565"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IF(AND(TIPOORCAMENTO="Licitado",$AL84=0,$AN84&gt;0),"SEM PREÇO",
IF(AND($C84="S",$P84&lt;&gt;"",$Q84&lt;&gt;"",$U84&gt;0,AND($V84&lt;&gt;"BDI 1",$V84&lt;&gt;"BDI 2",$V84&lt;&gt;"BDI 3")),IF(ISNUMBER($V84),"JUSTIFICAR BDI","BDI"),
IF(OR(AND(import.recurso="OGU",TIPOORCAMENTO="Proposto",LEFT($O$8,5)&lt;&gt;"(N/D:",$AG84&lt;&gt;"",ORÇAMENTO.CustoUnitario&gt;$AG84),AND(TIPOORCAMENTO="LICITADO",ORÇAMENTO.PrecoUnitarioLicitado&gt;$AN84)),"ACIMA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CÓDIGO N/ID</v>
      </c>
      <c r="AD84" t="str">
        <f ca="1">IF(C84&lt;=CRONO.NivelExibicao,MAX($AD$15:OFFSET(AD84,-1,0))+IF($C84&lt;&gt;1,1,MAX(1,COUNTIF(QCI!$A$13:$A$15,OFFSET($E84,-1,0)))),"")</f>
        <v/>
      </c>
      <c r="AE84" s="7" t="str" cm="1">
        <f t="array" aca="1" ref="AE84" ca="1">IF(AND($C84="S",ORÇAMENTO.CodBarra&lt;&gt;""),IF(ORÇAMENTO.Fonte="",ORÇAMENTO.CodBarra,CONCATENATE(ORÇAMENTO.Fonte," ",ORÇAMENTO.CodBarra)))</f>
        <v>PARAMÉTRICO BALANÇA 1</v>
      </c>
      <c r="AF84" s="12" t="str" cm="1">
        <f t="array" aca="1" ref="AF84" ca="1">IF(ISERROR(ORÇAMENTO.BancoRef),"(abra o arquivo 'Referência "&amp;Excel_BuiltIn_Database&amp;".xlsm)",IF(OR($C84&lt;&gt;"S",ORÇAMENTO.CodBarra=""),"(Sem Código)",IF(ISERROR(MATCH($AE84,INDIRECT(ORÇAMENTO.BancoRef),0)),"(Código não identificado nas referências)",MATCH($AE84,INDIRECT(ORÇAMENTO.BancoRef),0))))</f>
        <v>(Código não identificado nas referências)</v>
      </c>
      <c r="AG84" s="428" cm="1">
        <f t="array" aca="1" ref="AG84" ca="1">ROUND(IF(DESONERACAO="sim",REFERENCIA.Desonerado,REFERENCIA.NaoDesonerado),2)</f>
        <v>0</v>
      </c>
      <c r="AH84" s="429">
        <f t="shared" ca="1" si="42"/>
        <v>0.1444</v>
      </c>
      <c r="AJ84" s="431"/>
      <c r="AL84" s="439"/>
      <c r="AM84" s="336">
        <f t="shared" ca="1" si="0"/>
        <v>288388.8</v>
      </c>
      <c r="AN84" s="470" cm="1">
        <f t="array" aca="1" ref="AN84" ca="1">ROUND(ORÇAMENTO.CustoUnitario*(1+$AH84),2)</f>
        <v>288388.8</v>
      </c>
    </row>
    <row r="85" spans="1:40" x14ac:dyDescent="0.2">
      <c r="A85">
        <f t="shared" si="29"/>
        <v>2</v>
      </c>
      <c r="B85">
        <f t="shared" ca="1" si="30"/>
        <v>2</v>
      </c>
      <c r="C85">
        <f t="shared" ca="1" si="31"/>
        <v>2</v>
      </c>
      <c r="D85">
        <f t="shared" ca="1" si="32"/>
        <v>2</v>
      </c>
      <c r="E85">
        <f ca="1">IF($C85=1,OFFSET(E85,-1,0)+MAX(1,COUNTIF(QCI!$A$13:$A$15,OFFSET(ORÇAMENTO!E85,-1,0))),OFFSET(E85,-1,0))</f>
        <v>1</v>
      </c>
      <c r="F85">
        <f t="shared" ca="1" si="33"/>
        <v>8</v>
      </c>
      <c r="G85">
        <f t="shared" ca="1" si="34"/>
        <v>0</v>
      </c>
      <c r="H85">
        <f t="shared" ca="1" si="35"/>
        <v>0</v>
      </c>
      <c r="I85">
        <f t="shared" ca="1" si="36"/>
        <v>0</v>
      </c>
      <c r="J85">
        <f t="shared" ca="1" si="37"/>
        <v>8</v>
      </c>
      <c r="K85">
        <f ca="1">IF(OR($C85="S",$C85=0),0,MATCH(OFFSET($D85,0,$C85)+IF($C85&lt;&gt;1,1,COUNTIF(QCI!$A$13:$A$15,ORÇAMENTO!E85)),OFFSET($D85,1,$C85,ROW($C$93)-ROW($C85)),0))</f>
        <v>2</v>
      </c>
      <c r="L85" s="114" t="str">
        <f t="shared" ca="1" si="38"/>
        <v>F</v>
      </c>
      <c r="M85" s="115" t="s">
        <v>702</v>
      </c>
      <c r="N85" s="116" t="str">
        <f t="shared" ca="1" si="39"/>
        <v>Nível 2</v>
      </c>
      <c r="O85" s="117" t="str">
        <f t="shared" ca="1" si="40"/>
        <v>1.8.</v>
      </c>
      <c r="P85" s="118" t="s">
        <v>750</v>
      </c>
      <c r="Q85" s="119"/>
      <c r="R85" s="120" t="str">
        <f ca="1">IF($C85="S",REFERENCIA.Descricao,"SUBESTAÇÃO")</f>
        <v>SUBESTAÇÃO</v>
      </c>
      <c r="S85" s="121" t="str" cm="1">
        <f t="array" aca="1" ref="S85" ca="1">REFERENCIA.Unidade</f>
        <v>-</v>
      </c>
      <c r="T85" s="122">
        <f ca="1">OFFSET(CÁLCULO!H$15,ROW($T85)-ROW(T$15),0)</f>
        <v>0</v>
      </c>
      <c r="U85" s="123"/>
      <c r="V85" s="124" t="s">
        <v>663</v>
      </c>
      <c r="W85" s="122" cm="1">
        <f t="array" aca="1" ref="W85" ca="1">IF($C85="S",ROUND(IF(TIPOORCAMENTO="Proposto",ORÇAMENTO.CustoUnitario*(1+$AH85),ORÇAMENTO.PrecoUnitarioLicitado),15-13*$AF$10),0)</f>
        <v>0</v>
      </c>
      <c r="X85" s="125" cm="1">
        <f t="array" aca="1" ref="X85" ca="1">IF($C85="S",IF(OR(Import.TipoArredondamento&lt;&gt;"TransfereGOV",ACOMPANHAMENTO="BM"),VTOTAL1,SUM(OFFSET(CÁLCULO!$AA$15,ROW($X85)-ROW($X$15),1):OFFSET(CÁLCULO!$AL$15,ROW($X85)-ROW($X$15),-1))),IF($C85=0,0,ROUND(SomaAgrup,15-13*$AF$11)))</f>
        <v>498152.45</v>
      </c>
      <c r="Y85" s="126" t="s">
        <v>751</v>
      </c>
      <c r="Z85" t="str">
        <f t="shared" ca="1" si="41"/>
        <v/>
      </c>
      <c r="AA85" s="127" cm="1">
        <f t="array" aca="1" ref="AA85" ca="1">IF($C85="S",IF($Z85="CP",$X85,IF($Z85="RA",(($X85)*QCI!$AA$3),0)),SomaAgrup)</f>
        <v>0</v>
      </c>
      <c r="AB85" s="128" cm="1">
        <f t="array" aca="1" ref="AB85" ca="1">IF($C85="S",IF($Z85="OU",ROUND($X85,2),0),SomaAgrup)</f>
        <v>0</v>
      </c>
      <c r="AC85" s="565"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IF(AND(TIPOORCAMENTO="Licitado",$AL85=0,$AN85&gt;0),"SEM PREÇO",
IF(AND($C85="S",$P85&lt;&gt;"",$Q85&lt;&gt;"",$U85&gt;0,AND($V85&lt;&gt;"BDI 1",$V85&lt;&gt;"BDI 2",$V85&lt;&gt;"BDI 3")),IF(ISNUMBER($V85),"JUSTIFICAR BDI","BDI"),
IF(OR(AND(import.recurso="OGU",TIPOORCAMENTO="Proposto",LEFT($O$8,5)&lt;&gt;"(N/D:",$AG85&lt;&gt;"",ORÇAMENTO.CustoUnitario&gt;$AG85),AND(TIPOORCAMENTO="LICITADO",ORÇAMENTO.PrecoUnitarioLicitado&gt;$AN85)),"ACIMA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f ca="1">IF(C85&lt;=CRONO.NivelExibicao,MAX($AD$15:OFFSET(AD85,-1,0))+IF($C85&lt;&gt;1,1,MAX(1,COUNTIF(QCI!$A$13:$A$15,OFFSET($E85,-1,0)))),"")</f>
        <v>9</v>
      </c>
      <c r="AE85" s="7" t="b" cm="1">
        <f t="array" aca="1" ref="AE85" ca="1">IF(AND($C85="S",ORÇAMENTO.CodBarra&lt;&gt;""),IF(ORÇAMENTO.Fonte="",ORÇAMENTO.CodBarra,CONCATENATE(ORÇAMENTO.Fonte," ",ORÇAMENTO.CodBarra)))</f>
        <v>0</v>
      </c>
      <c r="AF85" s="12" t="str" cm="1">
        <f t="array" aca="1" ref="AF85" ca="1">IF(ISERROR(ORÇAMENTO.BancoRef),"(abra o arquivo 'Referência "&amp;Excel_BuiltIn_Database&amp;".xlsm)",IF(OR($C85&lt;&gt;"S",ORÇAMENTO.CodBarra=""),"(Sem Código)",IF(ISERROR(MATCH($AE85,INDIRECT(ORÇAMENTO.BancoRef),0)),"(Código não identificado nas referências)",MATCH($AE85,INDIRECT(ORÇAMENTO.BancoRef),0))))</f>
        <v>(Sem Código)</v>
      </c>
      <c r="AG85" s="428" cm="1">
        <f t="array" aca="1" ref="AG85" ca="1">ROUND(IF(DESONERACAO="sim",REFERENCIA.Desonerado,REFERENCIA.NaoDesonerado),2)</f>
        <v>0</v>
      </c>
      <c r="AH85" s="429">
        <f t="shared" ca="1" si="42"/>
        <v>0.2485</v>
      </c>
      <c r="AJ85" s="431"/>
      <c r="AL85" s="439"/>
      <c r="AM85" s="336">
        <f t="shared" ca="1" si="0"/>
        <v>498152.45</v>
      </c>
      <c r="AN85" s="470" cm="1">
        <f t="array" aca="1" ref="AN85" ca="1">ROUND(ORÇAMENTO.CustoUnitario*(1+$AH85),2)</f>
        <v>0</v>
      </c>
    </row>
    <row r="86" spans="1:40" ht="89.25" x14ac:dyDescent="0.2">
      <c r="A86" t="str">
        <f t="shared" si="29"/>
        <v>S</v>
      </c>
      <c r="B86">
        <f t="shared" ca="1" si="30"/>
        <v>2</v>
      </c>
      <c r="C86" t="str">
        <f t="shared" ca="1" si="31"/>
        <v>S</v>
      </c>
      <c r="D86">
        <f t="shared" ca="1" si="32"/>
        <v>0</v>
      </c>
      <c r="E86">
        <f ca="1">IF($C86=1,OFFSET(E86,-1,0)+MAX(1,COUNTIF(QCI!$A$13:$A$15,OFFSET(ORÇAMENTO!E86,-1,0))),OFFSET(E86,-1,0))</f>
        <v>1</v>
      </c>
      <c r="F86">
        <f t="shared" ca="1" si="33"/>
        <v>8</v>
      </c>
      <c r="G86">
        <f t="shared" ca="1" si="34"/>
        <v>0</v>
      </c>
      <c r="H86">
        <f t="shared" ca="1" si="35"/>
        <v>0</v>
      </c>
      <c r="I86">
        <f t="shared" ca="1" si="36"/>
        <v>1</v>
      </c>
      <c r="J86">
        <f t="shared" ca="1" si="37"/>
        <v>0</v>
      </c>
      <c r="K86">
        <f ca="1">IF(OR($C86="S",$C86=0),0,MATCH(OFFSET($D86,0,$C86)+IF($C86&lt;&gt;1,1,COUNTIF(QCI!$A$13:$A$15,ORÇAMENTO!E86)),OFFSET($D86,1,$C86,ROW($C$93)-ROW($C86)),0))</f>
        <v>0</v>
      </c>
      <c r="L86" s="114" t="str">
        <f t="shared" ca="1" si="38"/>
        <v>F</v>
      </c>
      <c r="M86" s="115" t="s">
        <v>705</v>
      </c>
      <c r="N86" s="116" t="str">
        <f t="shared" ca="1" si="39"/>
        <v>Serviço</v>
      </c>
      <c r="O86" s="117" t="str">
        <f t="shared" ca="1" si="40"/>
        <v>1.8.0.1.</v>
      </c>
      <c r="P86" s="118" t="s">
        <v>1064</v>
      </c>
      <c r="Q86" s="119" t="s">
        <v>1109</v>
      </c>
      <c r="R86" s="120" t="str" cm="1">
        <f t="array" aca="1" ref="R86" ca="1">IF($C86="S",REFERENCIA.Descricao,"(digite a descrição aqui)")</f>
        <v>(Código não identificado nas referências)</v>
      </c>
      <c r="S86" s="121" t="s">
        <v>639</v>
      </c>
      <c r="T86" s="122">
        <f ca="1">OFFSET(CÁLCULO!H$15,ROW($T86)-ROW(T$15),0)</f>
        <v>1</v>
      </c>
      <c r="U86" s="123">
        <v>399000.75</v>
      </c>
      <c r="V86" s="124" t="s">
        <v>663</v>
      </c>
      <c r="W86" s="122" cm="1">
        <f t="array" aca="1" ref="W86" ca="1">IF($C86="S",ROUND(IF(TIPOORCAMENTO="Proposto",ORÇAMENTO.CustoUnitario*(1+$AH86),ORÇAMENTO.PrecoUnitarioLicitado),15-13*$AF$10),0)</f>
        <v>498152.44</v>
      </c>
      <c r="X86" s="125" cm="1">
        <f t="array" aca="1" ref="X86" ca="1">IF($C86="S",IF(OR(Import.TipoArredondamento&lt;&gt;"TransfereGOV",ACOMPANHAMENTO="BM"),VTOTAL1,SUM(OFFSET(CÁLCULO!$AA$15,ROW($X86)-ROW($X$15),1):OFFSET(CÁLCULO!$AL$15,ROW($X86)-ROW($X$15),-1))),IF($C86=0,0,ROUND(SomaAgrup,15-13*$AF$11)))</f>
        <v>498152.45</v>
      </c>
      <c r="Y86" s="126" t="s">
        <v>751</v>
      </c>
      <c r="Z86" t="str">
        <f t="shared" ca="1" si="41"/>
        <v>RA</v>
      </c>
      <c r="AA86" s="127" cm="1">
        <f t="array" aca="1" ref="AA86" ca="1">IF($C86="S",IF($Z86="CP",$X86,IF($Z86="RA",(($X86)*QCI!$AA$3),0)),SomaAgrup)</f>
        <v>0</v>
      </c>
      <c r="AB86" s="128" cm="1">
        <f t="array" aca="1" ref="AB86" ca="1">IF($C86="S",IF($Z86="OU",ROUND($X86,2),0),SomaAgrup)</f>
        <v>0</v>
      </c>
      <c r="AC86" s="565"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IF(AND(TIPOORCAMENTO="Licitado",$AL86=0,$AN86&gt;0),"SEM PREÇO",
IF(AND($C86="S",$P86&lt;&gt;"",$Q86&lt;&gt;"",$U86&gt;0,AND($V86&lt;&gt;"BDI 1",$V86&lt;&gt;"BDI 2",$V86&lt;&gt;"BDI 3")),IF(ISNUMBER($V86),"JUSTIFICAR BDI","BDI"),
IF(OR(AND(import.recurso="OGU",TIPOORCAMENTO="Proposto",LEFT($O$8,5)&lt;&gt;"(N/D:",$AG86&lt;&gt;"",ORÇAMENTO.CustoUnitario&gt;$AG86),AND(TIPOORCAMENTO="LICITADO",ORÇAMENTO.PrecoUnitarioLicitado&gt;$AN86)),"ACIMA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CÓDIGO N/ID</v>
      </c>
      <c r="AD86" t="str">
        <f ca="1">IF(C86&lt;=CRONO.NivelExibicao,MAX($AD$15:OFFSET(AD86,-1,0))+IF($C86&lt;&gt;1,1,MAX(1,COUNTIF(QCI!$A$13:$A$15,OFFSET($E86,-1,0)))),"")</f>
        <v/>
      </c>
      <c r="AE86" s="7" t="str" cm="1">
        <f t="array" aca="1" ref="AE86" ca="1">IF(AND($C86="S",ORÇAMENTO.CodBarra&lt;&gt;""),IF(ORÇAMENTO.Fonte="",ORÇAMENTO.CodBarra,CONCATENATE(ORÇAMENTO.Fonte," ",ORÇAMENTO.CodBarra)))</f>
        <v>PARAMÉTRICO SUBESTAÇ.</v>
      </c>
      <c r="AF86" s="12" t="str" cm="1">
        <f t="array" aca="1" ref="AF86" ca="1">IF(ISERROR(ORÇAMENTO.BancoRef),"(abra o arquivo 'Referência "&amp;Excel_BuiltIn_Database&amp;".xlsm)",IF(OR($C86&lt;&gt;"S",ORÇAMENTO.CodBarra=""),"(Sem Código)",IF(ISERROR(MATCH($AE86,INDIRECT(ORÇAMENTO.BancoRef),0)),"(Código não identificado nas referências)",MATCH($AE86,INDIRECT(ORÇAMENTO.BancoRef),0))))</f>
        <v>(Código não identificado nas referências)</v>
      </c>
      <c r="AG86" s="428" cm="1">
        <f t="array" aca="1" ref="AG86" ca="1">ROUND(IF(DESONERACAO="sim",REFERENCIA.Desonerado,REFERENCIA.NaoDesonerado),2)</f>
        <v>0</v>
      </c>
      <c r="AH86" s="429">
        <f t="shared" ca="1" si="42"/>
        <v>0.2485</v>
      </c>
      <c r="AJ86" s="431"/>
      <c r="AL86" s="439"/>
      <c r="AM86" s="336">
        <f t="shared" ca="1" si="0"/>
        <v>498152.45</v>
      </c>
      <c r="AN86" s="470" cm="1">
        <f t="array" aca="1" ref="AN86" ca="1">ROUND(ORÇAMENTO.CustoUnitario*(1+$AH86),2)</f>
        <v>498152.44</v>
      </c>
    </row>
    <row r="87" spans="1:40" x14ac:dyDescent="0.2">
      <c r="A87">
        <f t="shared" si="29"/>
        <v>2</v>
      </c>
      <c r="B87">
        <f t="shared" ca="1" si="30"/>
        <v>2</v>
      </c>
      <c r="C87">
        <f t="shared" ca="1" si="31"/>
        <v>2</v>
      </c>
      <c r="D87">
        <f t="shared" ca="1" si="32"/>
        <v>2</v>
      </c>
      <c r="E87">
        <f ca="1">IF($C87=1,OFFSET(E87,-1,0)+MAX(1,COUNTIF(QCI!$A$13:$A$15,OFFSET(ORÇAMENTO!E87,-1,0))),OFFSET(E87,-1,0))</f>
        <v>1</v>
      </c>
      <c r="F87">
        <f t="shared" ca="1" si="33"/>
        <v>9</v>
      </c>
      <c r="G87">
        <f t="shared" ca="1" si="34"/>
        <v>0</v>
      </c>
      <c r="H87">
        <f t="shared" ca="1" si="35"/>
        <v>0</v>
      </c>
      <c r="I87">
        <f t="shared" ca="1" si="36"/>
        <v>0</v>
      </c>
      <c r="J87">
        <f t="shared" ca="1" si="37"/>
        <v>6</v>
      </c>
      <c r="K87">
        <f ca="1">IF(OR($C87="S",$C87=0),0,MATCH(OFFSET($D87,0,$C87)+IF($C87&lt;&gt;1,1,COUNTIF(QCI!$A$13:$A$15,ORÇAMENTO!E87)),OFFSET($D87,1,$C87,ROW($C$93)-ROW($C87)),0))</f>
        <v>2</v>
      </c>
      <c r="L87" s="114" t="str">
        <f t="shared" ca="1" si="38"/>
        <v>F</v>
      </c>
      <c r="M87" s="115" t="s">
        <v>702</v>
      </c>
      <c r="N87" s="116" t="str">
        <f t="shared" ca="1" si="39"/>
        <v>Nível 2</v>
      </c>
      <c r="O87" s="117" t="str">
        <f t="shared" ca="1" si="40"/>
        <v>1.9.</v>
      </c>
      <c r="P87" s="118" t="s">
        <v>750</v>
      </c>
      <c r="Q87" s="119"/>
      <c r="R87" s="120" t="str">
        <f ca="1">IF($C87="S",REFERENCIA.Descricao,"POÇO")</f>
        <v>POÇO</v>
      </c>
      <c r="S87" s="121" t="str" cm="1">
        <f t="array" aca="1" ref="S87" ca="1">REFERENCIA.Unidade</f>
        <v>-</v>
      </c>
      <c r="T87" s="122">
        <f ca="1">OFFSET(CÁLCULO!H$15,ROW($T87)-ROW(T$15),0)</f>
        <v>0</v>
      </c>
      <c r="U87" s="123"/>
      <c r="V87" s="124" t="s">
        <v>663</v>
      </c>
      <c r="W87" s="122" cm="1">
        <f t="array" aca="1" ref="W87" ca="1">IF($C87="S",ROUND(IF(TIPOORCAMENTO="Proposto",ORÇAMENTO.CustoUnitario*(1+$AH87),ORÇAMENTO.PrecoUnitarioLicitado),15-13*$AF$10),0)</f>
        <v>0</v>
      </c>
      <c r="X87" s="125" cm="1">
        <f t="array" aca="1" ref="X87" ca="1">IF($C87="S",IF(OR(Import.TipoArredondamento&lt;&gt;"TransfereGOV",ACOMPANHAMENTO="BM"),VTOTAL1,SUM(OFFSET(CÁLCULO!$AA$15,ROW($X87)-ROW($X$15),1):OFFSET(CÁLCULO!$AL$15,ROW($X87)-ROW($X$15),-1))),IF($C87=0,0,ROUND(SomaAgrup,15-13*$AF$11)))</f>
        <v>54398</v>
      </c>
      <c r="Y87" s="126" t="s">
        <v>751</v>
      </c>
      <c r="Z87" t="str">
        <f t="shared" ca="1" si="41"/>
        <v/>
      </c>
      <c r="AA87" s="127" cm="1">
        <f t="array" aca="1" ref="AA87" ca="1">IF($C87="S",IF($Z87="CP",$X87,IF($Z87="RA",(($X87)*QCI!$AA$3),0)),SomaAgrup)</f>
        <v>0</v>
      </c>
      <c r="AB87" s="128" cm="1">
        <f t="array" aca="1" ref="AB87" ca="1">IF($C87="S",IF($Z87="OU",ROUND($X87,2),0),SomaAgrup)</f>
        <v>0</v>
      </c>
      <c r="AC87" s="565"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IF(AND(TIPOORCAMENTO="Licitado",$AL87=0,$AN87&gt;0),"SEM PREÇO",
IF(AND($C87="S",$P87&lt;&gt;"",$Q87&lt;&gt;"",$U87&gt;0,AND($V87&lt;&gt;"BDI 1",$V87&lt;&gt;"BDI 2",$V87&lt;&gt;"BDI 3")),IF(ISNUMBER($V87),"JUSTIFICAR BDI","BDI"),
IF(OR(AND(import.recurso="OGU",TIPOORCAMENTO="Proposto",LEFT($O$8,5)&lt;&gt;"(N/D:",$AG87&lt;&gt;"",ORÇAMENTO.CustoUnitario&gt;$AG87),AND(TIPOORCAMENTO="LICITADO",ORÇAMENTO.PrecoUnitarioLicitado&gt;$AN87)),"ACIMA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f ca="1">IF(C87&lt;=CRONO.NivelExibicao,MAX($AD$15:OFFSET(AD87,-1,0))+IF($C87&lt;&gt;1,1,MAX(1,COUNTIF(QCI!$A$13:$A$15,OFFSET($E87,-1,0)))),"")</f>
        <v>10</v>
      </c>
      <c r="AE87" s="7" t="b" cm="1">
        <f t="array" aca="1" ref="AE87" ca="1">IF(AND($C87="S",ORÇAMENTO.CodBarra&lt;&gt;""),IF(ORÇAMENTO.Fonte="",ORÇAMENTO.CodBarra,CONCATENATE(ORÇAMENTO.Fonte," ",ORÇAMENTO.CodBarra)))</f>
        <v>0</v>
      </c>
      <c r="AF87" s="12" t="str" cm="1">
        <f t="array" aca="1" ref="AF87" ca="1">IF(ISERROR(ORÇAMENTO.BancoRef),"(abra o arquivo 'Referência "&amp;Excel_BuiltIn_Database&amp;".xlsm)",IF(OR($C87&lt;&gt;"S",ORÇAMENTO.CodBarra=""),"(Sem Código)",IF(ISERROR(MATCH($AE87,INDIRECT(ORÇAMENTO.BancoRef),0)),"(Código não identificado nas referências)",MATCH($AE87,INDIRECT(ORÇAMENTO.BancoRef),0))))</f>
        <v>(Sem Código)</v>
      </c>
      <c r="AG87" s="428" cm="1">
        <f t="array" aca="1" ref="AG87" ca="1">ROUND(IF(DESONERACAO="sim",REFERENCIA.Desonerado,REFERENCIA.NaoDesonerado),2)</f>
        <v>0</v>
      </c>
      <c r="AH87" s="429">
        <f t="shared" ca="1" si="42"/>
        <v>0.2485</v>
      </c>
      <c r="AJ87" s="431"/>
      <c r="AL87" s="439"/>
      <c r="AM87" s="336">
        <f t="shared" ca="1" si="0"/>
        <v>54398</v>
      </c>
      <c r="AN87" s="470" cm="1">
        <f t="array" aca="1" ref="AN87" ca="1">ROUND(ORÇAMENTO.CustoUnitario*(1+$AH87),2)</f>
        <v>0</v>
      </c>
    </row>
    <row r="88" spans="1:40" ht="38.25" x14ac:dyDescent="0.2">
      <c r="A88" t="str">
        <f t="shared" si="29"/>
        <v>S</v>
      </c>
      <c r="B88">
        <f t="shared" ca="1" si="30"/>
        <v>2</v>
      </c>
      <c r="C88" t="str">
        <f t="shared" ca="1" si="31"/>
        <v>S</v>
      </c>
      <c r="D88">
        <f t="shared" ca="1" si="32"/>
        <v>0</v>
      </c>
      <c r="E88">
        <f ca="1">IF($C88=1,OFFSET(E88,-1,0)+MAX(1,COUNTIF(QCI!$A$13:$A$15,OFFSET(ORÇAMENTO!E88,-1,0))),OFFSET(E88,-1,0))</f>
        <v>1</v>
      </c>
      <c r="F88">
        <f t="shared" ca="1" si="33"/>
        <v>9</v>
      </c>
      <c r="G88">
        <f t="shared" ca="1" si="34"/>
        <v>0</v>
      </c>
      <c r="H88">
        <f t="shared" ca="1" si="35"/>
        <v>0</v>
      </c>
      <c r="I88">
        <f t="shared" ca="1" si="36"/>
        <v>1</v>
      </c>
      <c r="J88">
        <f t="shared" ca="1" si="37"/>
        <v>0</v>
      </c>
      <c r="K88">
        <f ca="1">IF(OR($C88="S",$C88=0),0,MATCH(OFFSET($D88,0,$C88)+IF($C88&lt;&gt;1,1,COUNTIF(QCI!$A$13:$A$15,ORÇAMENTO!E88)),OFFSET($D88,1,$C88,ROW($C$93)-ROW($C88)),0))</f>
        <v>0</v>
      </c>
      <c r="L88" s="114" t="str">
        <f t="shared" ca="1" si="38"/>
        <v>F</v>
      </c>
      <c r="M88" s="115" t="s">
        <v>705</v>
      </c>
      <c r="N88" s="116" t="str">
        <f t="shared" ca="1" si="39"/>
        <v>Serviço</v>
      </c>
      <c r="O88" s="117" t="str">
        <f t="shared" ca="1" si="40"/>
        <v>1.9.0.1.</v>
      </c>
      <c r="P88" s="118" t="s">
        <v>1064</v>
      </c>
      <c r="Q88" s="119" t="s">
        <v>1110</v>
      </c>
      <c r="R88" s="120" t="str" cm="1">
        <f t="array" aca="1" ref="R88" ca="1">IF($C88="S",REFERENCIA.Descricao,"(digite a descrição aqui)")</f>
        <v>(Código não identificado nas referências)</v>
      </c>
      <c r="S88" s="121" t="str" cm="1">
        <f t="array" aca="1" ref="S88" ca="1">REFERENCIA.Unidade</f>
        <v>-</v>
      </c>
      <c r="T88" s="122">
        <f ca="1">OFFSET(CÁLCULO!H$15,ROW($T88)-ROW(T$15),0)</f>
        <v>100</v>
      </c>
      <c r="U88" s="123">
        <v>435.71</v>
      </c>
      <c r="V88" s="124" t="s">
        <v>663</v>
      </c>
      <c r="W88" s="122" cm="1">
        <f t="array" aca="1" ref="W88" ca="1">IF($C88="S",ROUND(IF(TIPOORCAMENTO="Proposto",ORÇAMENTO.CustoUnitario*(1+$AH88),ORÇAMENTO.PrecoUnitarioLicitado),15-13*$AF$10),0)</f>
        <v>543.98</v>
      </c>
      <c r="X88" s="125" cm="1">
        <f t="array" aca="1" ref="X88" ca="1">IF($C88="S",IF(OR(Import.TipoArredondamento&lt;&gt;"TransfereGOV",ACOMPANHAMENTO="BM"),VTOTAL1,SUM(OFFSET(CÁLCULO!$AA$15,ROW($X88)-ROW($X$15),1):OFFSET(CÁLCULO!$AL$15,ROW($X88)-ROW($X$15),-1))),IF($C88=0,0,ROUND(SomaAgrup,15-13*$AF$11)))</f>
        <v>54398</v>
      </c>
      <c r="Y88" s="126" t="s">
        <v>751</v>
      </c>
      <c r="Z88" t="str">
        <f t="shared" ca="1" si="41"/>
        <v>RA</v>
      </c>
      <c r="AA88" s="127" cm="1">
        <f t="array" aca="1" ref="AA88" ca="1">IF($C88="S",IF($Z88="CP",$X88,IF($Z88="RA",(($X88)*QCI!$AA$3),0)),SomaAgrup)</f>
        <v>0</v>
      </c>
      <c r="AB88" s="128" cm="1">
        <f t="array" aca="1" ref="AB88" ca="1">IF($C88="S",IF($Z88="OU",ROUND($X88,2),0),SomaAgrup)</f>
        <v>0</v>
      </c>
      <c r="AC88" s="565" t="str"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IF(AND(TIPOORCAMENTO="Licitado",$AL88=0,$AN88&gt;0),"SEM PREÇO",
IF(AND($C88="S",$P88&lt;&gt;"",$Q88&lt;&gt;"",$U88&gt;0,AND($V88&lt;&gt;"BDI 1",$V88&lt;&gt;"BDI 2",$V88&lt;&gt;"BDI 3")),IF(ISNUMBER($V88),"JUSTIFICAR BDI","BDI"),
IF(OR(AND(import.recurso="OGU",TIPOORCAMENTO="Proposto",LEFT($O$8,5)&lt;&gt;"(N/D:",$AG88&lt;&gt;"",ORÇAMENTO.CustoUnitario&gt;$AG88),AND(TIPOORCAMENTO="LICITADO",ORÇAMENTO.PrecoUnitarioLicitado&gt;$AN88)),"ACIMA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CÓDIGO N/ID</v>
      </c>
      <c r="AD88" t="str">
        <f ca="1">IF(C88&lt;=CRONO.NivelExibicao,MAX($AD$15:OFFSET(AD88,-1,0))+IF($C88&lt;&gt;1,1,MAX(1,COUNTIF(QCI!$A$13:$A$15,OFFSET($E88,-1,0)))),"")</f>
        <v/>
      </c>
      <c r="AE88" s="7" t="str" cm="1">
        <f t="array" aca="1" ref="AE88" ca="1">IF(AND($C88="S",ORÇAMENTO.CodBarra&lt;&gt;""),IF(ORÇAMENTO.Fonte="",ORÇAMENTO.CodBarra,CONCATENATE(ORÇAMENTO.Fonte," ",ORÇAMENTO.CodBarra)))</f>
        <v>PARAMÉTRICO POÇO ART.</v>
      </c>
      <c r="AF88" s="12" t="str" cm="1">
        <f t="array" aca="1" ref="AF88" ca="1">IF(ISERROR(ORÇAMENTO.BancoRef),"(abra o arquivo 'Referência "&amp;Excel_BuiltIn_Database&amp;".xlsm)",IF(OR($C88&lt;&gt;"S",ORÇAMENTO.CodBarra=""),"(Sem Código)",IF(ISERROR(MATCH($AE88,INDIRECT(ORÇAMENTO.BancoRef),0)),"(Código não identificado nas referências)",MATCH($AE88,INDIRECT(ORÇAMENTO.BancoRef),0))))</f>
        <v>(Código não identificado nas referências)</v>
      </c>
      <c r="AG88" s="428" cm="1">
        <f t="array" aca="1" ref="AG88" ca="1">ROUND(IF(DESONERACAO="sim",REFERENCIA.Desonerado,REFERENCIA.NaoDesonerado),2)</f>
        <v>0</v>
      </c>
      <c r="AH88" s="429">
        <f t="shared" ca="1" si="42"/>
        <v>0.2485</v>
      </c>
      <c r="AJ88" s="431"/>
      <c r="AL88" s="439"/>
      <c r="AM88" s="336">
        <f t="shared" ca="1" si="0"/>
        <v>54398</v>
      </c>
      <c r="AN88" s="470" cm="1">
        <f t="array" aca="1" ref="AN88" ca="1">ROUND(ORÇAMENTO.CustoUnitario*(1+$AH88),2)</f>
        <v>543.98</v>
      </c>
    </row>
    <row r="89" spans="1:40" x14ac:dyDescent="0.2">
      <c r="A89">
        <f t="shared" si="29"/>
        <v>2</v>
      </c>
      <c r="B89">
        <f t="shared" ca="1" si="30"/>
        <v>2</v>
      </c>
      <c r="C89">
        <f t="shared" ca="1" si="31"/>
        <v>2</v>
      </c>
      <c r="D89">
        <f t="shared" ca="1" si="32"/>
        <v>4</v>
      </c>
      <c r="E89">
        <f ca="1">IF($C89=1,OFFSET(E89,-1,0)+MAX(1,COUNTIF(QCI!$A$13:$A$15,OFFSET(ORÇAMENTO!E89,-1,0))),OFFSET(E89,-1,0))</f>
        <v>1</v>
      </c>
      <c r="F89">
        <f t="shared" ca="1" si="33"/>
        <v>10</v>
      </c>
      <c r="G89">
        <f t="shared" ca="1" si="34"/>
        <v>0</v>
      </c>
      <c r="H89">
        <f t="shared" ca="1" si="35"/>
        <v>0</v>
      </c>
      <c r="I89">
        <f t="shared" ca="1" si="36"/>
        <v>0</v>
      </c>
      <c r="J89">
        <f t="shared" ca="1" si="37"/>
        <v>4</v>
      </c>
      <c r="K89" t="e">
        <f ca="1">IF(OR($C89="S",$C89=0),0,MATCH(OFFSET($D89,0,$C89)+IF($C89&lt;&gt;1,1,COUNTIF(QCI!$A$13:$A$15,ORÇAMENTO!E89)),OFFSET($D89,1,$C89,ROW($C$93)-ROW($C89)),0))</f>
        <v>#N/A</v>
      </c>
      <c r="L89" s="114" t="str">
        <f t="shared" ca="1" si="38"/>
        <v>F</v>
      </c>
      <c r="M89" s="115" t="s">
        <v>702</v>
      </c>
      <c r="N89" s="116" t="str">
        <f t="shared" ca="1" si="39"/>
        <v>Nível 2</v>
      </c>
      <c r="O89" s="117" t="str">
        <f t="shared" ca="1" si="40"/>
        <v>1.10.</v>
      </c>
      <c r="P89" s="118" t="s">
        <v>750</v>
      </c>
      <c r="Q89" s="119"/>
      <c r="R89" s="120" t="str">
        <f ca="1">IF($C89="S",REFERENCIA.Descricao,"REDE ELÉTRICA (EXTENSÃO)")</f>
        <v>REDE ELÉTRICA (EXTENSÃO)</v>
      </c>
      <c r="S89" s="121" t="str" cm="1">
        <f t="array" aca="1" ref="S89" ca="1">REFERENCIA.Unidade</f>
        <v>-</v>
      </c>
      <c r="T89" s="122">
        <f ca="1">OFFSET(CÁLCULO!H$15,ROW($T89)-ROW(T$15),0)</f>
        <v>0</v>
      </c>
      <c r="U89" s="123"/>
      <c r="V89" s="124" t="s">
        <v>663</v>
      </c>
      <c r="W89" s="122" cm="1">
        <f t="array" aca="1" ref="W89" ca="1">IF($C89="S",ROUND(IF(TIPOORCAMENTO="Proposto",ORÇAMENTO.CustoUnitario*(1+$AH89),ORÇAMENTO.PrecoUnitarioLicitado),15-13*$AF$10),0)</f>
        <v>0</v>
      </c>
      <c r="X89" s="125" cm="1">
        <f t="array" aca="1" ref="X89" ca="1">IF($C89="S",IF(OR(Import.TipoArredondamento&lt;&gt;"TransfereGOV",ACOMPANHAMENTO="BM"),VTOTAL1,SUM(OFFSET(CÁLCULO!$AA$15,ROW($X89)-ROW($X$15),1):OFFSET(CÁLCULO!$AL$15,ROW($X89)-ROW($X$15),-1))),IF($C89=0,0,ROUND(SomaAgrup,15-13*$AF$11)))</f>
        <v>247175.94</v>
      </c>
      <c r="Y89" s="126" t="s">
        <v>751</v>
      </c>
      <c r="Z89" t="str">
        <f t="shared" ca="1" si="41"/>
        <v/>
      </c>
      <c r="AA89" s="127" cm="1">
        <f t="array" aca="1" ref="AA89" ca="1">IF($C89="S",IF($Z89="CP",$X89,IF($Z89="RA",(($X89)*QCI!$AA$3),0)),SomaAgrup)</f>
        <v>0</v>
      </c>
      <c r="AB89" s="128" cm="1">
        <f t="array" aca="1" ref="AB89" ca="1">IF($C89="S",IF($Z89="OU",ROUND($X89,2),0),SomaAgrup)</f>
        <v>0</v>
      </c>
      <c r="AC89" s="565"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IF(AND(TIPOORCAMENTO="Licitado",$AL89=0,$AN89&gt;0),"SEM PREÇO",
IF(AND($C89="S",$P89&lt;&gt;"",$Q89&lt;&gt;"",$U89&gt;0,AND($V89&lt;&gt;"BDI 1",$V89&lt;&gt;"BDI 2",$V89&lt;&gt;"BDI 3")),IF(ISNUMBER($V89),"JUSTIFICAR BDI","BDI"),
IF(OR(AND(import.recurso="OGU",TIPOORCAMENTO="Proposto",LEFT($O$8,5)&lt;&gt;"(N/D:",$AG89&lt;&gt;"",ORÇAMENTO.CustoUnitario&gt;$AG89),AND(TIPOORCAMENTO="LICITADO",ORÇAMENTO.PrecoUnitarioLicitado&gt;$AN89)),"ACIMA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f ca="1">IF(C89&lt;=CRONO.NivelExibicao,MAX($AD$15:OFFSET(AD89,-1,0))+IF($C89&lt;&gt;1,1,MAX(1,COUNTIF(QCI!$A$13:$A$15,OFFSET($E89,-1,0)))),"")</f>
        <v>11</v>
      </c>
      <c r="AE89" s="7" t="b" cm="1">
        <f t="array" aca="1" ref="AE89" ca="1">IF(AND($C89="S",ORÇAMENTO.CodBarra&lt;&gt;""),IF(ORÇAMENTO.Fonte="",ORÇAMENTO.CodBarra,CONCATENATE(ORÇAMENTO.Fonte," ",ORÇAMENTO.CodBarra)))</f>
        <v>0</v>
      </c>
      <c r="AF89" s="12" t="str" cm="1">
        <f t="array" aca="1" ref="AF89" ca="1">IF(ISERROR(ORÇAMENTO.BancoRef),"(abra o arquivo 'Referência "&amp;Excel_BuiltIn_Database&amp;".xlsm)",IF(OR($C89&lt;&gt;"S",ORÇAMENTO.CodBarra=""),"(Sem Código)",IF(ISERROR(MATCH($AE89,INDIRECT(ORÇAMENTO.BancoRef),0)),"(Código não identificado nas referências)",MATCH($AE89,INDIRECT(ORÇAMENTO.BancoRef),0))))</f>
        <v>(Sem Código)</v>
      </c>
      <c r="AG89" s="428" cm="1">
        <f t="array" aca="1" ref="AG89" ca="1">ROUND(IF(DESONERACAO="sim",REFERENCIA.Desonerado,REFERENCIA.NaoDesonerado),2)</f>
        <v>0</v>
      </c>
      <c r="AH89" s="429">
        <f t="shared" ca="1" si="42"/>
        <v>0.2485</v>
      </c>
      <c r="AJ89" s="431"/>
      <c r="AL89" s="439"/>
      <c r="AM89" s="336">
        <f t="shared" ca="1" si="0"/>
        <v>247175.94</v>
      </c>
      <c r="AN89" s="470" cm="1">
        <f t="array" aca="1" ref="AN89" ca="1">ROUND(ORÇAMENTO.CustoUnitario*(1+$AH89),2)</f>
        <v>0</v>
      </c>
    </row>
    <row r="90" spans="1:40" x14ac:dyDescent="0.2">
      <c r="A90" t="str">
        <f t="shared" si="29"/>
        <v>S</v>
      </c>
      <c r="B90">
        <f t="shared" ca="1" si="30"/>
        <v>2</v>
      </c>
      <c r="C90" t="str">
        <f t="shared" ca="1" si="31"/>
        <v>S</v>
      </c>
      <c r="D90">
        <f t="shared" ca="1" si="32"/>
        <v>0</v>
      </c>
      <c r="E90">
        <f ca="1">IF($C90=1,OFFSET(E90,-1,0)+MAX(1,COUNTIF(QCI!$A$13:$A$15,OFFSET(ORÇAMENTO!E90,-1,0))),OFFSET(E90,-1,0))</f>
        <v>1</v>
      </c>
      <c r="F90">
        <f t="shared" ca="1" si="33"/>
        <v>10</v>
      </c>
      <c r="G90">
        <f t="shared" ca="1" si="34"/>
        <v>0</v>
      </c>
      <c r="H90">
        <f t="shared" ca="1" si="35"/>
        <v>0</v>
      </c>
      <c r="I90">
        <f t="shared" ca="1" si="36"/>
        <v>1</v>
      </c>
      <c r="J90">
        <f t="shared" ca="1" si="37"/>
        <v>0</v>
      </c>
      <c r="K90">
        <f ca="1">IF(OR($C90="S",$C90=0),0,MATCH(OFFSET($D90,0,$C90)+IF($C90&lt;&gt;1,1,COUNTIF(QCI!$A$13:$A$15,ORÇAMENTO!E90)),OFFSET($D90,1,$C90,ROW($C$93)-ROW($C90)),0))</f>
        <v>0</v>
      </c>
      <c r="L90" s="114" t="str">
        <f t="shared" ca="1" si="38"/>
        <v>F</v>
      </c>
      <c r="M90" s="115" t="s">
        <v>705</v>
      </c>
      <c r="N90" s="116" t="str">
        <f t="shared" ca="1" si="39"/>
        <v>Serviço</v>
      </c>
      <c r="O90" s="117" t="str">
        <f t="shared" ca="1" si="40"/>
        <v>1.10.0.1.</v>
      </c>
      <c r="P90" s="118" t="s">
        <v>1053</v>
      </c>
      <c r="Q90" s="119" t="s">
        <v>1067</v>
      </c>
      <c r="R90" s="120" t="str" cm="1">
        <f t="array" aca="1" ref="R90" ca="1">IF($C90="S",REFERENCIA.Descricao,"(digite a descrição aqui)")</f>
        <v>(Código não identificado nas referências)</v>
      </c>
      <c r="S90" s="121" t="str" cm="1">
        <f t="array" aca="1" ref="S90" ca="1">REFERENCIA.Unidade</f>
        <v>-</v>
      </c>
      <c r="T90" s="122">
        <f ca="1">OFFSET(CÁLCULO!H$15,ROW($T90)-ROW(T$15),0)</f>
        <v>2822.1800000000003</v>
      </c>
      <c r="U90" s="123">
        <v>24.15</v>
      </c>
      <c r="V90" s="124" t="s">
        <v>663</v>
      </c>
      <c r="W90" s="122" cm="1">
        <f t="array" aca="1" ref="W90" ca="1">IF($C90="S",ROUND(IF(TIPOORCAMENTO="Proposto",ORÇAMENTO.CustoUnitario*(1+$AH90),ORÇAMENTO.PrecoUnitarioLicitado),15-13*$AF$10),0)</f>
        <v>30.15</v>
      </c>
      <c r="X90" s="125" cm="1">
        <f t="array" aca="1" ref="X90" ca="1">IF($C90="S",IF(OR(Import.TipoArredondamento&lt;&gt;"TransfereGOV",ACOMPANHAMENTO="BM"),VTOTAL1,SUM(OFFSET(CÁLCULO!$AA$15,ROW($X90)-ROW($X$15),1):OFFSET(CÁLCULO!$AL$15,ROW($X90)-ROW($X$15),-1))),IF($C90=0,0,ROUND(SomaAgrup,15-13*$AF$11)))</f>
        <v>85088.739999999991</v>
      </c>
      <c r="Y90" s="126" t="s">
        <v>751</v>
      </c>
      <c r="Z90" t="str">
        <f t="shared" ca="1" si="41"/>
        <v>RA</v>
      </c>
      <c r="AA90" s="127" cm="1">
        <f t="array" aca="1" ref="AA90" ca="1">IF($C90="S",IF($Z90="CP",$X90,IF($Z90="RA",(($X90)*QCI!$AA$3),0)),SomaAgrup)</f>
        <v>0</v>
      </c>
      <c r="AB90" s="128" cm="1">
        <f t="array" aca="1" ref="AB90" ca="1">IF($C90="S",IF($Z90="OU",ROUND($X90,2),0),SomaAgrup)</f>
        <v>0</v>
      </c>
      <c r="AC90" s="565"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IF(AND(TIPOORCAMENTO="Licitado",$AL90=0,$AN90&gt;0),"SEM PREÇO",
IF(AND($C90="S",$P90&lt;&gt;"",$Q90&lt;&gt;"",$U90&gt;0,AND($V90&lt;&gt;"BDI 1",$V90&lt;&gt;"BDI 2",$V90&lt;&gt;"BDI 3")),IF(ISNUMBER($V90),"JUSTIFICAR BDI","BDI"),
IF(OR(AND(import.recurso="OGU",TIPOORCAMENTO="Proposto",LEFT($O$8,5)&lt;&gt;"(N/D:",$AG90&lt;&gt;"",ORÇAMENTO.CustoUnitario&gt;$AG90),AND(TIPOORCAMENTO="LICITADO",ORÇAMENTO.PrecoUnitarioLicitado&gt;$AN90)),"ACIMA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CÓDIGO N/ID</v>
      </c>
      <c r="AD90" t="str">
        <f ca="1">IF(C90&lt;=CRONO.NivelExibicao,MAX($AD$15:OFFSET(AD90,-1,0))+IF($C90&lt;&gt;1,1,MAX(1,COUNTIF(QCI!$A$13:$A$15,OFFSET($E90,-1,0)))),"")</f>
        <v/>
      </c>
      <c r="AE90" s="7" t="str" cm="1">
        <f t="array" aca="1" ref="AE90" ca="1">IF(AND($C90="S",ORÇAMENTO.CodBarra&lt;&gt;""),IF(ORÇAMENTO.Fonte="",ORÇAMENTO.CodBarra,CONCATENATE(ORÇAMENTO.Fonte," ",ORÇAMENTO.CodBarra)))</f>
        <v>SBC 69</v>
      </c>
      <c r="AF90" s="12" t="str" cm="1">
        <f t="array" aca="1" ref="AF90" ca="1">IF(ISERROR(ORÇAMENTO.BancoRef),"(abra o arquivo 'Referência "&amp;Excel_BuiltIn_Database&amp;".xlsm)",IF(OR($C90&lt;&gt;"S",ORÇAMENTO.CodBarra=""),"(Sem Código)",IF(ISERROR(MATCH($AE90,INDIRECT(ORÇAMENTO.BancoRef),0)),"(Código não identificado nas referências)",MATCH($AE90,INDIRECT(ORÇAMENTO.BancoRef),0))))</f>
        <v>(Código não identificado nas referências)</v>
      </c>
      <c r="AG90" s="428" cm="1">
        <f t="array" aca="1" ref="AG90" ca="1">ROUND(IF(DESONERACAO="sim",REFERENCIA.Desonerado,REFERENCIA.NaoDesonerado),2)</f>
        <v>0</v>
      </c>
      <c r="AH90" s="429">
        <f t="shared" ca="1" si="42"/>
        <v>0.2485</v>
      </c>
      <c r="AJ90" s="431"/>
      <c r="AL90" s="439"/>
      <c r="AM90" s="336">
        <f t="shared" ca="1" si="0"/>
        <v>85088.739999999991</v>
      </c>
      <c r="AN90" s="470" cm="1">
        <f t="array" aca="1" ref="AN90" ca="1">ROUND(ORÇAMENTO.CustoUnitario*(1+$AH90),2)</f>
        <v>30.15</v>
      </c>
    </row>
    <row r="91" spans="1:40" ht="25.5" x14ac:dyDescent="0.2">
      <c r="A91" t="str">
        <f t="shared" si="29"/>
        <v>S</v>
      </c>
      <c r="B91">
        <f t="shared" ca="1" si="30"/>
        <v>2</v>
      </c>
      <c r="C91" t="str">
        <f t="shared" ca="1" si="31"/>
        <v>S</v>
      </c>
      <c r="D91">
        <f t="shared" ca="1" si="32"/>
        <v>0</v>
      </c>
      <c r="E91">
        <f ca="1">IF($C91=1,OFFSET(E91,-1,0)+MAX(1,COUNTIF(QCI!$A$13:$A$15,OFFSET(ORÇAMENTO!E91,-1,0))),OFFSET(E91,-1,0))</f>
        <v>1</v>
      </c>
      <c r="F91">
        <f t="shared" ca="1" si="33"/>
        <v>10</v>
      </c>
      <c r="G91">
        <f t="shared" ca="1" si="34"/>
        <v>0</v>
      </c>
      <c r="H91">
        <f t="shared" ca="1" si="35"/>
        <v>0</v>
      </c>
      <c r="I91">
        <f t="shared" ca="1" si="36"/>
        <v>2</v>
      </c>
      <c r="J91">
        <f t="shared" ca="1" si="37"/>
        <v>0</v>
      </c>
      <c r="K91">
        <f ca="1">IF(OR($C91="S",$C91=0),0,MATCH(OFFSET($D91,0,$C91)+IF($C91&lt;&gt;1,1,COUNTIF(QCI!$A$13:$A$15,ORÇAMENTO!E91)),OFFSET($D91,1,$C91,ROW($C$93)-ROW($C91)),0))</f>
        <v>0</v>
      </c>
      <c r="L91" s="114" t="str">
        <f t="shared" ca="1" si="38"/>
        <v>F</v>
      </c>
      <c r="M91" s="115" t="s">
        <v>705</v>
      </c>
      <c r="N91" s="116" t="str">
        <f t="shared" ca="1" si="39"/>
        <v>Serviço</v>
      </c>
      <c r="O91" s="117" t="str">
        <f t="shared" ca="1" si="40"/>
        <v>1.10.0.2.</v>
      </c>
      <c r="P91" s="118" t="s">
        <v>1053</v>
      </c>
      <c r="Q91" s="119" t="s">
        <v>1068</v>
      </c>
      <c r="R91" s="120" t="str" cm="1">
        <f t="array" aca="1" ref="R91" ca="1">IF($C91="S",REFERENCIA.Descricao,"(digite a descrição aqui)")</f>
        <v>(Código não identificado nas referências)</v>
      </c>
      <c r="S91" s="121" t="s">
        <v>639</v>
      </c>
      <c r="T91" s="122">
        <f ca="1">OFFSET(CÁLCULO!H$15,ROW($T91)-ROW(T$15),0)</f>
        <v>20</v>
      </c>
      <c r="U91" s="123">
        <v>4961.6499999999996</v>
      </c>
      <c r="V91" s="124" t="s">
        <v>663</v>
      </c>
      <c r="W91" s="122" cm="1">
        <f t="array" aca="1" ref="W91" ca="1">IF($C91="S",ROUND(IF(TIPOORCAMENTO="Proposto",ORÇAMENTO.CustoUnitario*(1+$AH91),ORÇAMENTO.PrecoUnitarioLicitado),15-13*$AF$10),0)</f>
        <v>6194.62</v>
      </c>
      <c r="X91" s="125" cm="1">
        <f t="array" aca="1" ref="X91" ca="1">IF($C91="S",IF(OR(Import.TipoArredondamento&lt;&gt;"TransfereGOV",ACOMPANHAMENTO="BM"),VTOTAL1,SUM(OFFSET(CÁLCULO!$AA$15,ROW($X91)-ROW($X$15),1):OFFSET(CÁLCULO!$AL$15,ROW($X91)-ROW($X$15),-1))),IF($C91=0,0,ROUND(SomaAgrup,15-13*$AF$11)))</f>
        <v>123892.4</v>
      </c>
      <c r="Y91" s="126" t="s">
        <v>751</v>
      </c>
      <c r="Z91" t="str">
        <f t="shared" ca="1" si="41"/>
        <v>RA</v>
      </c>
      <c r="AA91" s="127" cm="1">
        <f t="array" aca="1" ref="AA91" ca="1">IF($C91="S",IF($Z91="CP",$X91,IF($Z91="RA",(($X91)*QCI!$AA$3),0)),SomaAgrup)</f>
        <v>0</v>
      </c>
      <c r="AB91" s="128" cm="1">
        <f t="array" aca="1" ref="AB91" ca="1">IF($C91="S",IF($Z91="OU",ROUND($X91,2),0),SomaAgrup)</f>
        <v>0</v>
      </c>
      <c r="AC91" s="565"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IF(AND(TIPOORCAMENTO="Licitado",$AL91=0,$AN91&gt;0),"SEM PREÇO",
IF(AND($C91="S",$P91&lt;&gt;"",$Q91&lt;&gt;"",$U91&gt;0,AND($V91&lt;&gt;"BDI 1",$V91&lt;&gt;"BDI 2",$V91&lt;&gt;"BDI 3")),IF(ISNUMBER($V91),"JUSTIFICAR BDI","BDI"),
IF(OR(AND(import.recurso="OGU",TIPOORCAMENTO="Proposto",LEFT($O$8,5)&lt;&gt;"(N/D:",$AG91&lt;&gt;"",ORÇAMENTO.CustoUnitario&gt;$AG91),AND(TIPOORCAMENTO="LICITADO",ORÇAMENTO.PrecoUnitarioLicitado&gt;$AN91)),"ACIMA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CÓDIGO N/ID</v>
      </c>
      <c r="AD91" t="str">
        <f ca="1">IF(C91&lt;=CRONO.NivelExibicao,MAX($AD$15:OFFSET(AD91,-1,0))+IF($C91&lt;&gt;1,1,MAX(1,COUNTIF(QCI!$A$13:$A$15,OFFSET($E91,-1,0)))),"")</f>
        <v/>
      </c>
      <c r="AE91" s="7" t="str" cm="1">
        <f t="array" aca="1" ref="AE91" ca="1">IF(AND($C91="S",ORÇAMENTO.CodBarra&lt;&gt;""),IF(ORÇAMENTO.Fonte="",ORÇAMENTO.CodBarra,CONCATENATE(ORÇAMENTO.Fonte," ",ORÇAMENTO.CodBarra)))</f>
        <v>SBC 69057</v>
      </c>
      <c r="AF91" s="12" t="str" cm="1">
        <f t="array" aca="1" ref="AF91" ca="1">IF(ISERROR(ORÇAMENTO.BancoRef),"(abra o arquivo 'Referência "&amp;Excel_BuiltIn_Database&amp;".xlsm)",IF(OR($C91&lt;&gt;"S",ORÇAMENTO.CodBarra=""),"(Sem Código)",IF(ISERROR(MATCH($AE91,INDIRECT(ORÇAMENTO.BancoRef),0)),"(Código não identificado nas referências)",MATCH($AE91,INDIRECT(ORÇAMENTO.BancoRef),0))))</f>
        <v>(Código não identificado nas referências)</v>
      </c>
      <c r="AG91" s="428" cm="1">
        <f t="array" aca="1" ref="AG91" ca="1">ROUND(IF(DESONERACAO="sim",REFERENCIA.Desonerado,REFERENCIA.NaoDesonerado),2)</f>
        <v>0</v>
      </c>
      <c r="AH91" s="429">
        <f t="shared" ca="1" si="42"/>
        <v>0.2485</v>
      </c>
      <c r="AJ91" s="431"/>
      <c r="AL91" s="439"/>
      <c r="AM91" s="336">
        <f t="shared" ca="1" si="0"/>
        <v>123892.4</v>
      </c>
      <c r="AN91" s="470" cm="1">
        <f t="array" aca="1" ref="AN91" ca="1">ROUND(ORÇAMENTO.CustoUnitario*(1+$AH91),2)</f>
        <v>6194.62</v>
      </c>
    </row>
    <row r="92" spans="1:40" x14ac:dyDescent="0.2">
      <c r="A92" t="str">
        <f t="shared" si="29"/>
        <v>S</v>
      </c>
      <c r="B92">
        <f t="shared" ca="1" si="30"/>
        <v>2</v>
      </c>
      <c r="C92" t="str">
        <f t="shared" ca="1" si="31"/>
        <v>S</v>
      </c>
      <c r="D92">
        <f t="shared" ca="1" si="32"/>
        <v>0</v>
      </c>
      <c r="E92">
        <f ca="1">IF($C92=1,OFFSET(E92,-1,0)+MAX(1,COUNTIF(QCI!$A$13:$A$15,OFFSET(ORÇAMENTO!E92,-1,0))),OFFSET(E92,-1,0))</f>
        <v>1</v>
      </c>
      <c r="F92">
        <f t="shared" ca="1" si="33"/>
        <v>10</v>
      </c>
      <c r="G92">
        <f t="shared" ca="1" si="34"/>
        <v>0</v>
      </c>
      <c r="H92">
        <f t="shared" ca="1" si="35"/>
        <v>0</v>
      </c>
      <c r="I92">
        <f t="shared" ca="1" si="36"/>
        <v>3</v>
      </c>
      <c r="J92">
        <f t="shared" ca="1" si="37"/>
        <v>0</v>
      </c>
      <c r="K92">
        <f ca="1">IF(OR($C92="S",$C92=0),0,MATCH(OFFSET($D92,0,$C92)+IF($C92&lt;&gt;1,1,COUNTIF(QCI!$A$13:$A$15,ORÇAMENTO!E92)),OFFSET($D92,1,$C92,ROW($C$93)-ROW($C92)),0))</f>
        <v>0</v>
      </c>
      <c r="L92" s="114" t="str">
        <f t="shared" ca="1" si="38"/>
        <v>F</v>
      </c>
      <c r="M92" s="115" t="s">
        <v>705</v>
      </c>
      <c r="N92" s="116" t="str">
        <f t="shared" ca="1" si="39"/>
        <v>Serviço</v>
      </c>
      <c r="O92" s="117" t="str">
        <f t="shared" ca="1" si="40"/>
        <v>1.10.0.3.</v>
      </c>
      <c r="P92" s="118" t="s">
        <v>1064</v>
      </c>
      <c r="Q92" s="119" t="s">
        <v>1111</v>
      </c>
      <c r="R92" s="120" t="str" cm="1">
        <f t="array" aca="1" ref="R92" ca="1">IF($C92="S",REFERENCIA.Descricao,"(digite a descrição aqui)")</f>
        <v>(Código não identificado nas referências)</v>
      </c>
      <c r="S92" s="121" t="str" cm="1">
        <f t="array" aca="1" ref="S92" ca="1">REFERENCIA.Unidade</f>
        <v>-</v>
      </c>
      <c r="T92" s="122">
        <f ca="1">OFFSET(CÁLCULO!H$15,ROW($T92)-ROW(T$15),0)</f>
        <v>840</v>
      </c>
      <c r="U92" s="123">
        <v>36.42</v>
      </c>
      <c r="V92" s="124" t="s">
        <v>663</v>
      </c>
      <c r="W92" s="122" cm="1">
        <f t="array" aca="1" ref="W92" ca="1">IF($C92="S",ROUND(IF(TIPOORCAMENTO="Proposto",ORÇAMENTO.CustoUnitario*(1+$AH92),ORÇAMENTO.PrecoUnitarioLicitado),15-13*$AF$10),0)</f>
        <v>45.47</v>
      </c>
      <c r="X92" s="125" cm="1">
        <f t="array" aca="1" ref="X92" ca="1">IF($C92="S",IF(OR(Import.TipoArredondamento&lt;&gt;"TransfereGOV",ACOMPANHAMENTO="BM"),VTOTAL1,SUM(OFFSET(CÁLCULO!$AA$15,ROW($X92)-ROW($X$15),1):OFFSET(CÁLCULO!$AL$15,ROW($X92)-ROW($X$15),-1))),IF($C92=0,0,ROUND(SomaAgrup,15-13*$AF$11)))</f>
        <v>38194.800000000003</v>
      </c>
      <c r="Y92" s="126" t="s">
        <v>751</v>
      </c>
      <c r="Z92" t="str">
        <f t="shared" ca="1" si="41"/>
        <v>RA</v>
      </c>
      <c r="AA92" s="127" cm="1">
        <f t="array" aca="1" ref="AA92" ca="1">IF($C92="S",IF($Z92="CP",$X92,IF($Z92="RA",(($X92)*QCI!$AA$3),0)),SomaAgrup)</f>
        <v>0</v>
      </c>
      <c r="AB92" s="128" cm="1">
        <f t="array" aca="1" ref="AB92" ca="1">IF($C92="S",IF($Z92="OU",ROUND($X92,2),0),SomaAgrup)</f>
        <v>0</v>
      </c>
      <c r="AC92" s="565" t="str"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IF(AND(TIPOORCAMENTO="Licitado",$AL92=0,$AN92&gt;0),"SEM PREÇO",
IF(AND($C92="S",$P92&lt;&gt;"",$Q92&lt;&gt;"",$U92&gt;0,AND($V92&lt;&gt;"BDI 1",$V92&lt;&gt;"BDI 2",$V92&lt;&gt;"BDI 3")),IF(ISNUMBER($V92),"JUSTIFICAR BDI","BDI"),
IF(OR(AND(import.recurso="OGU",TIPOORCAMENTO="Proposto",LEFT($O$8,5)&lt;&gt;"(N/D:",$AG92&lt;&gt;"",ORÇAMENTO.CustoUnitario&gt;$AG92),AND(TIPOORCAMENTO="LICITADO",ORÇAMENTO.PrecoUnitarioLicitado&gt;$AN92)),"ACIMA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CÓDIGO N/ID</v>
      </c>
      <c r="AD92" t="str">
        <f ca="1">IF(C92&lt;=CRONO.NivelExibicao,MAX($AD$15:OFFSET(AD92,-1,0))+IF($C92&lt;&gt;1,1,MAX(1,COUNTIF(QCI!$A$13:$A$15,OFFSET($E92,-1,0)))),"")</f>
        <v/>
      </c>
      <c r="AE92" s="7" t="str" cm="1">
        <f t="array" aca="1" ref="AE92" ca="1">IF(AND($C92="S",ORÇAMENTO.CodBarra&lt;&gt;""),IF(ORÇAMENTO.Fonte="",ORÇAMENTO.CodBarra,CONCATENATE(ORÇAMENTO.Fonte," ",ORÇAMENTO.CodBarra)))</f>
        <v>PARAMÉTRICO EXT. REDE</v>
      </c>
      <c r="AF92" s="12" t="str" cm="1">
        <f t="array" aca="1" ref="AF92" ca="1">IF(ISERROR(ORÇAMENTO.BancoRef),"(abra o arquivo 'Referência "&amp;Excel_BuiltIn_Database&amp;".xlsm)",IF(OR($C92&lt;&gt;"S",ORÇAMENTO.CodBarra=""),"(Sem Código)",IF(ISERROR(MATCH($AE92,INDIRECT(ORÇAMENTO.BancoRef),0)),"(Código não identificado nas referências)",MATCH($AE92,INDIRECT(ORÇAMENTO.BancoRef),0))))</f>
        <v>(Código não identificado nas referências)</v>
      </c>
      <c r="AG92" s="428" cm="1">
        <f t="array" aca="1" ref="AG92" ca="1">ROUND(IF(DESONERACAO="sim",REFERENCIA.Desonerado,REFERENCIA.NaoDesonerado),2)</f>
        <v>0</v>
      </c>
      <c r="AH92" s="429">
        <f t="shared" ca="1" si="42"/>
        <v>0.2485</v>
      </c>
      <c r="AJ92" s="431"/>
      <c r="AL92" s="439"/>
      <c r="AM92" s="336">
        <f t="shared" ca="1" si="0"/>
        <v>38194.800000000003</v>
      </c>
      <c r="AN92" s="470" cm="1">
        <f t="array" aca="1" ref="AN92" ca="1">ROUND(ORÇAMENTO.CustoUnitario*(1+$AH92),2)</f>
        <v>45.47</v>
      </c>
    </row>
    <row r="93" spans="1:40" ht="5.0999999999999996" customHeight="1" x14ac:dyDescent="0.2">
      <c r="A93">
        <v>-1</v>
      </c>
      <c r="C93">
        <v>-1</v>
      </c>
      <c r="E93">
        <v>0</v>
      </c>
      <c r="F93">
        <v>0</v>
      </c>
      <c r="G93">
        <v>0</v>
      </c>
      <c r="H93">
        <v>0</v>
      </c>
      <c r="I93">
        <v>0</v>
      </c>
      <c r="L93" s="114" t="s">
        <v>536</v>
      </c>
      <c r="M93" s="616"/>
      <c r="N93" s="424"/>
      <c r="O93" s="616"/>
      <c r="P93" s="617"/>
      <c r="Q93" s="617"/>
      <c r="R93" s="617"/>
      <c r="S93" s="617"/>
      <c r="T93" s="617"/>
      <c r="U93" s="617"/>
      <c r="V93" s="617"/>
      <c r="W93" s="617"/>
      <c r="X93" s="424"/>
      <c r="Y93" s="424"/>
      <c r="AC93" s="565" t="str" cm="1">
        <f t="array" ref="AC93">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IF(AND(TIPOORCAMENTO="Licitado",$AL93=0,$AN93&gt;0),"SEM PREÇO",
IF(AND($C93="S",$P93&lt;&gt;"",$Q93&lt;&gt;"",$U93&gt;0,AND($V93&lt;&gt;"BDI 1",$V93&lt;&gt;"BDI 2",$V93&lt;&gt;"BDI 3")),IF(ISNUMBER($V93),"JUSTIFICAR BDI","BDI"),
IF(OR(AND(import.recurso="OGU",TIPOORCAMENTO="Proposto",LEFT($O$8,5)&lt;&gt;"(N/D:",$AG93&lt;&gt;"",ORÇAMENTO.CustoUnitario&gt;$AG93),AND(TIPOORCAMENTO="LICITADO",ORÇAMENTO.PrecoUnitarioLicitado&gt;$AN93)),"ACIMA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 xml:space="preserve"> </v>
      </c>
      <c r="AF93" s="12"/>
      <c r="AG93" s="618"/>
      <c r="AH93" s="419"/>
      <c r="AJ93" s="425"/>
      <c r="AL93" s="618"/>
      <c r="AM93" s="619"/>
      <c r="AN93" s="419"/>
    </row>
    <row r="94" spans="1:40" x14ac:dyDescent="0.2">
      <c r="AF94" s="12"/>
    </row>
    <row r="95" spans="1:40" x14ac:dyDescent="0.2">
      <c r="AF95" s="12"/>
    </row>
    <row r="96" spans="1:40" ht="14.25" x14ac:dyDescent="0.2">
      <c r="O96" s="134" t="s">
        <v>753</v>
      </c>
      <c r="Q96" s="713" t="s">
        <v>754</v>
      </c>
      <c r="R96" s="713"/>
      <c r="S96" s="713"/>
      <c r="T96" s="713"/>
      <c r="U96" s="713"/>
      <c r="V96" s="713"/>
      <c r="W96" s="713"/>
      <c r="X96" s="713"/>
      <c r="AF96" s="12"/>
    </row>
    <row r="97" spans="15:32" x14ac:dyDescent="0.2">
      <c r="AF97" s="12"/>
    </row>
    <row r="98" spans="15:32" ht="14.25" x14ac:dyDescent="0.2">
      <c r="O98" s="135" t="s">
        <v>689</v>
      </c>
      <c r="X98" s="4"/>
      <c r="AF98" s="12"/>
    </row>
    <row r="99" spans="15:32" ht="12.75" customHeight="1" x14ac:dyDescent="0.2">
      <c r="O99" s="714"/>
      <c r="P99" s="714"/>
      <c r="Q99" s="714"/>
      <c r="R99" s="714"/>
      <c r="S99" s="714"/>
      <c r="T99" s="714"/>
      <c r="U99" s="714"/>
      <c r="V99" s="714"/>
      <c r="W99" s="714"/>
      <c r="X99" s="714"/>
      <c r="AF99" s="12"/>
    </row>
    <row r="100" spans="15:32" x14ac:dyDescent="0.2">
      <c r="O100" s="714"/>
      <c r="P100" s="714"/>
      <c r="Q100" s="714"/>
      <c r="R100" s="714"/>
      <c r="S100" s="714"/>
      <c r="T100" s="714"/>
      <c r="U100" s="714"/>
      <c r="V100" s="714"/>
      <c r="W100" s="714"/>
      <c r="X100" s="714"/>
      <c r="AF100" s="12"/>
    </row>
    <row r="101" spans="15:32" x14ac:dyDescent="0.2">
      <c r="O101" s="714"/>
      <c r="P101" s="714"/>
      <c r="Q101" s="714"/>
      <c r="R101" s="714"/>
      <c r="S101" s="714"/>
      <c r="T101" s="714"/>
      <c r="U101" s="714"/>
      <c r="V101" s="714"/>
      <c r="W101" s="714"/>
      <c r="X101" s="714"/>
      <c r="AF101" s="12"/>
    </row>
    <row r="102" spans="15:32" ht="14.25" x14ac:dyDescent="0.2">
      <c r="O102" s="443"/>
      <c r="P102" s="443"/>
      <c r="Q102" s="443"/>
      <c r="R102" s="443"/>
      <c r="S102" s="443"/>
      <c r="T102" s="443"/>
      <c r="U102" s="443"/>
      <c r="V102" s="443"/>
      <c r="W102" s="443"/>
      <c r="X102" s="443"/>
      <c r="Y102" s="443"/>
      <c r="Z102" s="136"/>
      <c r="AA102" s="136"/>
      <c r="AB102" s="136"/>
      <c r="AF102" s="12"/>
    </row>
    <row r="103" spans="15:32" ht="15" x14ac:dyDescent="0.25">
      <c r="O103" s="715"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103" s="715"/>
      <c r="Q103" s="715"/>
      <c r="R103" s="715"/>
      <c r="S103" s="715"/>
      <c r="T103" s="715"/>
      <c r="U103" s="715"/>
      <c r="V103" s="715"/>
      <c r="W103" s="715"/>
      <c r="X103" s="715"/>
      <c r="Y103" s="137"/>
      <c r="Z103" s="137"/>
      <c r="AA103" s="137"/>
      <c r="AB103" s="137"/>
      <c r="AF103" s="12"/>
    </row>
    <row r="104" spans="15:32" ht="15" customHeight="1" x14ac:dyDescent="0.25">
      <c r="O104" s="717" t="s">
        <v>755</v>
      </c>
      <c r="P104" s="717"/>
      <c r="Q104" s="717"/>
      <c r="R104" s="717"/>
      <c r="S104" s="717"/>
      <c r="T104" s="717"/>
      <c r="U104" s="717"/>
      <c r="V104" s="717"/>
      <c r="W104" s="717"/>
      <c r="X104" s="717"/>
      <c r="Y104" s="137"/>
      <c r="Z104" s="137"/>
      <c r="AA104" s="137"/>
      <c r="AB104" s="137"/>
      <c r="AF104" s="12"/>
    </row>
    <row r="105" spans="15:32" x14ac:dyDescent="0.2">
      <c r="AF105" s="12"/>
    </row>
    <row r="106" spans="15:32" ht="30" customHeight="1" x14ac:dyDescent="0.2">
      <c r="O106" s="716" t="str">
        <f>Import.Município</f>
        <v>BURITIZEIRO-MG</v>
      </c>
      <c r="P106" s="716"/>
      <c r="Q106" s="716"/>
      <c r="S106" s="460"/>
      <c r="T106" s="460"/>
      <c r="U106" s="460"/>
      <c r="V106" s="460"/>
      <c r="W106" s="417"/>
      <c r="AF106" s="12"/>
    </row>
    <row r="107" spans="15:32" x14ac:dyDescent="0.2">
      <c r="O107" s="9" t="s">
        <v>693</v>
      </c>
      <c r="S107" s="181" t="s">
        <v>696</v>
      </c>
      <c r="T107" s="181"/>
      <c r="U107" s="181"/>
      <c r="V107" s="181"/>
      <c r="AF107" s="12"/>
    </row>
    <row r="108" spans="15:32" x14ac:dyDescent="0.2">
      <c r="S108" s="77" t="s">
        <v>240</v>
      </c>
      <c r="T108" s="78" t="str">
        <f t="array" ref="T108:T110">Import.RespOrçamento</f>
        <v>RAFAEL LACERDA MAIA</v>
      </c>
      <c r="V108" s="79"/>
      <c r="AF108" s="12"/>
    </row>
    <row r="109" spans="15:32" x14ac:dyDescent="0.2">
      <c r="O109" s="710">
        <f>DADOS!$C$25</f>
        <v>46107</v>
      </c>
      <c r="P109" s="710"/>
      <c r="Q109" s="710"/>
      <c r="S109" s="77" t="s">
        <v>243</v>
      </c>
      <c r="T109" s="78" t="str">
        <v>173.269/D</v>
      </c>
      <c r="U109" s="79"/>
      <c r="V109" s="79"/>
      <c r="AF109" s="12"/>
    </row>
    <row r="110" spans="15:32" x14ac:dyDescent="0.2">
      <c r="O110" s="140" t="s">
        <v>694</v>
      </c>
      <c r="P110" s="1"/>
      <c r="Q110" s="1"/>
      <c r="S110" s="77" t="s">
        <v>246</v>
      </c>
      <c r="T110" s="78" t="str">
        <v>MG20254479691</v>
      </c>
      <c r="U110" s="79"/>
      <c r="V110" s="79"/>
      <c r="AF110" s="12"/>
    </row>
    <row r="111" spans="15:32" x14ac:dyDescent="0.2">
      <c r="AF111" s="12"/>
    </row>
    <row r="112" spans="15:32" x14ac:dyDescent="0.2">
      <c r="AF112" s="12"/>
    </row>
    <row r="113" spans="32:32" x14ac:dyDescent="0.2">
      <c r="AF113" s="12"/>
    </row>
    <row r="114" spans="32:32" x14ac:dyDescent="0.2">
      <c r="AF114" s="12"/>
    </row>
    <row r="115" spans="32:32" x14ac:dyDescent="0.2">
      <c r="AF115" s="12"/>
    </row>
    <row r="116" spans="32:32" x14ac:dyDescent="0.2">
      <c r="AF116" s="12"/>
    </row>
    <row r="117" spans="32:32" x14ac:dyDescent="0.2">
      <c r="AF117" s="12"/>
    </row>
    <row r="118" spans="32:32" x14ac:dyDescent="0.2">
      <c r="AF118" s="12"/>
    </row>
    <row r="119" spans="32:32" x14ac:dyDescent="0.2">
      <c r="AF119" s="12"/>
    </row>
    <row r="120" spans="32:32" x14ac:dyDescent="0.2">
      <c r="AF120" s="12"/>
    </row>
    <row r="121" spans="32:32" x14ac:dyDescent="0.2">
      <c r="AF121" s="12"/>
    </row>
    <row r="122" spans="32:32" x14ac:dyDescent="0.2">
      <c r="AF122" s="12"/>
    </row>
    <row r="123" spans="32:32" x14ac:dyDescent="0.2">
      <c r="AF123" s="12"/>
    </row>
    <row r="124" spans="32:32" x14ac:dyDescent="0.2">
      <c r="AF124" s="12"/>
    </row>
    <row r="125" spans="32:32" x14ac:dyDescent="0.2">
      <c r="AF125" s="12"/>
    </row>
    <row r="126" spans="32:32" x14ac:dyDescent="0.2">
      <c r="AF126" s="12"/>
    </row>
    <row r="127" spans="32:32" x14ac:dyDescent="0.2">
      <c r="AF127" s="12"/>
    </row>
    <row r="128" spans="32:32" x14ac:dyDescent="0.2">
      <c r="AF128" s="12"/>
    </row>
    <row r="129" spans="32:32" x14ac:dyDescent="0.2">
      <c r="AF129" s="12"/>
    </row>
    <row r="130" spans="32:32" x14ac:dyDescent="0.2">
      <c r="AF130" s="12"/>
    </row>
    <row r="131" spans="32:32" x14ac:dyDescent="0.2">
      <c r="AF131" s="12"/>
    </row>
    <row r="132" spans="32:32" x14ac:dyDescent="0.2">
      <c r="AF132" s="12"/>
    </row>
    <row r="133" spans="32:32" x14ac:dyDescent="0.2">
      <c r="AF133" s="12"/>
    </row>
    <row r="134" spans="32:32" x14ac:dyDescent="0.2">
      <c r="AF134" s="12"/>
    </row>
    <row r="135" spans="32:32" x14ac:dyDescent="0.2">
      <c r="AF135" s="12"/>
    </row>
    <row r="136" spans="32:32" x14ac:dyDescent="0.2">
      <c r="AF136" s="12"/>
    </row>
    <row r="137" spans="32:32" x14ac:dyDescent="0.2">
      <c r="AF137" s="12"/>
    </row>
    <row r="138" spans="32:32" x14ac:dyDescent="0.2">
      <c r="AF138" s="12"/>
    </row>
    <row r="139" spans="32:32" x14ac:dyDescent="0.2">
      <c r="AF139" s="12"/>
    </row>
    <row r="140" spans="32:32" x14ac:dyDescent="0.2">
      <c r="AF140" s="12"/>
    </row>
    <row r="141" spans="32:32" x14ac:dyDescent="0.2">
      <c r="AF141" s="12"/>
    </row>
    <row r="142" spans="32:32" x14ac:dyDescent="0.2">
      <c r="AF142" s="12"/>
    </row>
    <row r="143" spans="32:32" x14ac:dyDescent="0.2">
      <c r="AF143" s="12"/>
    </row>
    <row r="144" spans="32:32" x14ac:dyDescent="0.2">
      <c r="AF144" s="12"/>
    </row>
    <row r="145" spans="32:32" x14ac:dyDescent="0.2">
      <c r="AF145" s="12"/>
    </row>
    <row r="146" spans="32:32" x14ac:dyDescent="0.2">
      <c r="AF146" s="12"/>
    </row>
    <row r="147" spans="32:32" x14ac:dyDescent="0.2">
      <c r="AF147" s="12"/>
    </row>
    <row r="148" spans="32:32" x14ac:dyDescent="0.2">
      <c r="AF148" s="12"/>
    </row>
    <row r="149" spans="32:32" x14ac:dyDescent="0.2">
      <c r="AF149" s="12"/>
    </row>
    <row r="150" spans="32:32" x14ac:dyDescent="0.2">
      <c r="AF150" s="12"/>
    </row>
    <row r="151" spans="32:32" x14ac:dyDescent="0.2">
      <c r="AF151" s="12"/>
    </row>
    <row r="152" spans="32:32" x14ac:dyDescent="0.2">
      <c r="AF152" s="12"/>
    </row>
    <row r="153" spans="32:32" x14ac:dyDescent="0.2">
      <c r="AF153" s="12"/>
    </row>
    <row r="154" spans="32:32" x14ac:dyDescent="0.2">
      <c r="AF154" s="12"/>
    </row>
    <row r="155" spans="32:32" x14ac:dyDescent="0.2">
      <c r="AF155" s="12"/>
    </row>
    <row r="156" spans="32:32" x14ac:dyDescent="0.2">
      <c r="AF156" s="12"/>
    </row>
    <row r="157" spans="32:32" x14ac:dyDescent="0.2">
      <c r="AF157" s="12"/>
    </row>
    <row r="158" spans="32:32" x14ac:dyDescent="0.2">
      <c r="AF158" s="12"/>
    </row>
    <row r="159" spans="32:32" x14ac:dyDescent="0.2">
      <c r="AF159" s="12"/>
    </row>
    <row r="160" spans="32:32" x14ac:dyDescent="0.2">
      <c r="AF160" s="12"/>
    </row>
    <row r="161" spans="32:32" x14ac:dyDescent="0.2">
      <c r="AF161" s="12"/>
    </row>
    <row r="162" spans="32:32" x14ac:dyDescent="0.2">
      <c r="AF162" s="12"/>
    </row>
    <row r="163" spans="32:32" x14ac:dyDescent="0.2">
      <c r="AF163" s="12"/>
    </row>
    <row r="164" spans="32:32" x14ac:dyDescent="0.2">
      <c r="AF164" s="12"/>
    </row>
    <row r="165" spans="32:32" x14ac:dyDescent="0.2">
      <c r="AF165" s="12"/>
    </row>
    <row r="166" spans="32:32" x14ac:dyDescent="0.2">
      <c r="AF166" s="12"/>
    </row>
    <row r="167" spans="32:32" x14ac:dyDescent="0.2">
      <c r="AF167" s="12"/>
    </row>
    <row r="168" spans="32:32" x14ac:dyDescent="0.2">
      <c r="AF168" s="12"/>
    </row>
    <row r="169" spans="32:32" x14ac:dyDescent="0.2">
      <c r="AF169" s="12"/>
    </row>
    <row r="170" spans="32:32" x14ac:dyDescent="0.2">
      <c r="AF170" s="12"/>
    </row>
    <row r="171" spans="32:32" x14ac:dyDescent="0.2">
      <c r="AF171" s="12"/>
    </row>
    <row r="172" spans="32:32" x14ac:dyDescent="0.2">
      <c r="AF172" s="12"/>
    </row>
    <row r="173" spans="32:32" x14ac:dyDescent="0.2">
      <c r="AF173" s="12"/>
    </row>
    <row r="174" spans="32:32" x14ac:dyDescent="0.2">
      <c r="AF174" s="12"/>
    </row>
    <row r="175" spans="32:32" x14ac:dyDescent="0.2">
      <c r="AF175" s="12"/>
    </row>
    <row r="176" spans="32:32" x14ac:dyDescent="0.2">
      <c r="AF176" s="12"/>
    </row>
    <row r="177" spans="32:32" x14ac:dyDescent="0.2">
      <c r="AF177" s="12"/>
    </row>
    <row r="178" spans="32:32" x14ac:dyDescent="0.2">
      <c r="AF178" s="12"/>
    </row>
    <row r="179" spans="32:32" x14ac:dyDescent="0.2">
      <c r="AF179" s="12"/>
    </row>
    <row r="180" spans="32:32" x14ac:dyDescent="0.2">
      <c r="AF180" s="12"/>
    </row>
    <row r="181" spans="32:32" x14ac:dyDescent="0.2">
      <c r="AF181" s="12"/>
    </row>
    <row r="182" spans="32:32" x14ac:dyDescent="0.2">
      <c r="AF182" s="12"/>
    </row>
    <row r="183" spans="32:32" x14ac:dyDescent="0.2">
      <c r="AF183" s="12"/>
    </row>
    <row r="184" spans="32:32" x14ac:dyDescent="0.2">
      <c r="AF184" s="12"/>
    </row>
    <row r="185" spans="32:32" x14ac:dyDescent="0.2">
      <c r="AF185" s="12"/>
    </row>
    <row r="186" spans="32:32" x14ac:dyDescent="0.2">
      <c r="AF186" s="12"/>
    </row>
    <row r="187" spans="32:32" x14ac:dyDescent="0.2">
      <c r="AF187" s="12"/>
    </row>
    <row r="188" spans="32:32" x14ac:dyDescent="0.2">
      <c r="AF188" s="12"/>
    </row>
    <row r="189" spans="32:32" x14ac:dyDescent="0.2">
      <c r="AF189" s="12"/>
    </row>
    <row r="190" spans="32:32" x14ac:dyDescent="0.2">
      <c r="AF190" s="12"/>
    </row>
    <row r="191" spans="32:32" x14ac:dyDescent="0.2">
      <c r="AF191" s="12"/>
    </row>
    <row r="192" spans="32: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row r="65578" spans="32:32" x14ac:dyDescent="0.2">
      <c r="AF65578" s="12"/>
    </row>
    <row r="65579" spans="32:32" x14ac:dyDescent="0.2">
      <c r="AF65579" s="12"/>
    </row>
    <row r="65580" spans="32:32" x14ac:dyDescent="0.2">
      <c r="AF65580" s="12"/>
    </row>
    <row r="65581" spans="32:32" x14ac:dyDescent="0.2">
      <c r="AF65581" s="12"/>
    </row>
    <row r="65582" spans="32:32" x14ac:dyDescent="0.2">
      <c r="AF65582" s="12"/>
    </row>
    <row r="65583" spans="32:32" x14ac:dyDescent="0.2">
      <c r="AF65583" s="12"/>
    </row>
    <row r="65584" spans="32:32" x14ac:dyDescent="0.2">
      <c r="AF65584" s="12"/>
    </row>
    <row r="65585" spans="32:32" x14ac:dyDescent="0.2">
      <c r="AF65585" s="12"/>
    </row>
    <row r="65586" spans="32:32" x14ac:dyDescent="0.2">
      <c r="AF65586" s="12"/>
    </row>
    <row r="65587" spans="32:32" x14ac:dyDescent="0.2">
      <c r="AF65587" s="12"/>
    </row>
    <row r="65588" spans="32:32" x14ac:dyDescent="0.2">
      <c r="AF65588" s="12"/>
    </row>
    <row r="65589" spans="32:32" x14ac:dyDescent="0.2">
      <c r="AF65589" s="12"/>
    </row>
    <row r="65590" spans="32:32" x14ac:dyDescent="0.2">
      <c r="AF65590" s="12"/>
    </row>
    <row r="65591" spans="32:32" x14ac:dyDescent="0.2">
      <c r="AF65591" s="12"/>
    </row>
    <row r="65592" spans="32:32" x14ac:dyDescent="0.2">
      <c r="AF65592" s="12"/>
    </row>
    <row r="65593" spans="32:32" x14ac:dyDescent="0.2">
      <c r="AF65593" s="12"/>
    </row>
    <row r="65594" spans="32:32" x14ac:dyDescent="0.2">
      <c r="AF65594" s="12"/>
    </row>
    <row r="65595" spans="32:32" x14ac:dyDescent="0.2">
      <c r="AF65595" s="12"/>
    </row>
    <row r="65596" spans="32:32" x14ac:dyDescent="0.2">
      <c r="AF65596" s="12"/>
    </row>
    <row r="65597" spans="32:32" x14ac:dyDescent="0.2">
      <c r="AF65597" s="12"/>
    </row>
    <row r="65598" spans="32:32" x14ac:dyDescent="0.2">
      <c r="AF65598" s="12"/>
    </row>
    <row r="65599" spans="32:32" x14ac:dyDescent="0.2">
      <c r="AF65599" s="12"/>
    </row>
    <row r="65600" spans="32:32" x14ac:dyDescent="0.2">
      <c r="AF65600" s="12"/>
    </row>
    <row r="65601" spans="32:32" x14ac:dyDescent="0.2">
      <c r="AF65601" s="12"/>
    </row>
    <row r="65602" spans="32:32" x14ac:dyDescent="0.2">
      <c r="AF65602" s="12"/>
    </row>
    <row r="65603" spans="32:32" x14ac:dyDescent="0.2">
      <c r="AF65603" s="12"/>
    </row>
    <row r="65604" spans="32:32" x14ac:dyDescent="0.2">
      <c r="AF65604" s="12"/>
    </row>
    <row r="65605" spans="32:32" x14ac:dyDescent="0.2">
      <c r="AF65605" s="12"/>
    </row>
    <row r="65606" spans="32:32" x14ac:dyDescent="0.2">
      <c r="AF65606" s="12"/>
    </row>
    <row r="65607" spans="32:32" x14ac:dyDescent="0.2">
      <c r="AF65607" s="12"/>
    </row>
    <row r="65608" spans="32:32" x14ac:dyDescent="0.2">
      <c r="AF65608" s="12"/>
    </row>
    <row r="65609" spans="32:32" x14ac:dyDescent="0.2">
      <c r="AF65609" s="12"/>
    </row>
    <row r="65610" spans="32:32" x14ac:dyDescent="0.2">
      <c r="AF65610" s="12"/>
    </row>
    <row r="65611" spans="32:32" x14ac:dyDescent="0.2">
      <c r="AF65611" s="12"/>
    </row>
    <row r="65612" spans="32:32" x14ac:dyDescent="0.2">
      <c r="AF65612" s="12"/>
    </row>
    <row r="65613" spans="32:32" x14ac:dyDescent="0.2">
      <c r="AF65613" s="12"/>
    </row>
    <row r="65614" spans="32:32" x14ac:dyDescent="0.2">
      <c r="AF65614" s="12"/>
    </row>
    <row r="65615" spans="32:32" x14ac:dyDescent="0.2">
      <c r="AF65615" s="12"/>
    </row>
    <row r="65616" spans="32:32" x14ac:dyDescent="0.2">
      <c r="AF65616" s="12"/>
    </row>
    <row r="65617" spans="32:32" x14ac:dyDescent="0.2">
      <c r="AF65617" s="12"/>
    </row>
    <row r="65618" spans="32:32" x14ac:dyDescent="0.2">
      <c r="AF65618" s="12"/>
    </row>
    <row r="65619" spans="32:32" x14ac:dyDescent="0.2">
      <c r="AF65619" s="12"/>
    </row>
    <row r="65620" spans="32:32" x14ac:dyDescent="0.2">
      <c r="AF65620" s="12"/>
    </row>
    <row r="65621" spans="32:32" x14ac:dyDescent="0.2">
      <c r="AF65621" s="12"/>
    </row>
    <row r="65622" spans="32:32" x14ac:dyDescent="0.2">
      <c r="AF65622" s="12"/>
    </row>
    <row r="65623" spans="32:32" x14ac:dyDescent="0.2">
      <c r="AF65623" s="12"/>
    </row>
  </sheetData>
  <sheetProtection algorithmName="SHA-512" hashValue="+68eqTbWeLzvQwzLBxeT6784xUUWuTViLmHlTJ2jQyDvisbYqs5rUWSgUGmeoTSgT6uc35IwvC/FSn3fXgmLgw==" saltValue="b+RHxVpB+uEAChwSABD2Mg==" spinCount="100000" sheet="1" objects="1" scenarios="1" autoFilter="0"/>
  <autoFilter ref="L15:L93" xr:uid="{00000000-0001-0000-0400-000000000000}">
    <filterColumn colId="0">
      <filters>
        <filter val="F"/>
      </filters>
    </filterColumn>
  </autoFilter>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109:Q109"/>
    <mergeCell ref="O15:R15"/>
    <mergeCell ref="Q96:X96"/>
    <mergeCell ref="O99:X101"/>
    <mergeCell ref="O103:X103"/>
    <mergeCell ref="O106:Q106"/>
    <mergeCell ref="O104:X104"/>
  </mergeCells>
  <phoneticPr fontId="38" type="noConversion"/>
  <conditionalFormatting sqref="M14 M38 M53:M60 M85:M92 M63:M64">
    <cfRule type="cellIs" dxfId="543" priority="43302" stopIfTrue="1" operator="notEqual">
      <formula>$N14</formula>
    </cfRule>
  </conditionalFormatting>
  <conditionalFormatting sqref="N14:O14 W14 N38:O38 W38:X38 R38 N53:O60 W53:X60 R53:R60 N85:O92 W85:X92 R85:R92 N63:O64 W63:X64 R63:R64">
    <cfRule type="expression" dxfId="542" priority="43303" stopIfTrue="1">
      <formula>$C14=1</formula>
    </cfRule>
    <cfRule type="expression" dxfId="541" priority="43304" stopIfTrue="1">
      <formula>OR($C14=0,$C14=2,$C14=3,$C14=4)</formula>
    </cfRule>
  </conditionalFormatting>
  <conditionalFormatting sqref="U14:V14 U38:V38 U53:V60 U85:V92 U63:V64">
    <cfRule type="expression" dxfId="540" priority="43305" stopIfTrue="1">
      <formula>$C14=1</formula>
    </cfRule>
    <cfRule type="expression" dxfId="539" priority="43306" stopIfTrue="1">
      <formula>OR($C14=0,$C14=2,$C14=3,$C14=4)</formula>
    </cfRule>
    <cfRule type="expression" dxfId="538" priority="43307" stopIfTrue="1">
      <formula>AND(TIPOORCAMENTO="Licitado",$C14&lt;&gt;"L",$C14&lt;&gt;-1)</formula>
    </cfRule>
  </conditionalFormatting>
  <conditionalFormatting sqref="P14:Q14 S14:T14 Y14 AG14:AH14 P38:Q38 S38:T38 Y38 AG38:AH38 P53:Q60 S53:T60 Y53:Y60 AG53:AH60 P85:Q92 S85:T92 Y85:Y92 AG85:AH92 P63:Q64 S63:T64 Y63:Y64 AG63:AH64">
    <cfRule type="expression" dxfId="537" priority="43308" stopIfTrue="1">
      <formula>$C14=1</formula>
    </cfRule>
    <cfRule type="expression" dxfId="536" priority="43309" stopIfTrue="1">
      <formula>OR($C14=0,$C14=2,$C14=3,$C14=4)</formula>
    </cfRule>
  </conditionalFormatting>
  <conditionalFormatting sqref="AJ7:AJ93">
    <cfRule type="expression" dxfId="535" priority="43310" stopIfTrue="1">
      <formula>OR(ACOMPANHAMENTO&lt;&gt;"BM",TIPOORCAMENTO="Licitado")</formula>
    </cfRule>
    <cfRule type="expression" dxfId="534" priority="43311" stopIfTrue="1">
      <formula>$C7=1</formula>
    </cfRule>
    <cfRule type="expression" dxfId="533" priority="43312" stopIfTrue="1">
      <formula>OR(AND(ISNUMBER($C7),$C7=0),$C7=2,$C7=3,$C7=4)</formula>
    </cfRule>
  </conditionalFormatting>
  <conditionalFormatting sqref="AL7:AL93">
    <cfRule type="expression" dxfId="532" priority="43313" stopIfTrue="1">
      <formula>TIPOORCAMENTO="PROPOSTO"</formula>
    </cfRule>
    <cfRule type="expression" dxfId="531" priority="43314" stopIfTrue="1">
      <formula>$C7=1</formula>
    </cfRule>
    <cfRule type="expression" dxfId="530" priority="43315" stopIfTrue="1">
      <formula>OR(AND(ISNUMBER($C7),$C7=0),$C7=2,$C7=3,$C7=4)</formula>
    </cfRule>
  </conditionalFormatting>
  <conditionalFormatting sqref="O8:P8">
    <cfRule type="expression" dxfId="529" priority="43319" stopIfTrue="1">
      <formula>ISERROR(INDIRECT($F$9))</formula>
    </cfRule>
  </conditionalFormatting>
  <conditionalFormatting sqref="S7:V8">
    <cfRule type="expression" dxfId="528" priority="43320" stopIfTrue="1">
      <formula>TIPOORCAMENTO="Proposto"</formula>
    </cfRule>
  </conditionalFormatting>
  <conditionalFormatting sqref="S9:X9">
    <cfRule type="expression" dxfId="527" priority="43267" stopIfTrue="1">
      <formula>TIPOORCAMENTO="Proposto"</formula>
    </cfRule>
  </conditionalFormatting>
  <conditionalFormatting sqref="AM7:AN93">
    <cfRule type="expression" dxfId="526" priority="43316" stopIfTrue="1">
      <formula>TIPOORCAMENTO="PROPOSTO"</formula>
    </cfRule>
    <cfRule type="expression" dxfId="525" priority="43317" stopIfTrue="1">
      <formula>$C7=1</formula>
    </cfRule>
    <cfRule type="expression" dxfId="524" priority="43318" stopIfTrue="1">
      <formula>OR(AND(ISNUMBER($C7),$C7=0),$C7=2,$C7=3,$C7=4)</formula>
    </cfRule>
  </conditionalFormatting>
  <conditionalFormatting sqref="X14">
    <cfRule type="expression" dxfId="523" priority="28892" stopIfTrue="1">
      <formula>$C14=1</formula>
    </cfRule>
    <cfRule type="expression" dxfId="522" priority="28893" stopIfTrue="1">
      <formula>OR($C14=0,$C14=2,$C14=3,$C14=4)</formula>
    </cfRule>
  </conditionalFormatting>
  <conditionalFormatting sqref="AC11">
    <cfRule type="cellIs" dxfId="521" priority="19727" operator="equal">
      <formula>"OK"</formula>
    </cfRule>
  </conditionalFormatting>
  <conditionalFormatting sqref="R14">
    <cfRule type="expression" dxfId="520" priority="4659" stopIfTrue="1">
      <formula>$C14=1</formula>
    </cfRule>
    <cfRule type="expression" dxfId="519" priority="4660" stopIfTrue="1">
      <formula>OR($C14=0,$C14=2,$C14=3,$C14=4)</formula>
    </cfRule>
  </conditionalFormatting>
  <conditionalFormatting sqref="R14 R63:R64">
    <cfRule type="beginsWith" dxfId="518" priority="4658" operator="beginsWith" text="(">
      <formula>LEFT(R14,LEN("("))="("</formula>
    </cfRule>
  </conditionalFormatting>
  <conditionalFormatting sqref="M16:M17 M61 M19 M39">
    <cfRule type="cellIs" dxfId="517" priority="591" stopIfTrue="1" operator="notEqual">
      <formula>$N16</formula>
    </cfRule>
  </conditionalFormatting>
  <conditionalFormatting sqref="N16:O17 W16:W17 W61 N61:O61 W19 N19:O19 N39:O39 W39">
    <cfRule type="expression" dxfId="516" priority="592" stopIfTrue="1">
      <formula>$C16=1</formula>
    </cfRule>
    <cfRule type="expression" dxfId="515" priority="593" stopIfTrue="1">
      <formula>OR($C16=0,$C16=2,$C16=3,$C16=4)</formula>
    </cfRule>
  </conditionalFormatting>
  <conditionalFormatting sqref="U16:V17 U61:V61 U19:V19 U39:V39">
    <cfRule type="expression" dxfId="514" priority="594" stopIfTrue="1">
      <formula>$C16=1</formula>
    </cfRule>
    <cfRule type="expression" dxfId="513" priority="595" stopIfTrue="1">
      <formula>OR($C16=0,$C16=2,$C16=3,$C16=4)</formula>
    </cfRule>
    <cfRule type="expression" dxfId="512" priority="596" stopIfTrue="1">
      <formula>AND(TIPOORCAMENTO="Licitado",$C16&lt;&gt;"L",$C16&lt;&gt;-1)</formula>
    </cfRule>
  </conditionalFormatting>
  <conditionalFormatting sqref="P16:Q17 S16:T17 Y16:Y17 AG16:AH17 AG61:AH61 Y61 S61:T61 P61:Q61 AG19:AH19 Y19 S19:T19 P19:Q19 P39:Q39 S39:T39 Y39 AG39:AH39">
    <cfRule type="expression" dxfId="511" priority="597" stopIfTrue="1">
      <formula>$C16=1</formula>
    </cfRule>
    <cfRule type="expression" dxfId="510" priority="598" stopIfTrue="1">
      <formula>OR($C16=0,$C16=2,$C16=3,$C16=4)</formula>
    </cfRule>
  </conditionalFormatting>
  <conditionalFormatting sqref="X16:X17 X61 X19 X39">
    <cfRule type="expression" dxfId="509" priority="589" stopIfTrue="1">
      <formula>$C16=1</formula>
    </cfRule>
    <cfRule type="expression" dxfId="508" priority="590" stopIfTrue="1">
      <formula>OR($C16=0,$C16=2,$C16=3,$C16=4)</formula>
    </cfRule>
  </conditionalFormatting>
  <conditionalFormatting sqref="R16:R17 R61 R19 R39">
    <cfRule type="expression" dxfId="507" priority="587" stopIfTrue="1">
      <formula>$C16=1</formula>
    </cfRule>
    <cfRule type="expression" dxfId="506" priority="588" stopIfTrue="1">
      <formula>OR($C16=0,$C16=2,$C16=3,$C16=4)</formula>
    </cfRule>
  </conditionalFormatting>
  <conditionalFormatting sqref="R16:R17 R61 R19 R39">
    <cfRule type="beginsWith" dxfId="505" priority="586" operator="beginsWith" text="(">
      <formula>LEFT(R16,LEN("("))="("</formula>
    </cfRule>
  </conditionalFormatting>
  <conditionalFormatting sqref="M43">
    <cfRule type="cellIs" dxfId="504" priority="227" stopIfTrue="1" operator="notEqual">
      <formula>$N43</formula>
    </cfRule>
  </conditionalFormatting>
  <conditionalFormatting sqref="N43:O43 W43">
    <cfRule type="expression" dxfId="503" priority="228" stopIfTrue="1">
      <formula>$C43=1</formula>
    </cfRule>
    <cfRule type="expression" dxfId="502" priority="229" stopIfTrue="1">
      <formula>OR($C43=0,$C43=2,$C43=3,$C43=4)</formula>
    </cfRule>
  </conditionalFormatting>
  <conditionalFormatting sqref="U43:V43">
    <cfRule type="expression" dxfId="501" priority="230" stopIfTrue="1">
      <formula>$C43=1</formula>
    </cfRule>
    <cfRule type="expression" dxfId="500" priority="231" stopIfTrue="1">
      <formula>OR($C43=0,$C43=2,$C43=3,$C43=4)</formula>
    </cfRule>
    <cfRule type="expression" dxfId="499" priority="232" stopIfTrue="1">
      <formula>AND(TIPOORCAMENTO="Licitado",$C43&lt;&gt;"L",$C43&lt;&gt;-1)</formula>
    </cfRule>
  </conditionalFormatting>
  <conditionalFormatting sqref="P43:Q43 S43:T43 Y43 AG43:AH43">
    <cfRule type="expression" dxfId="498" priority="233" stopIfTrue="1">
      <formula>$C43=1</formula>
    </cfRule>
    <cfRule type="expression" dxfId="497" priority="234" stopIfTrue="1">
      <formula>OR($C43=0,$C43=2,$C43=3,$C43=4)</formula>
    </cfRule>
  </conditionalFormatting>
  <conditionalFormatting sqref="X43">
    <cfRule type="expression" dxfId="496" priority="225" stopIfTrue="1">
      <formula>$C43=1</formula>
    </cfRule>
    <cfRule type="expression" dxfId="495" priority="226" stopIfTrue="1">
      <formula>OR($C43=0,$C43=2,$C43=3,$C43=4)</formula>
    </cfRule>
  </conditionalFormatting>
  <conditionalFormatting sqref="R43">
    <cfRule type="expression" dxfId="494" priority="223" stopIfTrue="1">
      <formula>$C43=1</formula>
    </cfRule>
    <cfRule type="expression" dxfId="493" priority="224" stopIfTrue="1">
      <formula>OR($C43=0,$C43=2,$C43=3,$C43=4)</formula>
    </cfRule>
  </conditionalFormatting>
  <conditionalFormatting sqref="R43">
    <cfRule type="beginsWith" dxfId="492" priority="222" operator="beginsWith" text="(">
      <formula>LEFT(R43,LEN("("))="("</formula>
    </cfRule>
  </conditionalFormatting>
  <conditionalFormatting sqref="M41">
    <cfRule type="cellIs" dxfId="491" priority="214" stopIfTrue="1" operator="notEqual">
      <formula>$N41</formula>
    </cfRule>
  </conditionalFormatting>
  <conditionalFormatting sqref="N41:O41 W41">
    <cfRule type="expression" dxfId="490" priority="215" stopIfTrue="1">
      <formula>$C41=1</formula>
    </cfRule>
    <cfRule type="expression" dxfId="489" priority="216" stopIfTrue="1">
      <formula>OR($C41=0,$C41=2,$C41=3,$C41=4)</formula>
    </cfRule>
  </conditionalFormatting>
  <conditionalFormatting sqref="U41:V41">
    <cfRule type="expression" dxfId="488" priority="217" stopIfTrue="1">
      <formula>$C41=1</formula>
    </cfRule>
    <cfRule type="expression" dxfId="487" priority="218" stopIfTrue="1">
      <formula>OR($C41=0,$C41=2,$C41=3,$C41=4)</formula>
    </cfRule>
    <cfRule type="expression" dxfId="486" priority="219" stopIfTrue="1">
      <formula>AND(TIPOORCAMENTO="Licitado",$C41&lt;&gt;"L",$C41&lt;&gt;-1)</formula>
    </cfRule>
  </conditionalFormatting>
  <conditionalFormatting sqref="P41:Q41 S41:T41 Y41 AG41:AH41">
    <cfRule type="expression" dxfId="485" priority="220" stopIfTrue="1">
      <formula>$C41=1</formula>
    </cfRule>
    <cfRule type="expression" dxfId="484" priority="221" stopIfTrue="1">
      <formula>OR($C41=0,$C41=2,$C41=3,$C41=4)</formula>
    </cfRule>
  </conditionalFormatting>
  <conditionalFormatting sqref="X41">
    <cfRule type="expression" dxfId="483" priority="212" stopIfTrue="1">
      <formula>$C41=1</formula>
    </cfRule>
    <cfRule type="expression" dxfId="482" priority="213" stopIfTrue="1">
      <formula>OR($C41=0,$C41=2,$C41=3,$C41=4)</formula>
    </cfRule>
  </conditionalFormatting>
  <conditionalFormatting sqref="R41">
    <cfRule type="expression" dxfId="481" priority="210" stopIfTrue="1">
      <formula>$C41=1</formula>
    </cfRule>
    <cfRule type="expression" dxfId="480" priority="211" stopIfTrue="1">
      <formula>OR($C41=0,$C41=2,$C41=3,$C41=4)</formula>
    </cfRule>
  </conditionalFormatting>
  <conditionalFormatting sqref="R41">
    <cfRule type="beginsWith" dxfId="479" priority="209" operator="beginsWith" text="(">
      <formula>LEFT(R41,LEN("("))="("</formula>
    </cfRule>
  </conditionalFormatting>
  <conditionalFormatting sqref="M42">
    <cfRule type="cellIs" dxfId="478" priority="201" stopIfTrue="1" operator="notEqual">
      <formula>$N42</formula>
    </cfRule>
  </conditionalFormatting>
  <conditionalFormatting sqref="N42:O42 W42">
    <cfRule type="expression" dxfId="477" priority="202" stopIfTrue="1">
      <formula>$C42=1</formula>
    </cfRule>
    <cfRule type="expression" dxfId="476" priority="203" stopIfTrue="1">
      <formula>OR($C42=0,$C42=2,$C42=3,$C42=4)</formula>
    </cfRule>
  </conditionalFormatting>
  <conditionalFormatting sqref="U42:V42">
    <cfRule type="expression" dxfId="475" priority="204" stopIfTrue="1">
      <formula>$C42=1</formula>
    </cfRule>
    <cfRule type="expression" dxfId="474" priority="205" stopIfTrue="1">
      <formula>OR($C42=0,$C42=2,$C42=3,$C42=4)</formula>
    </cfRule>
    <cfRule type="expression" dxfId="473" priority="206" stopIfTrue="1">
      <formula>AND(TIPOORCAMENTO="Licitado",$C42&lt;&gt;"L",$C42&lt;&gt;-1)</formula>
    </cfRule>
  </conditionalFormatting>
  <conditionalFormatting sqref="P42:Q42 S42:T42 Y42 AG42:AH42">
    <cfRule type="expression" dxfId="472" priority="207" stopIfTrue="1">
      <formula>$C42=1</formula>
    </cfRule>
    <cfRule type="expression" dxfId="471" priority="208" stopIfTrue="1">
      <formula>OR($C42=0,$C42=2,$C42=3,$C42=4)</formula>
    </cfRule>
  </conditionalFormatting>
  <conditionalFormatting sqref="X42">
    <cfRule type="expression" dxfId="470" priority="199" stopIfTrue="1">
      <formula>$C42=1</formula>
    </cfRule>
    <cfRule type="expression" dxfId="469" priority="200" stopIfTrue="1">
      <formula>OR($C42=0,$C42=2,$C42=3,$C42=4)</formula>
    </cfRule>
  </conditionalFormatting>
  <conditionalFormatting sqref="R42">
    <cfRule type="expression" dxfId="468" priority="197" stopIfTrue="1">
      <formula>$C42=1</formula>
    </cfRule>
    <cfRule type="expression" dxfId="467" priority="198" stopIfTrue="1">
      <formula>OR($C42=0,$C42=2,$C42=3,$C42=4)</formula>
    </cfRule>
  </conditionalFormatting>
  <conditionalFormatting sqref="R42">
    <cfRule type="beginsWith" dxfId="466" priority="196" operator="beginsWith" text="(">
      <formula>LEFT(R42,LEN("("))="("</formula>
    </cfRule>
  </conditionalFormatting>
  <conditionalFormatting sqref="M18">
    <cfRule type="cellIs" dxfId="465" priority="188" stopIfTrue="1" operator="notEqual">
      <formula>$N18</formula>
    </cfRule>
  </conditionalFormatting>
  <conditionalFormatting sqref="N18:O18 W18">
    <cfRule type="expression" dxfId="464" priority="189" stopIfTrue="1">
      <formula>$C18=1</formula>
    </cfRule>
    <cfRule type="expression" dxfId="463" priority="190" stopIfTrue="1">
      <formula>OR($C18=0,$C18=2,$C18=3,$C18=4)</formula>
    </cfRule>
  </conditionalFormatting>
  <conditionalFormatting sqref="U18:V18">
    <cfRule type="expression" dxfId="462" priority="191" stopIfTrue="1">
      <formula>$C18=1</formula>
    </cfRule>
    <cfRule type="expression" dxfId="461" priority="192" stopIfTrue="1">
      <formula>OR($C18=0,$C18=2,$C18=3,$C18=4)</formula>
    </cfRule>
    <cfRule type="expression" dxfId="460" priority="193" stopIfTrue="1">
      <formula>AND(TIPOORCAMENTO="Licitado",$C18&lt;&gt;"L",$C18&lt;&gt;-1)</formula>
    </cfRule>
  </conditionalFormatting>
  <conditionalFormatting sqref="P18:Q18 S18:T18 Y18 AG18:AH18">
    <cfRule type="expression" dxfId="459" priority="194" stopIfTrue="1">
      <formula>$C18=1</formula>
    </cfRule>
    <cfRule type="expression" dxfId="458" priority="195" stopIfTrue="1">
      <formula>OR($C18=0,$C18=2,$C18=3,$C18=4)</formula>
    </cfRule>
  </conditionalFormatting>
  <conditionalFormatting sqref="X18">
    <cfRule type="expression" dxfId="457" priority="186" stopIfTrue="1">
      <formula>$C18=1</formula>
    </cfRule>
    <cfRule type="expression" dxfId="456" priority="187" stopIfTrue="1">
      <formula>OR($C18=0,$C18=2,$C18=3,$C18=4)</formula>
    </cfRule>
  </conditionalFormatting>
  <conditionalFormatting sqref="R18">
    <cfRule type="expression" dxfId="455" priority="184" stopIfTrue="1">
      <formula>$C18=1</formula>
    </cfRule>
    <cfRule type="expression" dxfId="454" priority="185" stopIfTrue="1">
      <formula>OR($C18=0,$C18=2,$C18=3,$C18=4)</formula>
    </cfRule>
  </conditionalFormatting>
  <conditionalFormatting sqref="R18">
    <cfRule type="beginsWith" dxfId="453" priority="183" operator="beginsWith" text="(">
      <formula>LEFT(R18,LEN("("))="("</formula>
    </cfRule>
  </conditionalFormatting>
  <conditionalFormatting sqref="M20:M28">
    <cfRule type="cellIs" dxfId="452" priority="175" stopIfTrue="1" operator="notEqual">
      <formula>$N20</formula>
    </cfRule>
  </conditionalFormatting>
  <conditionalFormatting sqref="N20:O28 W20:W28">
    <cfRule type="expression" dxfId="451" priority="176" stopIfTrue="1">
      <formula>$C20=1</formula>
    </cfRule>
    <cfRule type="expression" dxfId="450" priority="177" stopIfTrue="1">
      <formula>OR($C20=0,$C20=2,$C20=3,$C20=4)</formula>
    </cfRule>
  </conditionalFormatting>
  <conditionalFormatting sqref="U20:V28">
    <cfRule type="expression" dxfId="449" priority="178" stopIfTrue="1">
      <formula>$C20=1</formula>
    </cfRule>
    <cfRule type="expression" dxfId="448" priority="179" stopIfTrue="1">
      <formula>OR($C20=0,$C20=2,$C20=3,$C20=4)</formula>
    </cfRule>
    <cfRule type="expression" dxfId="447" priority="180" stopIfTrue="1">
      <formula>AND(TIPOORCAMENTO="Licitado",$C20&lt;&gt;"L",$C20&lt;&gt;-1)</formula>
    </cfRule>
  </conditionalFormatting>
  <conditionalFormatting sqref="P20:Q28 S20:T28 Y20:Y28 AG20:AH28">
    <cfRule type="expression" dxfId="446" priority="181" stopIfTrue="1">
      <formula>$C20=1</formula>
    </cfRule>
    <cfRule type="expression" dxfId="445" priority="182" stopIfTrue="1">
      <formula>OR($C20=0,$C20=2,$C20=3,$C20=4)</formula>
    </cfRule>
  </conditionalFormatting>
  <conditionalFormatting sqref="X20:X28">
    <cfRule type="expression" dxfId="444" priority="173" stopIfTrue="1">
      <formula>$C20=1</formula>
    </cfRule>
    <cfRule type="expression" dxfId="443" priority="174" stopIfTrue="1">
      <formula>OR($C20=0,$C20=2,$C20=3,$C20=4)</formula>
    </cfRule>
  </conditionalFormatting>
  <conditionalFormatting sqref="R20:R28">
    <cfRule type="expression" dxfId="442" priority="171" stopIfTrue="1">
      <formula>$C20=1</formula>
    </cfRule>
    <cfRule type="expression" dxfId="441" priority="172" stopIfTrue="1">
      <formula>OR($C20=0,$C20=2,$C20=3,$C20=4)</formula>
    </cfRule>
  </conditionalFormatting>
  <conditionalFormatting sqref="R20:R28">
    <cfRule type="beginsWith" dxfId="440" priority="170" operator="beginsWith" text="(">
      <formula>LEFT(R20,LEN("("))="("</formula>
    </cfRule>
  </conditionalFormatting>
  <conditionalFormatting sqref="M29:M37">
    <cfRule type="cellIs" dxfId="439" priority="162" stopIfTrue="1" operator="notEqual">
      <formula>$N29</formula>
    </cfRule>
  </conditionalFormatting>
  <conditionalFormatting sqref="N29:O37 W29:W37">
    <cfRule type="expression" dxfId="438" priority="163" stopIfTrue="1">
      <formula>$C29=1</formula>
    </cfRule>
    <cfRule type="expression" dxfId="437" priority="164" stopIfTrue="1">
      <formula>OR($C29=0,$C29=2,$C29=3,$C29=4)</formula>
    </cfRule>
  </conditionalFormatting>
  <conditionalFormatting sqref="U29:V37">
    <cfRule type="expression" dxfId="436" priority="165" stopIfTrue="1">
      <formula>$C29=1</formula>
    </cfRule>
    <cfRule type="expression" dxfId="435" priority="166" stopIfTrue="1">
      <formula>OR($C29=0,$C29=2,$C29=3,$C29=4)</formula>
    </cfRule>
    <cfRule type="expression" dxfId="434" priority="167" stopIfTrue="1">
      <formula>AND(TIPOORCAMENTO="Licitado",$C29&lt;&gt;"L",$C29&lt;&gt;-1)</formula>
    </cfRule>
  </conditionalFormatting>
  <conditionalFormatting sqref="P29:Q37 S29:T37 Y29:Y37 AG29:AH37">
    <cfRule type="expression" dxfId="433" priority="168" stopIfTrue="1">
      <formula>$C29=1</formula>
    </cfRule>
    <cfRule type="expression" dxfId="432" priority="169" stopIfTrue="1">
      <formula>OR($C29=0,$C29=2,$C29=3,$C29=4)</formula>
    </cfRule>
  </conditionalFormatting>
  <conditionalFormatting sqref="X29:X37">
    <cfRule type="expression" dxfId="431" priority="160" stopIfTrue="1">
      <formula>$C29=1</formula>
    </cfRule>
    <cfRule type="expression" dxfId="430" priority="161" stopIfTrue="1">
      <formula>OR($C29=0,$C29=2,$C29=3,$C29=4)</formula>
    </cfRule>
  </conditionalFormatting>
  <conditionalFormatting sqref="R29:R37">
    <cfRule type="expression" dxfId="429" priority="158" stopIfTrue="1">
      <formula>$C29=1</formula>
    </cfRule>
    <cfRule type="expression" dxfId="428" priority="159" stopIfTrue="1">
      <formula>OR($C29=0,$C29=2,$C29=3,$C29=4)</formula>
    </cfRule>
  </conditionalFormatting>
  <conditionalFormatting sqref="R29:R37">
    <cfRule type="beginsWith" dxfId="427" priority="157" operator="beginsWith" text="(">
      <formula>LEFT(R29,LEN("("))="("</formula>
    </cfRule>
  </conditionalFormatting>
  <conditionalFormatting sqref="R38">
    <cfRule type="beginsWith" dxfId="426" priority="144" operator="beginsWith" text="(">
      <formula>LEFT(R38,LEN("("))="("</formula>
    </cfRule>
  </conditionalFormatting>
  <conditionalFormatting sqref="M44:M52">
    <cfRule type="cellIs" dxfId="425" priority="136" stopIfTrue="1" operator="notEqual">
      <formula>$N44</formula>
    </cfRule>
  </conditionalFormatting>
  <conditionalFormatting sqref="N44:O52 W44:W52">
    <cfRule type="expression" dxfId="424" priority="137" stopIfTrue="1">
      <formula>$C44=1</formula>
    </cfRule>
    <cfRule type="expression" dxfId="423" priority="138" stopIfTrue="1">
      <formula>OR($C44=0,$C44=2,$C44=3,$C44=4)</formula>
    </cfRule>
  </conditionalFormatting>
  <conditionalFormatting sqref="U44:V52">
    <cfRule type="expression" dxfId="422" priority="139" stopIfTrue="1">
      <formula>$C44=1</formula>
    </cfRule>
    <cfRule type="expression" dxfId="421" priority="140" stopIfTrue="1">
      <formula>OR($C44=0,$C44=2,$C44=3,$C44=4)</formula>
    </cfRule>
    <cfRule type="expression" dxfId="420" priority="141" stopIfTrue="1">
      <formula>AND(TIPOORCAMENTO="Licitado",$C44&lt;&gt;"L",$C44&lt;&gt;-1)</formula>
    </cfRule>
  </conditionalFormatting>
  <conditionalFormatting sqref="P44:Q52 S44:T52 Y44:Y52 AG44:AH52">
    <cfRule type="expression" dxfId="419" priority="142" stopIfTrue="1">
      <formula>$C44=1</formula>
    </cfRule>
    <cfRule type="expression" dxfId="418" priority="143" stopIfTrue="1">
      <formula>OR($C44=0,$C44=2,$C44=3,$C44=4)</formula>
    </cfRule>
  </conditionalFormatting>
  <conditionalFormatting sqref="X44:X52">
    <cfRule type="expression" dxfId="417" priority="134" stopIfTrue="1">
      <formula>$C44=1</formula>
    </cfRule>
    <cfRule type="expression" dxfId="416" priority="135" stopIfTrue="1">
      <formula>OR($C44=0,$C44=2,$C44=3,$C44=4)</formula>
    </cfRule>
  </conditionalFormatting>
  <conditionalFormatting sqref="R44:R52">
    <cfRule type="expression" dxfId="415" priority="132" stopIfTrue="1">
      <formula>$C44=1</formula>
    </cfRule>
    <cfRule type="expression" dxfId="414" priority="133" stopIfTrue="1">
      <formula>OR($C44=0,$C44=2,$C44=3,$C44=4)</formula>
    </cfRule>
  </conditionalFormatting>
  <conditionalFormatting sqref="R44:R52">
    <cfRule type="beginsWith" dxfId="413" priority="131" operator="beginsWith" text="(">
      <formula>LEFT(R44,LEN("("))="("</formula>
    </cfRule>
  </conditionalFormatting>
  <conditionalFormatting sqref="R53:R60">
    <cfRule type="beginsWith" dxfId="412" priority="118" operator="beginsWith" text="(">
      <formula>LEFT(R53,LEN("("))="("</formula>
    </cfRule>
  </conditionalFormatting>
  <conditionalFormatting sqref="M65:M73">
    <cfRule type="cellIs" dxfId="411" priority="110" stopIfTrue="1" operator="notEqual">
      <formula>$N65</formula>
    </cfRule>
  </conditionalFormatting>
  <conditionalFormatting sqref="N65:O73 W65:W73">
    <cfRule type="expression" dxfId="410" priority="111" stopIfTrue="1">
      <formula>$C65=1</formula>
    </cfRule>
    <cfRule type="expression" dxfId="409" priority="112" stopIfTrue="1">
      <formula>OR($C65=0,$C65=2,$C65=3,$C65=4)</formula>
    </cfRule>
  </conditionalFormatting>
  <conditionalFormatting sqref="U65:V73">
    <cfRule type="expression" dxfId="408" priority="113" stopIfTrue="1">
      <formula>$C65=1</formula>
    </cfRule>
    <cfRule type="expression" dxfId="407" priority="114" stopIfTrue="1">
      <formula>OR($C65=0,$C65=2,$C65=3,$C65=4)</formula>
    </cfRule>
    <cfRule type="expression" dxfId="406" priority="115" stopIfTrue="1">
      <formula>AND(TIPOORCAMENTO="Licitado",$C65&lt;&gt;"L",$C65&lt;&gt;-1)</formula>
    </cfRule>
  </conditionalFormatting>
  <conditionalFormatting sqref="P65:Q73 S65:T73 Y65:Y73 AG65:AH73">
    <cfRule type="expression" dxfId="405" priority="116" stopIfTrue="1">
      <formula>$C65=1</formula>
    </cfRule>
    <cfRule type="expression" dxfId="404" priority="117" stopIfTrue="1">
      <formula>OR($C65=0,$C65=2,$C65=3,$C65=4)</formula>
    </cfRule>
  </conditionalFormatting>
  <conditionalFormatting sqref="X65:X73">
    <cfRule type="expression" dxfId="403" priority="108" stopIfTrue="1">
      <formula>$C65=1</formula>
    </cfRule>
    <cfRule type="expression" dxfId="402" priority="109" stopIfTrue="1">
      <formula>OR($C65=0,$C65=2,$C65=3,$C65=4)</formula>
    </cfRule>
  </conditionalFormatting>
  <conditionalFormatting sqref="R65:R73">
    <cfRule type="expression" dxfId="401" priority="106" stopIfTrue="1">
      <formula>$C65=1</formula>
    </cfRule>
    <cfRule type="expression" dxfId="400" priority="107" stopIfTrue="1">
      <formula>OR($C65=0,$C65=2,$C65=3,$C65=4)</formula>
    </cfRule>
  </conditionalFormatting>
  <conditionalFormatting sqref="R65:R73">
    <cfRule type="beginsWith" dxfId="399" priority="105" operator="beginsWith" text="(">
      <formula>LEFT(R65,LEN("("))="("</formula>
    </cfRule>
  </conditionalFormatting>
  <conditionalFormatting sqref="M74:M82">
    <cfRule type="cellIs" dxfId="398" priority="97" stopIfTrue="1" operator="notEqual">
      <formula>$N74</formula>
    </cfRule>
  </conditionalFormatting>
  <conditionalFormatting sqref="W74:W82 N74:O82">
    <cfRule type="expression" dxfId="397" priority="98" stopIfTrue="1">
      <formula>$C74=1</formula>
    </cfRule>
    <cfRule type="expression" dxfId="396" priority="99" stopIfTrue="1">
      <formula>OR($C74=0,$C74=2,$C74=3,$C74=4)</formula>
    </cfRule>
  </conditionalFormatting>
  <conditionalFormatting sqref="U74:V82">
    <cfRule type="expression" dxfId="395" priority="100" stopIfTrue="1">
      <formula>$C74=1</formula>
    </cfRule>
    <cfRule type="expression" dxfId="394" priority="101" stopIfTrue="1">
      <formula>OR($C74=0,$C74=2,$C74=3,$C74=4)</formula>
    </cfRule>
    <cfRule type="expression" dxfId="393" priority="102" stopIfTrue="1">
      <formula>AND(TIPOORCAMENTO="Licitado",$C74&lt;&gt;"L",$C74&lt;&gt;-1)</formula>
    </cfRule>
  </conditionalFormatting>
  <conditionalFormatting sqref="AG74:AH82 Y74:Y82 S74:T82 P74:Q82">
    <cfRule type="expression" dxfId="392" priority="103" stopIfTrue="1">
      <formula>$C74=1</formula>
    </cfRule>
    <cfRule type="expression" dxfId="391" priority="104" stopIfTrue="1">
      <formula>OR($C74=0,$C74=2,$C74=3,$C74=4)</formula>
    </cfRule>
  </conditionalFormatting>
  <conditionalFormatting sqref="X74:X82">
    <cfRule type="expression" dxfId="390" priority="95" stopIfTrue="1">
      <formula>$C74=1</formula>
    </cfRule>
    <cfRule type="expression" dxfId="389" priority="96" stopIfTrue="1">
      <formula>OR($C74=0,$C74=2,$C74=3,$C74=4)</formula>
    </cfRule>
  </conditionalFormatting>
  <conditionalFormatting sqref="R74:R82">
    <cfRule type="expression" dxfId="388" priority="93" stopIfTrue="1">
      <formula>$C74=1</formula>
    </cfRule>
    <cfRule type="expression" dxfId="387" priority="94" stopIfTrue="1">
      <formula>OR($C74=0,$C74=2,$C74=3,$C74=4)</formula>
    </cfRule>
  </conditionalFormatting>
  <conditionalFormatting sqref="R74:R82">
    <cfRule type="beginsWith" dxfId="386" priority="92" operator="beginsWith" text="(">
      <formula>LEFT(R74,LEN("("))="("</formula>
    </cfRule>
  </conditionalFormatting>
  <conditionalFormatting sqref="M83:M84">
    <cfRule type="cellIs" dxfId="385" priority="84" stopIfTrue="1" operator="notEqual">
      <formula>$N83</formula>
    </cfRule>
  </conditionalFormatting>
  <conditionalFormatting sqref="N83:O84 W83:W84">
    <cfRule type="expression" dxfId="384" priority="85" stopIfTrue="1">
      <formula>$C83=1</formula>
    </cfRule>
    <cfRule type="expression" dxfId="383" priority="86" stopIfTrue="1">
      <formula>OR($C83=0,$C83=2,$C83=3,$C83=4)</formula>
    </cfRule>
  </conditionalFormatting>
  <conditionalFormatting sqref="U83:V84">
    <cfRule type="expression" dxfId="382" priority="87" stopIfTrue="1">
      <formula>$C83=1</formula>
    </cfRule>
    <cfRule type="expression" dxfId="381" priority="88" stopIfTrue="1">
      <formula>OR($C83=0,$C83=2,$C83=3,$C83=4)</formula>
    </cfRule>
    <cfRule type="expression" dxfId="380" priority="89" stopIfTrue="1">
      <formula>AND(TIPOORCAMENTO="Licitado",$C83&lt;&gt;"L",$C83&lt;&gt;-1)</formula>
    </cfRule>
  </conditionalFormatting>
  <conditionalFormatting sqref="P83:Q84 S83:T84 Y83:Y84 AG83:AH84">
    <cfRule type="expression" dxfId="379" priority="90" stopIfTrue="1">
      <formula>$C83=1</formula>
    </cfRule>
    <cfRule type="expression" dxfId="378" priority="91" stopIfTrue="1">
      <formula>OR($C83=0,$C83=2,$C83=3,$C83=4)</formula>
    </cfRule>
  </conditionalFormatting>
  <conditionalFormatting sqref="X83:X84">
    <cfRule type="expression" dxfId="377" priority="82" stopIfTrue="1">
      <formula>$C83=1</formula>
    </cfRule>
    <cfRule type="expression" dxfId="376" priority="83" stopIfTrue="1">
      <formula>OR($C83=0,$C83=2,$C83=3,$C83=4)</formula>
    </cfRule>
  </conditionalFormatting>
  <conditionalFormatting sqref="R83:R84">
    <cfRule type="expression" dxfId="375" priority="80" stopIfTrue="1">
      <formula>$C83=1</formula>
    </cfRule>
    <cfRule type="expression" dxfId="374" priority="81" stopIfTrue="1">
      <formula>OR($C83=0,$C83=2,$C83=3,$C83=4)</formula>
    </cfRule>
  </conditionalFormatting>
  <conditionalFormatting sqref="R83:R84">
    <cfRule type="beginsWith" dxfId="373" priority="79" operator="beginsWith" text="(">
      <formula>LEFT(R83,LEN("("))="("</formula>
    </cfRule>
  </conditionalFormatting>
  <conditionalFormatting sqref="R85:R92">
    <cfRule type="beginsWith" dxfId="372" priority="66" operator="beginsWith" text="(">
      <formula>LEFT(R85,LEN("("))="("</formula>
    </cfRule>
  </conditionalFormatting>
  <conditionalFormatting sqref="M40">
    <cfRule type="cellIs" dxfId="371" priority="19" stopIfTrue="1" operator="notEqual">
      <formula>$N40</formula>
    </cfRule>
  </conditionalFormatting>
  <conditionalFormatting sqref="N40:O40 W40">
    <cfRule type="expression" dxfId="370" priority="20" stopIfTrue="1">
      <formula>$C40=1</formula>
    </cfRule>
    <cfRule type="expression" dxfId="369" priority="21" stopIfTrue="1">
      <formula>OR($C40=0,$C40=2,$C40=3,$C40=4)</formula>
    </cfRule>
  </conditionalFormatting>
  <conditionalFormatting sqref="U40:V40">
    <cfRule type="expression" dxfId="368" priority="22" stopIfTrue="1">
      <formula>$C40=1</formula>
    </cfRule>
    <cfRule type="expression" dxfId="367" priority="23" stopIfTrue="1">
      <formula>OR($C40=0,$C40=2,$C40=3,$C40=4)</formula>
    </cfRule>
    <cfRule type="expression" dxfId="366" priority="24" stopIfTrue="1">
      <formula>AND(TIPOORCAMENTO="Licitado",$C40&lt;&gt;"L",$C40&lt;&gt;-1)</formula>
    </cfRule>
  </conditionalFormatting>
  <conditionalFormatting sqref="P40:Q40 S40:T40 Y40 AG40:AH40">
    <cfRule type="expression" dxfId="365" priority="25" stopIfTrue="1">
      <formula>$C40=1</formula>
    </cfRule>
    <cfRule type="expression" dxfId="364" priority="26" stopIfTrue="1">
      <formula>OR($C40=0,$C40=2,$C40=3,$C40=4)</formula>
    </cfRule>
  </conditionalFormatting>
  <conditionalFormatting sqref="X40">
    <cfRule type="expression" dxfId="363" priority="17" stopIfTrue="1">
      <formula>$C40=1</formula>
    </cfRule>
    <cfRule type="expression" dxfId="362" priority="18" stopIfTrue="1">
      <formula>OR($C40=0,$C40=2,$C40=3,$C40=4)</formula>
    </cfRule>
  </conditionalFormatting>
  <conditionalFormatting sqref="R40">
    <cfRule type="expression" dxfId="361" priority="15" stopIfTrue="1">
      <formula>$C40=1</formula>
    </cfRule>
    <cfRule type="expression" dxfId="360" priority="16" stopIfTrue="1">
      <formula>OR($C40=0,$C40=2,$C40=3,$C40=4)</formula>
    </cfRule>
  </conditionalFormatting>
  <conditionalFormatting sqref="R40">
    <cfRule type="beginsWith" dxfId="359" priority="14" operator="beginsWith" text="(">
      <formula>LEFT(R40,LEN("("))="("</formula>
    </cfRule>
  </conditionalFormatting>
  <conditionalFormatting sqref="M62">
    <cfRule type="cellIs" dxfId="358" priority="6" stopIfTrue="1" operator="notEqual">
      <formula>$N62</formula>
    </cfRule>
  </conditionalFormatting>
  <conditionalFormatting sqref="N62:O62 W62">
    <cfRule type="expression" dxfId="357" priority="7" stopIfTrue="1">
      <formula>$C62=1</formula>
    </cfRule>
    <cfRule type="expression" dxfId="356" priority="8" stopIfTrue="1">
      <formula>OR($C62=0,$C62=2,$C62=3,$C62=4)</formula>
    </cfRule>
  </conditionalFormatting>
  <conditionalFormatting sqref="U62:V62">
    <cfRule type="expression" dxfId="355" priority="9" stopIfTrue="1">
      <formula>$C62=1</formula>
    </cfRule>
    <cfRule type="expression" dxfId="354" priority="10" stopIfTrue="1">
      <formula>OR($C62=0,$C62=2,$C62=3,$C62=4)</formula>
    </cfRule>
    <cfRule type="expression" dxfId="353" priority="11" stopIfTrue="1">
      <formula>AND(TIPOORCAMENTO="Licitado",$C62&lt;&gt;"L",$C62&lt;&gt;-1)</formula>
    </cfRule>
  </conditionalFormatting>
  <conditionalFormatting sqref="P62:Q62 S62:T62 Y62 AG62:AH62">
    <cfRule type="expression" dxfId="352" priority="12" stopIfTrue="1">
      <formula>$C62=1</formula>
    </cfRule>
    <cfRule type="expression" dxfId="351" priority="13" stopIfTrue="1">
      <formula>OR($C62=0,$C62=2,$C62=3,$C62=4)</formula>
    </cfRule>
  </conditionalFormatting>
  <conditionalFormatting sqref="X62">
    <cfRule type="expression" dxfId="350" priority="4" stopIfTrue="1">
      <formula>$C62=1</formula>
    </cfRule>
    <cfRule type="expression" dxfId="349" priority="5" stopIfTrue="1">
      <formula>OR($C62=0,$C62=2,$C62=3,$C62=4)</formula>
    </cfRule>
  </conditionalFormatting>
  <conditionalFormatting sqref="R62">
    <cfRule type="expression" dxfId="348" priority="2" stopIfTrue="1">
      <formula>$C62=1</formula>
    </cfRule>
    <cfRule type="expression" dxfId="347" priority="3" stopIfTrue="1">
      <formula>OR($C62=0,$C62=2,$C62=3,$C62=4)</formula>
    </cfRule>
  </conditionalFormatting>
  <conditionalFormatting sqref="R62">
    <cfRule type="beginsWith" dxfId="346" priority="1" operator="beginsWith" text="(">
      <formula>LEFT(R62,LEN("("))="("</formula>
    </cfRule>
  </conditionalFormatting>
  <dataValidations xWindow="554" yWindow="461" count="8">
    <dataValidation type="decimal" operator="greaterThan" allowBlank="1" showErrorMessage="1" error="Apenas números decimais maiores que zero." sqref="U14 AL14 AJ14 U16:U92 AL16:AL92 AJ16:AJ92"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92"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92" xr:uid="{00000000-0002-0000-0400-000006000000}"/>
    <dataValidation type="list" errorStyle="information" allowBlank="1" showInputMessage="1" prompt="Selecione uma sigla de unidade na lista suspensa." sqref="S14 S16:S92"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92"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92"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92"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92"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filterMode="1">
    <pageSetUpPr fitToPage="1"/>
  </sheetPr>
  <dimension ref="A1:Z33"/>
  <sheetViews>
    <sheetView showGridLines="0" zoomScaleNormal="100" workbookViewId="0">
      <pane xSplit="4" ySplit="14" topLeftCell="I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t="e" cm="1">
        <f t="array" aca="1" ref="E1" ca="1">IF(AUTOEVENTO="Manual",ROUND(SUMPRODUCT((CÁLCULO!$M$15:$M$93=EVENTOS!$C1)*(OFFSET(CÁLCULO!$AA$15:$AA$93,0,E$13))),2),0)</f>
        <v>#REF!</v>
      </c>
      <c r="F1" s="183" t="e">
        <f ca="1">IF(AUTOEVENTO="Manual",ROUND(SUMPRODUCT((CÁLCULO!$M$15:$M$93=EVENTOS!$C1)*(OFFSET(CÁLCULO!$AA$15,0,1):OFFSET(CÁLCULO!$AL$93,0,-1))),2),0)</f>
        <v>#REF!</v>
      </c>
      <c r="G1" s="621" t="e">
        <f ca="1">IF(AND(D1=0,F1&gt;0),"NOME",
 IF(AND(D1&lt;&gt;0,$F$14&gt;0,F1=0),"VALOR",
 IF(AND(Import.TipoArredondamento="TransfereGOV",$A1="F",LEN(D1)&gt;100),"Nome &gt;100","")))</f>
        <v>#REF!</v>
      </c>
      <c r="H1" s="620" t="e" cm="1">
        <f t="array" aca="1" ref="H1" ca="1">IF(AUTOEVENTO="Manual",ROUND(SUMPRODUCT((CÁLCULO!$M$15:$M$93=EVENTOS!$C1)*(OFFSET(CÁLCULO!$AA$15:$AA$93,0,H$13))),2),0)</f>
        <v>#REF!</v>
      </c>
      <c r="I1" s="620" t="e" cm="1">
        <f t="array" aca="1" ref="I1" ca="1">IF(AUTOEVENTO="Manual",ROUND(SUMPRODUCT((CÁLCULO!$M$15:$M$93=EVENTOS!$C1)*(OFFSET(CÁLCULO!$AA$15:$AA$93,0,I$13))),2),0)</f>
        <v>#REF!</v>
      </c>
      <c r="J1" s="620" t="e" cm="1">
        <f t="array" aca="1" ref="J1" ca="1">IF(AUTOEVENTO="Manual",ROUND(SUMPRODUCT((CÁLCULO!$M$15:$M$93=EVENTOS!$C1)*(OFFSET(CÁLCULO!$AA$15:$AA$93,0,J$13))),2),0)</f>
        <v>#REF!</v>
      </c>
      <c r="K1" s="620" t="e" cm="1">
        <f t="array" aca="1" ref="K1" ca="1">IF(AUTOEVENTO="Manual",ROUND(SUMPRODUCT((CÁLCULO!$M$15:$M$93=EVENTOS!$C1)*(OFFSET(CÁLCULO!$AA$15:$AA$93,0,K$13))),2),0)</f>
        <v>#REF!</v>
      </c>
      <c r="L1" s="620" t="e" cm="1">
        <f t="array" aca="1" ref="L1" ca="1">IF(AUTOEVENTO="Manual",ROUND(SUMPRODUCT((CÁLCULO!$M$15:$M$93=EVENTOS!$C1)*(OFFSET(CÁLCULO!$AA$15:$AA$93,0,L$13))),2),0)</f>
        <v>#REF!</v>
      </c>
      <c r="M1" s="620" t="e" cm="1">
        <f t="array" aca="1" ref="M1" ca="1">IF(AUTOEVENTO="Manual",ROUND(SUMPRODUCT((CÁLCULO!$M$15:$M$93=EVENTOS!$C1)*(OFFSET(CÁLCULO!$AA$15:$AA$93,0,M$13))),2),0)</f>
        <v>#REF!</v>
      </c>
      <c r="N1" s="620" t="e" cm="1">
        <f t="array" aca="1" ref="N1" ca="1">IF(AUTOEVENTO="Manual",ROUND(SUMPRODUCT((CÁLCULO!$M$15:$M$93=EVENTOS!$C1)*(OFFSET(CÁLCULO!$AA$15:$AA$93,0,N$13))),2),0)</f>
        <v>#REF!</v>
      </c>
      <c r="O1" s="620" t="e" cm="1">
        <f t="array" aca="1" ref="O1" ca="1">IF(AUTOEVENTO="Manual",ROUND(SUMPRODUCT((CÁLCULO!$M$15:$M$93=EVENTOS!$C1)*(OFFSET(CÁLCULO!$AA$15:$AA$93,0,O$13))),2),0)</f>
        <v>#REF!</v>
      </c>
      <c r="P1" s="620" t="e" cm="1">
        <f t="array" aca="1" ref="P1" ca="1">IF(AUTOEVENTO="Manual",ROUND(SUMPRODUCT((CÁLCULO!$M$15:$M$93=EVENTOS!$C1)*(OFFSET(CÁLCULO!$AA$15:$AA$93,0,P$13))),2),0)</f>
        <v>#REF!</v>
      </c>
      <c r="Q1" s="620" t="e" cm="1">
        <f t="array" aca="1" ref="Q1" ca="1">IF(AUTOEVENTO="Manual",ROUND(SUMPRODUCT((CÁLCULO!$M$15:$M$93=EVENTOS!$C1)*(OFFSET(CÁLCULO!$AA$15:$AA$93,0,Q$13))),2),0)</f>
        <v>#REF!</v>
      </c>
      <c r="R1" s="620" t="e" cm="1">
        <f t="array" aca="1" ref="R1" ca="1">IF(AUTOEVENTO="Manual",ROUND(SUMPRODUCT((CÁLCULO!$M$15:$M$93=EVENTOS!$C1)*(OFFSET(CÁLCULO!$AA$15:$AA$93,0,R$13))),2),0)</f>
        <v>#REF!</v>
      </c>
      <c r="S1" s="620" t="e" cm="1">
        <f t="array" aca="1" ref="S1" ca="1">IF(AUTOEVENTO="Manual",ROUND(SUMPRODUCT((CÁLCULO!$M$15:$M$93=EVENTOS!$C1)*(OFFSET(CÁLCULO!$AA$15:$AA$93,0,S$13))),2),0)</f>
        <v>#REF!</v>
      </c>
      <c r="T1" s="620" t="e" cm="1">
        <f t="array" aca="1" ref="T1" ca="1">IF(AUTOEVENTO="Manual",ROUND(SUMPRODUCT((CÁLCULO!$M$15:$M$93=EVENTOS!$C1)*(OFFSET(CÁLCULO!$AA$15:$AA$93,0,T$13))),2),0)</f>
        <v>#REF!</v>
      </c>
      <c r="U1" s="620" t="e" cm="1">
        <f t="array" aca="1" ref="U1" ca="1">IF(AUTOEVENTO="Manual",ROUND(SUMPRODUCT((CÁLCULO!$M$15:$M$93=EVENTOS!$C1)*(OFFSET(CÁLCULO!$AA$15:$AA$93,0,U$13))),2),0)</f>
        <v>#REF!</v>
      </c>
      <c r="V1" s="620" t="e" cm="1">
        <f t="array" aca="1" ref="V1" ca="1">IF(AUTOEVENTO="Manual",ROUND(SUMPRODUCT((CÁLCULO!$M$15:$M$93=EVENTOS!$C1)*(OFFSET(CÁLCULO!$AA$15:$AA$93,0,V$13))),2),0)</f>
        <v>#REF!</v>
      </c>
      <c r="W1" s="620" t="e" cm="1">
        <f t="array" aca="1" ref="W1" ca="1">IF(AUTOEVENTO="Manual",ROUND(SUMPRODUCT((CÁLCULO!$M$15:$M$93=EVENTOS!$C1)*(OFFSET(CÁLCULO!$AA$15:$AA$93,0,W$13))),2),0)</f>
        <v>#REF!</v>
      </c>
      <c r="X1" s="620" t="e" cm="1">
        <f t="array" aca="1" ref="X1" ca="1">IF(AUTOEVENTO="Manual",ROUND(SUMPRODUCT((CÁLCULO!$M$15:$M$93=EVENTOS!$C1)*(OFFSET(CÁLCULO!$AA$15:$AA$93,0,X$13))),2),0)</f>
        <v>#REF!</v>
      </c>
      <c r="Y1" s="620" t="e" cm="1">
        <f t="array" aca="1" ref="Y1" ca="1">IF(AUTOEVENTO="Manual",ROUND(SUMPRODUCT((CÁLCULO!$M$15:$M$93=EVENTOS!$C1)*(OFFSET(CÁLCULO!$AA$15:$AA$93,0,Y$13))),2),0)</f>
        <v>#REF!</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MINISTÉRIO DAS CIDADES</v>
      </c>
      <c r="D5" s="503"/>
      <c r="E5" s="503"/>
      <c r="F5" s="732" t="str">
        <f>Import.Apelido</f>
        <v>USINA DE TRIAGEM MECANIZADA</v>
      </c>
      <c r="G5" s="733"/>
      <c r="H5" s="733"/>
      <c r="I5" s="733"/>
      <c r="J5" s="733"/>
      <c r="K5" s="733"/>
      <c r="L5" s="733"/>
      <c r="M5" s="734"/>
      <c r="N5" s="56" t="str">
        <f>Import.CR</f>
        <v>1099388-52</v>
      </c>
      <c r="O5" s="56" t="str">
        <f>Import.SICONV</f>
        <v>974020</v>
      </c>
      <c r="P5" s="732" t="str">
        <f>Import.Apelido</f>
        <v>USINA DE TRIAGEM MECANIZADA</v>
      </c>
      <c r="Q5" s="733"/>
      <c r="R5" s="733"/>
      <c r="S5" s="733"/>
      <c r="T5" s="733"/>
      <c r="U5" s="733"/>
      <c r="V5" s="733"/>
      <c r="W5" s="734"/>
      <c r="X5" s="56" t="str">
        <f>Import.CR</f>
        <v>1099388-52</v>
      </c>
      <c r="Y5" s="56" t="str">
        <f>Import.SICONV</f>
        <v>974020</v>
      </c>
      <c r="Z5" t="s">
        <v>752</v>
      </c>
    </row>
    <row r="6" spans="1:26" ht="24.95" customHeight="1" x14ac:dyDescent="0.25">
      <c r="B6" t="s">
        <v>937</v>
      </c>
      <c r="C6" t="s">
        <v>759</v>
      </c>
      <c r="F6" s="521" t="str">
        <f ca="1">IF(AUTOEVENTO="MANUAL",
  IF(COUNTIF($G$15:$G$26,"NOME")&gt;0,"Falta preencher o nome do Título do Evento nº "&amp;INDEX($C$15:$C$26,MATCH("NOME",$G$15:$G$26,0)),
  IF(COUNTIF($G$15:$G$26,"VALOR")&gt;0,"Falta atribuir serviços ao Evento nº "&amp;INDEX($C$15:$C$26,MATCH("VALOR",$G$15:$G$26,0))&amp;". Corrigir a atribuição dos eventos na aba CÁLCULO. Ou excluir linhas dos eventos não utilizados.",
  IF(ROUND($F$14,2)&lt;&gt;ROUND(ORÇAMENTO!$X$15,2),"O valor total dos Eventos é diferente do valor total do Orçamento. Corrigir a atribuição dos eventos na aba CÁLCULO",
  IF(COUNTIF($G$15:$G$26,"Nome &gt;100")&gt;0,"O tamanho do Título do Evento no TransfereGOV é limitado a 100 caracteres. Resuma o nome do Título do Evento nº "&amp;INDEX($C$15:$C$26,MATCH("Nome &gt;100",$G$15:$G$26,0)),"")))),"")</f>
        <v/>
      </c>
    </row>
    <row r="7" spans="1:26" ht="3.95" customHeight="1" thickBot="1" x14ac:dyDescent="0.25">
      <c r="B7" t="s">
        <v>940</v>
      </c>
    </row>
    <row r="8" spans="1:26" ht="16.5" thickBot="1" x14ac:dyDescent="0.3">
      <c r="B8" t="s">
        <v>941</v>
      </c>
      <c r="C8" s="728" t="s">
        <v>939</v>
      </c>
      <c r="D8" s="729"/>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COUNTIF($C$15:$C$26,"&gt;0")-1</f>
        <v>9</v>
      </c>
      <c r="D10" t="s">
        <v>752</v>
      </c>
      <c r="E10" s="730" t="str">
        <f ca="1">OFFSET(CÁLCULO!$P$12,0,EVENTOS!E$13)</f>
        <v>PROJETOS</v>
      </c>
      <c r="F10" t="s">
        <v>752</v>
      </c>
      <c r="G10" s="725"/>
      <c r="H10" s="730" t="str">
        <f ca="1">OFFSET(CÁLCULO!$P$12,0,EVENTOS!H$13)</f>
        <v>PROJETOS</v>
      </c>
      <c r="I10" s="730" t="str">
        <f ca="1">OFFSET(CÁLCULO!$P$12,0,EVENTOS!I$13)</f>
        <v>SERVIÇOS PRELIMINARES</v>
      </c>
      <c r="J10" s="730" t="str">
        <f ca="1">OFFSET(CÁLCULO!$P$12,0,EVENTOS!J$13)</f>
        <v>ADM LOCAL</v>
      </c>
      <c r="K10" s="725" t="str">
        <f ca="1">OFFSET(CÁLCULO!$P$12,0,EVENTOS!K$13)</f>
        <v>PAVIMENTAÇÃO</v>
      </c>
      <c r="L10" s="725" t="str">
        <f ca="1">OFFSET(CÁLCULO!$P$12,0,EVENTOS!L$13)</f>
        <v>GALPÃO, UNIDADES ADMINISTRATIVAS E ÁREAS DE CONVIVÊNCIA</v>
      </c>
      <c r="M10" s="725" t="str">
        <f ca="1">OFFSET(CÁLCULO!$P$12,0,EVENTOS!M$13)</f>
        <v>PÁTIO DE COMPOSTAGEM</v>
      </c>
      <c r="N10" s="725" t="str">
        <f ca="1">OFFSET(CÁLCULO!$P$12,0,EVENTOS!N$13)</f>
        <v>EQUIPAMENTOS</v>
      </c>
      <c r="O10" s="725" t="str">
        <f ca="1">OFFSET(CÁLCULO!$P$12,0,EVENTOS!O$13)</f>
        <v>SUBESTAÇÃO</v>
      </c>
      <c r="P10" s="725" t="str">
        <f ca="1">OFFSET(CÁLCULO!$P$12,0,EVENTOS!P$13)</f>
        <v>POÇO ARTESIANO</v>
      </c>
      <c r="Q10" s="725" t="str">
        <f ca="1">OFFSET(CÁLCULO!$P$12,0,EVENTOS!Q$13)</f>
        <v>REDE ELÉTRICA (EXTENSÃO)</v>
      </c>
      <c r="R10" s="725" t="str">
        <f ca="1">OFFSET(CÁLCULO!$P$12,0,EVENTOS!R$13)</f>
        <v>.</v>
      </c>
      <c r="S10" s="725" t="str">
        <f ca="1">OFFSET(CÁLCULO!$P$12,0,EVENTOS!S$13)</f>
        <v>.</v>
      </c>
      <c r="T10" s="725" t="str">
        <f ca="1">OFFSET(CÁLCULO!$P$12,0,EVENTOS!T$13)</f>
        <v>.</v>
      </c>
      <c r="U10" s="725" t="str">
        <f ca="1">OFFSET(CÁLCULO!$P$12,0,EVENTOS!U$13)</f>
        <v>.</v>
      </c>
      <c r="V10" s="725" t="str">
        <f ca="1">OFFSET(CÁLCULO!$P$12,0,EVENTOS!V$13)</f>
        <v>.</v>
      </c>
      <c r="W10" s="725" t="str">
        <f ca="1">OFFSET(CÁLCULO!$P$12,0,EVENTOS!W$13)</f>
        <v>.</v>
      </c>
      <c r="X10" s="725" t="str">
        <f ca="1">OFFSET(CÁLCULO!$P$12,0,EVENTOS!X$13)</f>
        <v>.</v>
      </c>
      <c r="Y10" s="725" t="str">
        <f ca="1">OFFSET(CÁLCULO!$P$12,0,EVENTOS!Y$13)</f>
        <v>.</v>
      </c>
    </row>
    <row r="11" spans="1:26" ht="35.1" customHeight="1" x14ac:dyDescent="0.2">
      <c r="A11" s="507" t="s">
        <v>655</v>
      </c>
      <c r="C11" s="731"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
      </c>
      <c r="D11" s="731"/>
      <c r="E11" s="730"/>
      <c r="F11" s="497"/>
      <c r="G11" s="726"/>
      <c r="H11" s="730"/>
      <c r="I11" s="730"/>
      <c r="J11" s="730"/>
      <c r="K11" s="726"/>
      <c r="L11" s="726"/>
      <c r="M11" s="726"/>
      <c r="N11" s="726"/>
      <c r="O11" s="726"/>
      <c r="P11" s="726"/>
      <c r="Q11" s="726"/>
      <c r="R11" s="726"/>
      <c r="S11" s="726"/>
      <c r="T11" s="726"/>
      <c r="U11" s="726"/>
      <c r="V11" s="726"/>
      <c r="W11" s="726"/>
      <c r="X11" s="726"/>
      <c r="Y11" s="726"/>
    </row>
    <row r="12" spans="1:26" ht="12" customHeight="1" x14ac:dyDescent="0.2">
      <c r="A12" s="508" t="s">
        <v>660</v>
      </c>
      <c r="E12" s="730"/>
      <c r="G12" s="727"/>
      <c r="H12" s="730"/>
      <c r="I12" s="730"/>
      <c r="J12" s="730"/>
      <c r="K12" s="727"/>
      <c r="L12" s="727"/>
      <c r="M12" s="727"/>
      <c r="N12" s="727"/>
      <c r="O12" s="727"/>
      <c r="P12" s="727"/>
      <c r="Q12" s="727"/>
      <c r="R12" s="727"/>
      <c r="S12" s="727"/>
      <c r="T12" s="727"/>
      <c r="U12" s="727"/>
      <c r="V12" s="727"/>
      <c r="W12" s="727"/>
      <c r="X12" s="727"/>
      <c r="Y12" s="727"/>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2</v>
      </c>
      <c r="J13" s="624">
        <f t="shared" ca="1" si="1"/>
        <v>3</v>
      </c>
      <c r="K13" s="624">
        <f t="shared" ca="1" si="1"/>
        <v>4</v>
      </c>
      <c r="L13" s="624">
        <f t="shared" ca="1" si="1"/>
        <v>5</v>
      </c>
      <c r="M13" s="624">
        <f t="shared" ca="1" si="1"/>
        <v>6</v>
      </c>
      <c r="N13" s="624">
        <f t="shared" ca="1" si="1"/>
        <v>7</v>
      </c>
      <c r="O13" s="624">
        <f t="shared" ca="1" si="1"/>
        <v>8</v>
      </c>
      <c r="P13" s="624">
        <f t="shared" ca="1" si="1"/>
        <v>9</v>
      </c>
      <c r="Q13" s="624">
        <f t="shared" ca="1" si="1"/>
        <v>10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SUM(E$15:E$26)</f>
        <v>128484.15000000001</v>
      </c>
      <c r="F14" s="543">
        <f ca="1">SUM(F$15:F$26)</f>
        <v>21394861.289999999</v>
      </c>
      <c r="H14" s="625">
        <f t="shared" ref="H14:Y14" ca="1" si="2">SUM(H$15:H$26)</f>
        <v>128484.15000000001</v>
      </c>
      <c r="I14" s="625">
        <f t="shared" ca="1" si="2"/>
        <v>545475.67000000004</v>
      </c>
      <c r="J14" s="625">
        <f t="shared" ca="1" si="2"/>
        <v>888262.76</v>
      </c>
      <c r="K14" s="625">
        <f t="shared" ca="1" si="2"/>
        <v>1034244.1300000001</v>
      </c>
      <c r="L14" s="625">
        <f t="shared" ca="1" si="2"/>
        <v>1134801.8</v>
      </c>
      <c r="M14" s="625">
        <f t="shared" ca="1" si="2"/>
        <v>929416.75999999989</v>
      </c>
      <c r="N14" s="625">
        <f t="shared" ca="1" si="2"/>
        <v>654127.98</v>
      </c>
      <c r="O14" s="625">
        <f t="shared" ca="1" si="2"/>
        <v>824963.55</v>
      </c>
      <c r="P14" s="625">
        <f t="shared" ca="1" si="2"/>
        <v>1052045.21</v>
      </c>
      <c r="Q14" s="625">
        <f t="shared" ca="1" si="2"/>
        <v>14203039.279999999</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hidden="1" x14ac:dyDescent="0.2">
      <c r="A15" s="506" t="str">
        <f t="shared" ref="A15:A25" si="3">IF(D15="","","F")</f>
        <v/>
      </c>
      <c r="B15" t="str">
        <f>IF(OR(C15=" ",D15=""),"",CONCATENATE(C15,". ",D15))</f>
        <v/>
      </c>
      <c r="C15" s="546" cm="1">
        <f t="array" ref="C15">IF(AdmLocal="Automática",1,0)</f>
        <v>0</v>
      </c>
      <c r="D15" s="626" t="str">
        <f>IF(C15=1,"Administração Local","")</f>
        <v/>
      </c>
      <c r="E15" s="627">
        <f ca="1">IF($F$15=0,0,IF(E13=1,$F$15-SUM($I$15:$Z$15),ROUND(SUM(OFFSET(E15,1,0):OFFSET(E$26,-1,0))/SUM(OFFSET($F15,1,0):OFFSET($F$26,-1,0))*$F$15,2)))</f>
        <v>0</v>
      </c>
      <c r="F15" s="547" cm="1">
        <f t="array" ref="F15">IF($C$15=0,0,ROUND(SUMPRODUCT((CÁLCULO!$M$15:$M$93=EVENTOS!$C15)*(ORÇAMENTO!$X$15:'ORÇAMENTO'!$X$93)),2))</f>
        <v>0</v>
      </c>
      <c r="G15" s="628"/>
      <c r="H15" s="627">
        <f ca="1">IF($F$15=0,0,IF(H13=1,$F$15-SUM($I$15:$Z$15),ROUND(SUM(OFFSET(H15,1,0):OFFSET(H$26,-1,0))/SUM(OFFSET($F15,1,0):OFFSET($F$26,-1,0))*$F$15,2)))</f>
        <v>0</v>
      </c>
      <c r="I15" s="627">
        <f ca="1">IF($F$15=0,0,IF(I13=1,$F$15-SUM($I$15:$Z$15),ROUND(SUM(OFFSET(I15,1,0):OFFSET(I$26,-1,0))/SUM(OFFSET($F15,1,0):OFFSET($F$26,-1,0))*$F$15,2)))</f>
        <v>0</v>
      </c>
      <c r="J15" s="627">
        <f ca="1">IF($F$15=0,0,IF(J13=1,$F$15-SUM($I$15:$Z$15),ROUND(SUM(OFFSET(J15,1,0):OFFSET(J$26,-1,0))/SUM(OFFSET($F15,1,0):OFFSET($F$26,-1,0))*$F$15,2)))</f>
        <v>0</v>
      </c>
      <c r="K15" s="627">
        <f ca="1">IF($F$15=0,0,IF(K13=1,$F$15-SUM($I$15:$Z$15),ROUND(SUM(OFFSET(K15,1,0):OFFSET(K$26,-1,0))/SUM(OFFSET($F15,1,0):OFFSET($F$26,-1,0))*$F$15,2)))</f>
        <v>0</v>
      </c>
      <c r="L15" s="627">
        <f ca="1">IF($F$15=0,0,IF(L13=1,$F$15-SUM($I$15:$Z$15),ROUND(SUM(OFFSET(L15,1,0):OFFSET(L$26,-1,0))/SUM(OFFSET($F15,1,0):OFFSET($F$26,-1,0))*$F$15,2)))</f>
        <v>0</v>
      </c>
      <c r="M15" s="627">
        <f ca="1">IF($F$15=0,0,IF(M13=1,$F$15-SUM($I$15:$Z$15),ROUND(SUM(OFFSET(M15,1,0):OFFSET(M$26,-1,0))/SUM(OFFSET($F15,1,0):OFFSET($F$26,-1,0))*$F$15,2)))</f>
        <v>0</v>
      </c>
      <c r="N15" s="627">
        <f ca="1">IF($F$15=0,0,IF(N13=1,$F$15-SUM($I$15:$Z$15),ROUND(SUM(OFFSET(N15,1,0):OFFSET(N$26,-1,0))/SUM(OFFSET($F15,1,0):OFFSET($F$26,-1,0))*$F$15,2)))</f>
        <v>0</v>
      </c>
      <c r="O15" s="627">
        <f ca="1">IF($F$15=0,0,IF(O13=1,$F$15-SUM($I$15:$Z$15),ROUND(SUM(OFFSET(O15,1,0):OFFSET(O$26,-1,0))/SUM(OFFSET($F15,1,0):OFFSET($F$26,-1,0))*$F$15,2)))</f>
        <v>0</v>
      </c>
      <c r="P15" s="627">
        <f ca="1">IF($F$15=0,0,IF(P13=1,$F$15-SUM($I$15:$Z$15),ROUND(SUM(OFFSET(P15,1,0):OFFSET(P$26,-1,0))/SUM(OFFSET($F15,1,0):OFFSET($F$26,-1,0))*$F$15,2)))</f>
        <v>0</v>
      </c>
      <c r="Q15" s="627">
        <f ca="1">IF($F$15=0,0,IF(Q13=1,$F$15-SUM($I$15:$Z$15),ROUND(SUM(OFFSET(Q15,1,0):OFFSET(Q$26,-1,0))/SUM(OFFSET($F15,1,0):OFFSET($F$26,-1,0))*$F$15,2)))</f>
        <v>0</v>
      </c>
      <c r="R15" s="627">
        <f ca="1">IF($F$15=0,0,IF(R13=1,$F$15-SUM($I$15:$Z$15),ROUND(SUM(OFFSET(R15,1,0):OFFSET(R$26,-1,0))/SUM(OFFSET($F15,1,0):OFFSET($F$26,-1,0))*$F$15,2)))</f>
        <v>0</v>
      </c>
      <c r="S15" s="627">
        <f ca="1">IF($F$15=0,0,IF(S13=1,$F$15-SUM($I$15:$Z$15),ROUND(SUM(OFFSET(S15,1,0):OFFSET(S$26,-1,0))/SUM(OFFSET($F15,1,0):OFFSET($F$26,-1,0))*$F$15,2)))</f>
        <v>0</v>
      </c>
      <c r="T15" s="627">
        <f ca="1">IF($F$15=0,0,IF(T13=1,$F$15-SUM($I$15:$Z$15),ROUND(SUM(OFFSET(T15,1,0):OFFSET(T$26,-1,0))/SUM(OFFSET($F15,1,0):OFFSET($F$26,-1,0))*$F$15,2)))</f>
        <v>0</v>
      </c>
      <c r="U15" s="627">
        <f ca="1">IF($F$15=0,0,IF(U13=1,$F$15-SUM($I$15:$Z$15),ROUND(SUM(OFFSET(U15,1,0):OFFSET(U$26,-1,0))/SUM(OFFSET($F15,1,0):OFFSET($F$26,-1,0))*$F$15,2)))</f>
        <v>0</v>
      </c>
      <c r="V15" s="627">
        <f ca="1">IF($F$15=0,0,IF(V13=1,$F$15-SUM($I$15:$Z$15),ROUND(SUM(OFFSET(V15,1,0):OFFSET(V$26,-1,0))/SUM(OFFSET($F15,1,0):OFFSET($F$26,-1,0))*$F$15,2)))</f>
        <v>0</v>
      </c>
      <c r="W15" s="627">
        <f ca="1">IF($F$15=0,0,IF(W13=1,$F$15-SUM($I$15:$Z$15),ROUND(SUM(OFFSET(W15,1,0):OFFSET(W$26,-1,0))/SUM(OFFSET($F15,1,0):OFFSET($F$26,-1,0))*$F$15,2)))</f>
        <v>0</v>
      </c>
      <c r="X15" s="627">
        <f ca="1">IF($F$15=0,0,IF(X13=1,$F$15-SUM($I$15:$Z$15),ROUND(SUM(OFFSET(X15,1,0):OFFSET(X$26,-1,0))/SUM(OFFSET($F15,1,0):OFFSET($F$26,-1,0))*$F$15,2)))</f>
        <v>0</v>
      </c>
      <c r="Y15" s="627">
        <f ca="1">IF($F$15=0,0,IF(Y13=1,$F$15-SUM($I$15:$Z$15),ROUND(SUM(OFFSET(Y15,1,0):OFFSET(Y$26,-1,0))/SUM(OFFSET($F15,1,0):OFFSET($F$26,-1,0))*$F$15,2)))</f>
        <v>0</v>
      </c>
    </row>
    <row r="16" spans="1:26" x14ac:dyDescent="0.2">
      <c r="A16" s="506" t="str">
        <f t="shared" si="3"/>
        <v>F</v>
      </c>
      <c r="B16" t="str">
        <f t="shared" ref="B16:B22" ca="1" si="4">IF(OR(C16=" ",D16=""),"",CONCATENATE(C16,". ",D16))</f>
        <v>1. PROJETOS</v>
      </c>
      <c r="C16" s="182" cm="1">
        <f t="array" aca="1" ref="C16" ca="1">IF(OR(ROW(C16)=ROW(EVENTOS.firstrow)+1,AND(OFFSET(C16,-1,0)&lt;&gt;" ",OFFSET(C16,-1,1)&lt;&gt;"")),OFFSET(C16,-1,0)+1," ")</f>
        <v>1</v>
      </c>
      <c r="D16" s="496" t="str">
        <f>ORÇAMENTO!R17</f>
        <v>PROJETOS</v>
      </c>
      <c r="E16" s="620" cm="1">
        <f t="array" aca="1" ref="E16" ca="1">IF(AUTOEVENTO="Manual",ROUND(SUMPRODUCT((CÁLCULO!$M$15:$M$93=EVENTOS!$C16)*(OFFSET(CÁLCULO!$AA$15:$AA$93,0,E$13))),2),0)</f>
        <v>49395.98</v>
      </c>
      <c r="F16" s="183">
        <f ca="1">IF(AUTOEVENTO="Manual",ROUND(SUMPRODUCT((CÁLCULO!$M$15:$M$93=EVENTOS!$C16)*(OFFSET(CÁLCULO!$AA$15,0,1):OFFSET(CÁLCULO!$AL$93,0,-1))),2),0)</f>
        <v>164265.45000000001</v>
      </c>
      <c r="G16" s="621" t="str">
        <f t="shared" ref="G16:G22" ca="1" si="5">IF(AND(D16=0,F16&gt;0),"NOME",
 IF(AND(D16&lt;&gt;0,$F$14&gt;0,F16=0),"VALOR",
 IF(AND(Import.TipoArredondamento="TransfereGOV",$A16="F",LEN(D16)&gt;100),"Nome &gt;100","")))</f>
        <v/>
      </c>
      <c r="H16" s="620" cm="1">
        <f t="array" aca="1" ref="H16" ca="1">IF(AUTOEVENTO="Manual",ROUND(SUMPRODUCT((CÁLCULO!$M$15:$M$93=EVENTOS!$C16)*(OFFSET(CÁLCULO!$AA$15:$AA$93,0,H$13))),2),0)</f>
        <v>49395.98</v>
      </c>
      <c r="I16" s="620" cm="1">
        <f t="array" aca="1" ref="I16" ca="1">IF(AUTOEVENTO="Manual",ROUND(SUMPRODUCT((CÁLCULO!$M$15:$M$93=EVENTOS!$C16)*(OFFSET(CÁLCULO!$AA$15:$AA$93,0,I$13))),2),0)</f>
        <v>46929.26</v>
      </c>
      <c r="J16" s="620" cm="1">
        <f t="array" aca="1" ref="J16" ca="1">IF(AUTOEVENTO="Manual",ROUND(SUMPRODUCT((CÁLCULO!$M$15:$M$93=EVENTOS!$C16)*(OFFSET(CÁLCULO!$AA$15:$AA$93,0,J$13))),2),0)</f>
        <v>59636.79</v>
      </c>
      <c r="K16" s="620" cm="1">
        <f t="array" aca="1" ref="K16" ca="1">IF(AUTOEVENTO="Manual",ROUND(SUMPRODUCT((CÁLCULO!$M$15:$M$93=EVENTOS!$C16)*(OFFSET(CÁLCULO!$AA$15:$AA$93,0,K$13))),2),0)</f>
        <v>4151.71</v>
      </c>
      <c r="L16" s="620" cm="1">
        <f t="array" aca="1" ref="L16" ca="1">IF(AUTOEVENTO="Manual",ROUND(SUMPRODUCT((CÁLCULO!$M$15:$M$93=EVENTOS!$C16)*(OFFSET(CÁLCULO!$AA$15:$AA$93,0,L$13))),2),0)</f>
        <v>4151.71</v>
      </c>
      <c r="M16" s="620" cm="1">
        <f t="array" aca="1" ref="M16" ca="1">IF(AUTOEVENTO="Manual",ROUND(SUMPRODUCT((CÁLCULO!$M$15:$M$93=EVENTOS!$C16)*(OFFSET(CÁLCULO!$AA$15:$AA$93,0,M$13))),2),0)</f>
        <v>0</v>
      </c>
      <c r="N16" s="620" cm="1">
        <f t="array" aca="1" ref="N16" ca="1">IF(AUTOEVENTO="Manual",ROUND(SUMPRODUCT((CÁLCULO!$M$15:$M$93=EVENTOS!$C16)*(OFFSET(CÁLCULO!$AA$15:$AA$93,0,N$13))),2),0)</f>
        <v>0</v>
      </c>
      <c r="O16" s="620" cm="1">
        <f t="array" aca="1" ref="O16" ca="1">IF(AUTOEVENTO="Manual",ROUND(SUMPRODUCT((CÁLCULO!$M$15:$M$93=EVENTOS!$C16)*(OFFSET(CÁLCULO!$AA$15:$AA$93,0,O$13))),2),0)</f>
        <v>0</v>
      </c>
      <c r="P16" s="620" cm="1">
        <f t="array" aca="1" ref="P16" ca="1">IF(AUTOEVENTO="Manual",ROUND(SUMPRODUCT((CÁLCULO!$M$15:$M$93=EVENTOS!$C16)*(OFFSET(CÁLCULO!$AA$15:$AA$93,0,P$13))),2),0)</f>
        <v>0</v>
      </c>
      <c r="Q16" s="620" cm="1">
        <f t="array" aca="1" ref="Q16" ca="1">IF(AUTOEVENTO="Manual",ROUND(SUMPRODUCT((CÁLCULO!$M$15:$M$93=EVENTOS!$C16)*(OFFSET(CÁLCULO!$AA$15:$AA$93,0,Q$13))),2),0)</f>
        <v>0</v>
      </c>
      <c r="R16" s="620" cm="1">
        <f t="array" aca="1" ref="R16" ca="1">IF(AUTOEVENTO="Manual",ROUND(SUMPRODUCT((CÁLCULO!$M$15:$M$93=EVENTOS!$C16)*(OFFSET(CÁLCULO!$AA$15:$AA$93,0,R$13))),2),0)</f>
        <v>0</v>
      </c>
      <c r="S16" s="620" cm="1">
        <f t="array" aca="1" ref="S16" ca="1">IF(AUTOEVENTO="Manual",ROUND(SUMPRODUCT((CÁLCULO!$M$15:$M$93=EVENTOS!$C16)*(OFFSET(CÁLCULO!$AA$15:$AA$93,0,S$13))),2),0)</f>
        <v>0</v>
      </c>
      <c r="T16" s="620" cm="1">
        <f t="array" aca="1" ref="T16" ca="1">IF(AUTOEVENTO="Manual",ROUND(SUMPRODUCT((CÁLCULO!$M$15:$M$93=EVENTOS!$C16)*(OFFSET(CÁLCULO!$AA$15:$AA$93,0,T$13))),2),0)</f>
        <v>0</v>
      </c>
      <c r="U16" s="620" cm="1">
        <f t="array" aca="1" ref="U16" ca="1">IF(AUTOEVENTO="Manual",ROUND(SUMPRODUCT((CÁLCULO!$M$15:$M$93=EVENTOS!$C16)*(OFFSET(CÁLCULO!$AA$15:$AA$93,0,U$13))),2),0)</f>
        <v>0</v>
      </c>
      <c r="V16" s="620" cm="1">
        <f t="array" aca="1" ref="V16" ca="1">IF(AUTOEVENTO="Manual",ROUND(SUMPRODUCT((CÁLCULO!$M$15:$M$93=EVENTOS!$C16)*(OFFSET(CÁLCULO!$AA$15:$AA$93,0,V$13))),2),0)</f>
        <v>0</v>
      </c>
      <c r="W16" s="620" cm="1">
        <f t="array" aca="1" ref="W16" ca="1">IF(AUTOEVENTO="Manual",ROUND(SUMPRODUCT((CÁLCULO!$M$15:$M$93=EVENTOS!$C16)*(OFFSET(CÁLCULO!$AA$15:$AA$93,0,W$13))),2),0)</f>
        <v>0</v>
      </c>
      <c r="X16" s="620" cm="1">
        <f t="array" aca="1" ref="X16" ca="1">IF(AUTOEVENTO="Manual",ROUND(SUMPRODUCT((CÁLCULO!$M$15:$M$93=EVENTOS!$C16)*(OFFSET(CÁLCULO!$AA$15:$AA$93,0,X$13))),2),0)</f>
        <v>0</v>
      </c>
      <c r="Y16" s="620" cm="1">
        <f t="array" aca="1" ref="Y16" ca="1">IF(AUTOEVENTO="Manual",ROUND(SUMPRODUCT((CÁLCULO!$M$15:$M$93=EVENTOS!$C16)*(OFFSET(CÁLCULO!$AA$15:$AA$93,0,Y$13))),2),0)</f>
        <v>0</v>
      </c>
    </row>
    <row r="17" spans="1:25" x14ac:dyDescent="0.2">
      <c r="A17" s="506" t="str">
        <f t="shared" si="3"/>
        <v>F</v>
      </c>
      <c r="B17" t="str">
        <f t="shared" ca="1" si="4"/>
        <v>2. SERVIÇOS PRELIMINARES</v>
      </c>
      <c r="C17" s="182" cm="1">
        <f t="array" aca="1" ref="C17" ca="1">IF(OR(ROW(C17)=ROW(EVENTOS.firstrow)+1,AND(OFFSET(C17,-1,0)&lt;&gt;" ",OFFSET(C17,-1,1)&lt;&gt;"")),OFFSET(C17,-1,0)+1," ")</f>
        <v>2</v>
      </c>
      <c r="D17" s="496" t="str">
        <f>ORÇAMENTO!R39</f>
        <v>SERVIÇOS PRELIMINARES</v>
      </c>
      <c r="E17" s="620" cm="1">
        <f t="array" aca="1" ref="E17" ca="1">IF(AUTOEVENTO="Manual",ROUND(SUMPRODUCT((CÁLCULO!$M$15:$M$93=EVENTOS!$C17)*(OFFSET(CÁLCULO!$AA$15:$AA$93,0,E$13))),2),0)</f>
        <v>78385.94</v>
      </c>
      <c r="F17" s="183">
        <f ca="1">IF(AUTOEVENTO="Manual",ROUND(SUMPRODUCT((CÁLCULO!$M$15:$M$93=EVENTOS!$C17)*(OFFSET(CÁLCULO!$AA$15,0,1):OFFSET(CÁLCULO!$AL$93,0,-1))),2),0)</f>
        <v>275726.93</v>
      </c>
      <c r="G17" s="621" t="str">
        <f t="shared" ca="1" si="5"/>
        <v/>
      </c>
      <c r="H17" s="620" cm="1">
        <f t="array" aca="1" ref="H17" ca="1">IF(AUTOEVENTO="Manual",ROUND(SUMPRODUCT((CÁLCULO!$M$15:$M$93=EVENTOS!$C17)*(OFFSET(CÁLCULO!$AA$15:$AA$93,0,H$13))),2),0)</f>
        <v>78385.94</v>
      </c>
      <c r="I17" s="620" cm="1">
        <f t="array" aca="1" ref="I17" ca="1">IF(AUTOEVENTO="Manual",ROUND(SUMPRODUCT((CÁLCULO!$M$15:$M$93=EVENTOS!$C17)*(OFFSET(CÁLCULO!$AA$15:$AA$93,0,I$13))),2),0)</f>
        <v>75781.62</v>
      </c>
      <c r="J17" s="620" cm="1">
        <f t="array" aca="1" ref="J17" ca="1">IF(AUTOEVENTO="Manual",ROUND(SUMPRODUCT((CÁLCULO!$M$15:$M$93=EVENTOS!$C17)*(OFFSET(CÁLCULO!$AA$15:$AA$93,0,J$13))),2),0)</f>
        <v>23543.17</v>
      </c>
      <c r="K17" s="620" cm="1">
        <f t="array" aca="1" ref="K17" ca="1">IF(AUTOEVENTO="Manual",ROUND(SUMPRODUCT((CÁLCULO!$M$15:$M$93=EVENTOS!$C17)*(OFFSET(CÁLCULO!$AA$15:$AA$93,0,K$13))),2),0)</f>
        <v>13812</v>
      </c>
      <c r="L17" s="620" cm="1">
        <f t="array" aca="1" ref="L17" ca="1">IF(AUTOEVENTO="Manual",ROUND(SUMPRODUCT((CÁLCULO!$M$15:$M$93=EVENTOS!$C17)*(OFFSET(CÁLCULO!$AA$15:$AA$93,0,L$13))),2),0)</f>
        <v>13812</v>
      </c>
      <c r="M17" s="620" cm="1">
        <f t="array" aca="1" ref="M17" ca="1">IF(AUTOEVENTO="Manual",ROUND(SUMPRODUCT((CÁLCULO!$M$15:$M$93=EVENTOS!$C17)*(OFFSET(CÁLCULO!$AA$15:$AA$93,0,M$13))),2),0)</f>
        <v>13812</v>
      </c>
      <c r="N17" s="620" cm="1">
        <f t="array" aca="1" ref="N17" ca="1">IF(AUTOEVENTO="Manual",ROUND(SUMPRODUCT((CÁLCULO!$M$15:$M$93=EVENTOS!$C17)*(OFFSET(CÁLCULO!$AA$15:$AA$93,0,N$13))),2),0)</f>
        <v>13812</v>
      </c>
      <c r="O17" s="620" cm="1">
        <f t="array" aca="1" ref="O17" ca="1">IF(AUTOEVENTO="Manual",ROUND(SUMPRODUCT((CÁLCULO!$M$15:$M$93=EVENTOS!$C17)*(OFFSET(CÁLCULO!$AA$15:$AA$93,0,O$13))),2),0)</f>
        <v>13490.62</v>
      </c>
      <c r="P17" s="620" cm="1">
        <f t="array" aca="1" ref="P17" ca="1">IF(AUTOEVENTO="Manual",ROUND(SUMPRODUCT((CÁLCULO!$M$15:$M$93=EVENTOS!$C17)*(OFFSET(CÁLCULO!$AA$15:$AA$93,0,P$13))),2),0)</f>
        <v>12847.87</v>
      </c>
      <c r="Q17" s="620" cm="1">
        <f t="array" aca="1" ref="Q17" ca="1">IF(AUTOEVENTO="Manual",ROUND(SUMPRODUCT((CÁLCULO!$M$15:$M$93=EVENTOS!$C17)*(OFFSET(CÁLCULO!$AA$15:$AA$93,0,Q$13))),2),0)</f>
        <v>16429.71</v>
      </c>
      <c r="R17" s="620" cm="1">
        <f t="array" aca="1" ref="R17" ca="1">IF(AUTOEVENTO="Manual",ROUND(SUMPRODUCT((CÁLCULO!$M$15:$M$93=EVENTOS!$C17)*(OFFSET(CÁLCULO!$AA$15:$AA$93,0,R$13))),2),0)</f>
        <v>0</v>
      </c>
      <c r="S17" s="620" cm="1">
        <f t="array" aca="1" ref="S17" ca="1">IF(AUTOEVENTO="Manual",ROUND(SUMPRODUCT((CÁLCULO!$M$15:$M$93=EVENTOS!$C17)*(OFFSET(CÁLCULO!$AA$15:$AA$93,0,S$13))),2),0)</f>
        <v>0</v>
      </c>
      <c r="T17" s="620" cm="1">
        <f t="array" aca="1" ref="T17" ca="1">IF(AUTOEVENTO="Manual",ROUND(SUMPRODUCT((CÁLCULO!$M$15:$M$93=EVENTOS!$C17)*(OFFSET(CÁLCULO!$AA$15:$AA$93,0,T$13))),2),0)</f>
        <v>0</v>
      </c>
      <c r="U17" s="620" cm="1">
        <f t="array" aca="1" ref="U17" ca="1">IF(AUTOEVENTO="Manual",ROUND(SUMPRODUCT((CÁLCULO!$M$15:$M$93=EVENTOS!$C17)*(OFFSET(CÁLCULO!$AA$15:$AA$93,0,U$13))),2),0)</f>
        <v>0</v>
      </c>
      <c r="V17" s="620" cm="1">
        <f t="array" aca="1" ref="V17" ca="1">IF(AUTOEVENTO="Manual",ROUND(SUMPRODUCT((CÁLCULO!$M$15:$M$93=EVENTOS!$C17)*(OFFSET(CÁLCULO!$AA$15:$AA$93,0,V$13))),2),0)</f>
        <v>0</v>
      </c>
      <c r="W17" s="620" cm="1">
        <f t="array" aca="1" ref="W17" ca="1">IF(AUTOEVENTO="Manual",ROUND(SUMPRODUCT((CÁLCULO!$M$15:$M$93=EVENTOS!$C17)*(OFFSET(CÁLCULO!$AA$15:$AA$93,0,W$13))),2),0)</f>
        <v>0</v>
      </c>
      <c r="X17" s="620" cm="1">
        <f t="array" aca="1" ref="X17" ca="1">IF(AUTOEVENTO="Manual",ROUND(SUMPRODUCT((CÁLCULO!$M$15:$M$93=EVENTOS!$C17)*(OFFSET(CÁLCULO!$AA$15:$AA$93,0,X$13))),2),0)</f>
        <v>0</v>
      </c>
      <c r="Y17" s="620" cm="1">
        <f t="array" aca="1" ref="Y17" ca="1">IF(AUTOEVENTO="Manual",ROUND(SUMPRODUCT((CÁLCULO!$M$15:$M$93=EVENTOS!$C17)*(OFFSET(CÁLCULO!$AA$15:$AA$93,0,Y$13))),2),0)</f>
        <v>0</v>
      </c>
    </row>
    <row r="18" spans="1:25" x14ac:dyDescent="0.2">
      <c r="A18" s="506" t="str">
        <f t="shared" si="3"/>
        <v>F</v>
      </c>
      <c r="B18" t="str">
        <f t="shared" ca="1" si="4"/>
        <v>3. ADM LOCAL</v>
      </c>
      <c r="C18" s="182" cm="1">
        <f t="array" aca="1" ref="C18" ca="1">IF(OR(ROW(C18)=ROW(EVENTOS.firstrow)+1,AND(OFFSET(C18,-1,0)&lt;&gt;" ",OFFSET(C18,-1,1)&lt;&gt;"")),OFFSET(C18,-1,0)+1," ")</f>
        <v>3</v>
      </c>
      <c r="D18" s="496" t="str">
        <f>ORÇAMENTO!R61</f>
        <v>ADM LOCAL</v>
      </c>
      <c r="E18" s="620" cm="1">
        <f t="array" aca="1" ref="E18" ca="1">IF(AUTOEVENTO="Manual",ROUND(SUMPRODUCT((CÁLCULO!$M$15:$M$93=EVENTOS!$C18)*(OFFSET(CÁLCULO!$AA$15:$AA$93,0,E$13))),2),0)</f>
        <v>702.23</v>
      </c>
      <c r="F18" s="183">
        <f ca="1">IF(AUTOEVENTO="Manual",ROUND(SUMPRODUCT((CÁLCULO!$M$15:$M$93=EVENTOS!$C18)*(OFFSET(CÁLCULO!$AA$15,0,1):OFFSET(CÁLCULO!$AL$93,0,-1))),2),0)</f>
        <v>188394.17</v>
      </c>
      <c r="G18" s="621" t="str">
        <f t="shared" ca="1" si="5"/>
        <v/>
      </c>
      <c r="H18" s="620" cm="1">
        <f t="array" aca="1" ref="H18" ca="1">IF(AUTOEVENTO="Manual",ROUND(SUMPRODUCT((CÁLCULO!$M$15:$M$93=EVENTOS!$C18)*(OFFSET(CÁLCULO!$AA$15:$AA$93,0,H$13))),2),0)</f>
        <v>702.23</v>
      </c>
      <c r="I18" s="620" cm="1">
        <f t="array" aca="1" ref="I18" ca="1">IF(AUTOEVENTO="Manual",ROUND(SUMPRODUCT((CÁLCULO!$M$15:$M$93=EVENTOS!$C18)*(OFFSET(CÁLCULO!$AA$15:$AA$93,0,I$13))),2),0)</f>
        <v>3591.24</v>
      </c>
      <c r="J18" s="620" cm="1">
        <f t="array" aca="1" ref="J18" ca="1">IF(AUTOEVENTO="Manual",ROUND(SUMPRODUCT((CÁLCULO!$M$15:$M$93=EVENTOS!$C18)*(OFFSET(CÁLCULO!$AA$15:$AA$93,0,J$13))),2),0)</f>
        <v>7391.59</v>
      </c>
      <c r="K18" s="620" cm="1">
        <f t="array" aca="1" ref="K18" ca="1">IF(AUTOEVENTO="Manual",ROUND(SUMPRODUCT((CÁLCULO!$M$15:$M$93=EVENTOS!$C18)*(OFFSET(CÁLCULO!$AA$15:$AA$93,0,K$13))),2),0)</f>
        <v>9163.06</v>
      </c>
      <c r="L18" s="620" cm="1">
        <f t="array" aca="1" ref="L18" ca="1">IF(AUTOEVENTO="Manual",ROUND(SUMPRODUCT((CÁLCULO!$M$15:$M$93=EVENTOS!$C18)*(OFFSET(CÁLCULO!$AA$15:$AA$93,0,L$13))),2),0)</f>
        <v>10090.24</v>
      </c>
      <c r="M18" s="620" cm="1">
        <f t="array" aca="1" ref="M18" ca="1">IF(AUTOEVENTO="Manual",ROUND(SUMPRODUCT((CÁLCULO!$M$15:$M$93=EVENTOS!$C18)*(OFFSET(CÁLCULO!$AA$15:$AA$93,0,M$13))),2),0)</f>
        <v>8233.76</v>
      </c>
      <c r="N18" s="620" cm="1">
        <f t="array" aca="1" ref="N18" ca="1">IF(AUTOEVENTO="Manual",ROUND(SUMPRODUCT((CÁLCULO!$M$15:$M$93=EVENTOS!$C18)*(OFFSET(CÁLCULO!$AA$15:$AA$93,0,N$13))),2),0)</f>
        <v>5760.08</v>
      </c>
      <c r="O18" s="620" cm="1">
        <f t="array" aca="1" ref="O18" ca="1">IF(AUTOEVENTO="Manual",ROUND(SUMPRODUCT((CÁLCULO!$M$15:$M$93=EVENTOS!$C18)*(OFFSET(CÁLCULO!$AA$15:$AA$93,0,O$13))),2),0)</f>
        <v>7264.32</v>
      </c>
      <c r="P18" s="620" cm="1">
        <f t="array" aca="1" ref="P18" ca="1">IF(AUTOEVENTO="Manual",ROUND(SUMPRODUCT((CÁLCULO!$M$15:$M$93=EVENTOS!$C18)*(OFFSET(CÁLCULO!$AA$15:$AA$93,0,P$13))),2),0)</f>
        <v>9275.5400000000009</v>
      </c>
      <c r="Q18" s="620" cm="1">
        <f t="array" aca="1" ref="Q18" ca="1">IF(AUTOEVENTO="Manual",ROUND(SUMPRODUCT((CÁLCULO!$M$15:$M$93=EVENTOS!$C18)*(OFFSET(CÁLCULO!$AA$15:$AA$93,0,Q$13))),2),0)</f>
        <v>126922.11</v>
      </c>
      <c r="R18" s="620" cm="1">
        <f t="array" aca="1" ref="R18" ca="1">IF(AUTOEVENTO="Manual",ROUND(SUMPRODUCT((CÁLCULO!$M$15:$M$93=EVENTOS!$C18)*(OFFSET(CÁLCULO!$AA$15:$AA$93,0,R$13))),2),0)</f>
        <v>0</v>
      </c>
      <c r="S18" s="620" cm="1">
        <f t="array" aca="1" ref="S18" ca="1">IF(AUTOEVENTO="Manual",ROUND(SUMPRODUCT((CÁLCULO!$M$15:$M$93=EVENTOS!$C18)*(OFFSET(CÁLCULO!$AA$15:$AA$93,0,S$13))),2),0)</f>
        <v>0</v>
      </c>
      <c r="T18" s="620" cm="1">
        <f t="array" aca="1" ref="T18" ca="1">IF(AUTOEVENTO="Manual",ROUND(SUMPRODUCT((CÁLCULO!$M$15:$M$93=EVENTOS!$C18)*(OFFSET(CÁLCULO!$AA$15:$AA$93,0,T$13))),2),0)</f>
        <v>0</v>
      </c>
      <c r="U18" s="620" cm="1">
        <f t="array" aca="1" ref="U18" ca="1">IF(AUTOEVENTO="Manual",ROUND(SUMPRODUCT((CÁLCULO!$M$15:$M$93=EVENTOS!$C18)*(OFFSET(CÁLCULO!$AA$15:$AA$93,0,U$13))),2),0)</f>
        <v>0</v>
      </c>
      <c r="V18" s="620" cm="1">
        <f t="array" aca="1" ref="V18" ca="1">IF(AUTOEVENTO="Manual",ROUND(SUMPRODUCT((CÁLCULO!$M$15:$M$93=EVENTOS!$C18)*(OFFSET(CÁLCULO!$AA$15:$AA$93,0,V$13))),2),0)</f>
        <v>0</v>
      </c>
      <c r="W18" s="620" cm="1">
        <f t="array" aca="1" ref="W18" ca="1">IF(AUTOEVENTO="Manual",ROUND(SUMPRODUCT((CÁLCULO!$M$15:$M$93=EVENTOS!$C18)*(OFFSET(CÁLCULO!$AA$15:$AA$93,0,W$13))),2),0)</f>
        <v>0</v>
      </c>
      <c r="X18" s="620" cm="1">
        <f t="array" aca="1" ref="X18" ca="1">IF(AUTOEVENTO="Manual",ROUND(SUMPRODUCT((CÁLCULO!$M$15:$M$93=EVENTOS!$C18)*(OFFSET(CÁLCULO!$AA$15:$AA$93,0,X$13))),2),0)</f>
        <v>0</v>
      </c>
      <c r="Y18" s="620" cm="1">
        <f t="array" aca="1" ref="Y18" ca="1">IF(AUTOEVENTO="Manual",ROUND(SUMPRODUCT((CÁLCULO!$M$15:$M$93=EVENTOS!$C18)*(OFFSET(CÁLCULO!$AA$15:$AA$93,0,Y$13))),2),0)</f>
        <v>0</v>
      </c>
    </row>
    <row r="19" spans="1:25" x14ac:dyDescent="0.2">
      <c r="A19" s="506" t="str">
        <f t="shared" ca="1" si="3"/>
        <v>F</v>
      </c>
      <c r="B19" t="str">
        <f t="shared" ca="1" si="4"/>
        <v>4. PAVIMENTAÇÃO</v>
      </c>
      <c r="C19" s="182" cm="1">
        <f t="array" aca="1" ref="C19" ca="1">IF(OR(ROW(C19)=ROW(EVENTOS.firstrow)+1,AND(OFFSET(C19,-1,0)&lt;&gt;" ",OFFSET(C19,-1,1)&lt;&gt;"")),OFFSET(C19,-1,0)+1," ")</f>
        <v>4</v>
      </c>
      <c r="D19" s="496" t="str">
        <f ca="1">ORÇAMENTO!R66</f>
        <v>PAVIMENTAÇÃO</v>
      </c>
      <c r="E19" s="620" cm="1">
        <f t="array" aca="1" ref="E19" ca="1">IF(AUTOEVENTO="Manual",ROUND(SUMPRODUCT((CÁLCULO!$M$15:$M$93=EVENTOS!$C19)*(OFFSET(CÁLCULO!$AA$15:$AA$93,0,E$13))),2),0)</f>
        <v>0</v>
      </c>
      <c r="F19" s="183">
        <f ca="1">IF(AUTOEVENTO="Manual",ROUND(SUMPRODUCT((CÁLCULO!$M$15:$M$93=EVENTOS!$C19)*(OFFSET(CÁLCULO!$AA$15,0,1):OFFSET(CÁLCULO!$AL$93,0,-1))),2),0)</f>
        <v>497047.8</v>
      </c>
      <c r="G19" s="621" t="str">
        <f t="shared" ca="1" si="5"/>
        <v/>
      </c>
      <c r="H19" s="620" cm="1">
        <f t="array" aca="1" ref="H19" ca="1">IF(AUTOEVENTO="Manual",ROUND(SUMPRODUCT((CÁLCULO!$M$15:$M$93=EVENTOS!$C19)*(OFFSET(CÁLCULO!$AA$15:$AA$93,0,H$13))),2),0)</f>
        <v>0</v>
      </c>
      <c r="I19" s="620" cm="1">
        <f t="array" aca="1" ref="I19" ca="1">IF(AUTOEVENTO="Manual",ROUND(SUMPRODUCT((CÁLCULO!$M$15:$M$93=EVENTOS!$C19)*(OFFSET(CÁLCULO!$AA$15:$AA$93,0,I$13))),2),0)</f>
        <v>3732.72</v>
      </c>
      <c r="J19" s="620" cm="1">
        <f t="array" aca="1" ref="J19" ca="1">IF(AUTOEVENTO="Manual",ROUND(SUMPRODUCT((CÁLCULO!$M$15:$M$93=EVENTOS!$C19)*(OFFSET(CÁLCULO!$AA$15:$AA$93,0,J$13))),2),0)</f>
        <v>3732.72</v>
      </c>
      <c r="K19" s="620" cm="1">
        <f t="array" aca="1" ref="K19" ca="1">IF(AUTOEVENTO="Manual",ROUND(SUMPRODUCT((CÁLCULO!$M$15:$M$93=EVENTOS!$C19)*(OFFSET(CÁLCULO!$AA$15:$AA$93,0,K$13))),2),0)</f>
        <v>79153.77</v>
      </c>
      <c r="L19" s="620" cm="1">
        <f t="array" aca="1" ref="L19" ca="1">IF(AUTOEVENTO="Manual",ROUND(SUMPRODUCT((CÁLCULO!$M$15:$M$93=EVENTOS!$C19)*(OFFSET(CÁLCULO!$AA$15:$AA$93,0,L$13))),2),0)</f>
        <v>79153.77</v>
      </c>
      <c r="M19" s="620" cm="1">
        <f t="array" aca="1" ref="M19" ca="1">IF(AUTOEVENTO="Manual",ROUND(SUMPRODUCT((CÁLCULO!$M$15:$M$93=EVENTOS!$C19)*(OFFSET(CÁLCULO!$AA$15:$AA$93,0,M$13))),2),0)</f>
        <v>99409.600000000006</v>
      </c>
      <c r="N19" s="620" cm="1">
        <f t="array" aca="1" ref="N19" ca="1">IF(AUTOEVENTO="Manual",ROUND(SUMPRODUCT((CÁLCULO!$M$15:$M$93=EVENTOS!$C19)*(OFFSET(CÁLCULO!$AA$15:$AA$93,0,N$13))),2),0)</f>
        <v>95676.83</v>
      </c>
      <c r="O19" s="620" cm="1">
        <f t="array" aca="1" ref="O19" ca="1">IF(AUTOEVENTO="Manual",ROUND(SUMPRODUCT((CÁLCULO!$M$15:$M$93=EVENTOS!$C19)*(OFFSET(CÁLCULO!$AA$15:$AA$93,0,O$13))),2),0)</f>
        <v>95676.83</v>
      </c>
      <c r="P19" s="620" cm="1">
        <f t="array" aca="1" ref="P19" ca="1">IF(AUTOEVENTO="Manual",ROUND(SUMPRODUCT((CÁLCULO!$M$15:$M$93=EVENTOS!$C19)*(OFFSET(CÁLCULO!$AA$15:$AA$93,0,P$13))),2),0)</f>
        <v>20255.78</v>
      </c>
      <c r="Q19" s="620" cm="1">
        <f t="array" aca="1" ref="Q19" ca="1">IF(AUTOEVENTO="Manual",ROUND(SUMPRODUCT((CÁLCULO!$M$15:$M$93=EVENTOS!$C19)*(OFFSET(CÁLCULO!$AA$15:$AA$93,0,Q$13))),2),0)</f>
        <v>20255.78</v>
      </c>
      <c r="R19" s="620" cm="1">
        <f t="array" aca="1" ref="R19" ca="1">IF(AUTOEVENTO="Manual",ROUND(SUMPRODUCT((CÁLCULO!$M$15:$M$93=EVENTOS!$C19)*(OFFSET(CÁLCULO!$AA$15:$AA$93,0,R$13))),2),0)</f>
        <v>0</v>
      </c>
      <c r="S19" s="620" cm="1">
        <f t="array" aca="1" ref="S19" ca="1">IF(AUTOEVENTO="Manual",ROUND(SUMPRODUCT((CÁLCULO!$M$15:$M$93=EVENTOS!$C19)*(OFFSET(CÁLCULO!$AA$15:$AA$93,0,S$13))),2),0)</f>
        <v>0</v>
      </c>
      <c r="T19" s="620" cm="1">
        <f t="array" aca="1" ref="T19" ca="1">IF(AUTOEVENTO="Manual",ROUND(SUMPRODUCT((CÁLCULO!$M$15:$M$93=EVENTOS!$C19)*(OFFSET(CÁLCULO!$AA$15:$AA$93,0,T$13))),2),0)</f>
        <v>0</v>
      </c>
      <c r="U19" s="620" cm="1">
        <f t="array" aca="1" ref="U19" ca="1">IF(AUTOEVENTO="Manual",ROUND(SUMPRODUCT((CÁLCULO!$M$15:$M$93=EVENTOS!$C19)*(OFFSET(CÁLCULO!$AA$15:$AA$93,0,U$13))),2),0)</f>
        <v>0</v>
      </c>
      <c r="V19" s="620" cm="1">
        <f t="array" aca="1" ref="V19" ca="1">IF(AUTOEVENTO="Manual",ROUND(SUMPRODUCT((CÁLCULO!$M$15:$M$93=EVENTOS!$C19)*(OFFSET(CÁLCULO!$AA$15:$AA$93,0,V$13))),2),0)</f>
        <v>0</v>
      </c>
      <c r="W19" s="620" cm="1">
        <f t="array" aca="1" ref="W19" ca="1">IF(AUTOEVENTO="Manual",ROUND(SUMPRODUCT((CÁLCULO!$M$15:$M$93=EVENTOS!$C19)*(OFFSET(CÁLCULO!$AA$15:$AA$93,0,W$13))),2),0)</f>
        <v>0</v>
      </c>
      <c r="X19" s="620" cm="1">
        <f t="array" aca="1" ref="X19" ca="1">IF(AUTOEVENTO="Manual",ROUND(SUMPRODUCT((CÁLCULO!$M$15:$M$93=EVENTOS!$C19)*(OFFSET(CÁLCULO!$AA$15:$AA$93,0,X$13))),2),0)</f>
        <v>0</v>
      </c>
      <c r="Y19" s="620" cm="1">
        <f t="array" aca="1" ref="Y19" ca="1">IF(AUTOEVENTO="Manual",ROUND(SUMPRODUCT((CÁLCULO!$M$15:$M$93=EVENTOS!$C19)*(OFFSET(CÁLCULO!$AA$15:$AA$93,0,Y$13))),2),0)</f>
        <v>0</v>
      </c>
    </row>
    <row r="20" spans="1:25" x14ac:dyDescent="0.2">
      <c r="A20" s="506" t="str">
        <f t="shared" ca="1" si="3"/>
        <v>F</v>
      </c>
      <c r="B20" t="str">
        <f t="shared" ca="1" si="4"/>
        <v>5. GALPÃO, UNIDADES ADMINISTRATIVAS E ÁREAS DE CONVIVÊNCIA</v>
      </c>
      <c r="C20" s="182" cm="1">
        <f t="array" aca="1" ref="C20" ca="1">IF(OR(ROW(C20)=ROW(EVENTOS.firstrow)+1,AND(OFFSET(C20,-1,0)&lt;&gt;" ",OFFSET(C20,-1,1)&lt;&gt;"")),OFFSET(C20,-1,0)+1," ")</f>
        <v>5</v>
      </c>
      <c r="D20" s="496" t="str">
        <f ca="1">ORÇAMENTO!R70</f>
        <v>GALPÃO, UNIDADES ADMINISTRATIVAS E ÁREAS DE CONVIVÊNCIA</v>
      </c>
      <c r="E20" s="620" cm="1">
        <f t="array" aca="1" ref="E20" ca="1">IF(AUTOEVENTO="Manual",ROUND(SUMPRODUCT((CÁLCULO!$M$15:$M$93=EVENTOS!$C20)*(OFFSET(CÁLCULO!$AA$15:$AA$93,0,E$13))),2),0)</f>
        <v>0</v>
      </c>
      <c r="F20" s="183">
        <f ca="1">IF(AUTOEVENTO="Manual",ROUND(SUMPRODUCT((CÁLCULO!$M$15:$M$93=EVENTOS!$C20)*(OFFSET(CÁLCULO!$AA$15,0,1):OFFSET(CÁLCULO!$AL$93,0,-1))),2),0)</f>
        <v>4796233.05</v>
      </c>
      <c r="G20" s="621" t="str">
        <f t="shared" ca="1" si="5"/>
        <v/>
      </c>
      <c r="H20" s="620" cm="1">
        <f t="array" aca="1" ref="H20" ca="1">IF(AUTOEVENTO="Manual",ROUND(SUMPRODUCT((CÁLCULO!$M$15:$M$93=EVENTOS!$C20)*(OFFSET(CÁLCULO!$AA$15:$AA$93,0,H$13))),2),0)</f>
        <v>0</v>
      </c>
      <c r="I20" s="620" cm="1">
        <f t="array" aca="1" ref="I20" ca="1">IF(AUTOEVENTO="Manual",ROUND(SUMPRODUCT((CÁLCULO!$M$15:$M$93=EVENTOS!$C20)*(OFFSET(CÁLCULO!$AA$15:$AA$93,0,I$13))),2),0)</f>
        <v>338806.52</v>
      </c>
      <c r="J20" s="620" cm="1">
        <f t="array" aca="1" ref="J20" ca="1">IF(AUTOEVENTO="Manual",ROUND(SUMPRODUCT((CÁLCULO!$M$15:$M$93=EVENTOS!$C20)*(OFFSET(CÁLCULO!$AA$15:$AA$93,0,J$13))),2),0)</f>
        <v>717324.18</v>
      </c>
      <c r="K20" s="620" cm="1">
        <f t="array" aca="1" ref="K20" ca="1">IF(AUTOEVENTO="Manual",ROUND(SUMPRODUCT((CÁLCULO!$M$15:$M$93=EVENTOS!$C20)*(OFFSET(CÁLCULO!$AA$15:$AA$93,0,K$13))),2),0)</f>
        <v>878528.28</v>
      </c>
      <c r="L20" s="620" cm="1">
        <f t="array" aca="1" ref="L20" ca="1">IF(AUTOEVENTO="Manual",ROUND(SUMPRODUCT((CÁLCULO!$M$15:$M$93=EVENTOS!$C20)*(OFFSET(CÁLCULO!$AA$15:$AA$93,0,L$13))),2),0)</f>
        <v>878528.28</v>
      </c>
      <c r="M20" s="620" cm="1">
        <f t="array" aca="1" ref="M20" ca="1">IF(AUTOEVENTO="Manual",ROUND(SUMPRODUCT((CÁLCULO!$M$15:$M$93=EVENTOS!$C20)*(OFFSET(CÁLCULO!$AA$15:$AA$93,0,M$13))),2),0)</f>
        <v>658896.21</v>
      </c>
      <c r="N20" s="620" cm="1">
        <f t="array" aca="1" ref="N20" ca="1">IF(AUTOEVENTO="Manual",ROUND(SUMPRODUCT((CÁLCULO!$M$15:$M$93=EVENTOS!$C20)*(OFFSET(CÁLCULO!$AA$15:$AA$93,0,N$13))),2),0)</f>
        <v>439248.58</v>
      </c>
      <c r="O20" s="620" cm="1">
        <f t="array" aca="1" ref="O20" ca="1">IF(AUTOEVENTO="Manual",ROUND(SUMPRODUCT((CÁLCULO!$M$15:$M$93=EVENTOS!$C20)*(OFFSET(CÁLCULO!$AA$15:$AA$93,0,O$13))),2),0)</f>
        <v>439264.14</v>
      </c>
      <c r="P20" s="620" cm="1">
        <f t="array" aca="1" ref="P20" ca="1">IF(AUTOEVENTO="Manual",ROUND(SUMPRODUCT((CÁLCULO!$M$15:$M$93=EVENTOS!$C20)*(OFFSET(CÁLCULO!$AA$15:$AA$93,0,P$13))),2),0)</f>
        <v>445636.86</v>
      </c>
      <c r="Q20" s="620" cm="1">
        <f t="array" aca="1" ref="Q20" ca="1">IF(AUTOEVENTO="Manual",ROUND(SUMPRODUCT((CÁLCULO!$M$15:$M$93=EVENTOS!$C20)*(OFFSET(CÁLCULO!$AA$15:$AA$93,0,Q$13))),2),0)</f>
        <v>0</v>
      </c>
      <c r="R20" s="620" cm="1">
        <f t="array" aca="1" ref="R20" ca="1">IF(AUTOEVENTO="Manual",ROUND(SUMPRODUCT((CÁLCULO!$M$15:$M$93=EVENTOS!$C20)*(OFFSET(CÁLCULO!$AA$15:$AA$93,0,R$13))),2),0)</f>
        <v>0</v>
      </c>
      <c r="S20" s="620" cm="1">
        <f t="array" aca="1" ref="S20" ca="1">IF(AUTOEVENTO="Manual",ROUND(SUMPRODUCT((CÁLCULO!$M$15:$M$93=EVENTOS!$C20)*(OFFSET(CÁLCULO!$AA$15:$AA$93,0,S$13))),2),0)</f>
        <v>0</v>
      </c>
      <c r="T20" s="620" cm="1">
        <f t="array" aca="1" ref="T20" ca="1">IF(AUTOEVENTO="Manual",ROUND(SUMPRODUCT((CÁLCULO!$M$15:$M$93=EVENTOS!$C20)*(OFFSET(CÁLCULO!$AA$15:$AA$93,0,T$13))),2),0)</f>
        <v>0</v>
      </c>
      <c r="U20" s="620" cm="1">
        <f t="array" aca="1" ref="U20" ca="1">IF(AUTOEVENTO="Manual",ROUND(SUMPRODUCT((CÁLCULO!$M$15:$M$93=EVENTOS!$C20)*(OFFSET(CÁLCULO!$AA$15:$AA$93,0,U$13))),2),0)</f>
        <v>0</v>
      </c>
      <c r="V20" s="620" cm="1">
        <f t="array" aca="1" ref="V20" ca="1">IF(AUTOEVENTO="Manual",ROUND(SUMPRODUCT((CÁLCULO!$M$15:$M$93=EVENTOS!$C20)*(OFFSET(CÁLCULO!$AA$15:$AA$93,0,V$13))),2),0)</f>
        <v>0</v>
      </c>
      <c r="W20" s="620" cm="1">
        <f t="array" aca="1" ref="W20" ca="1">IF(AUTOEVENTO="Manual",ROUND(SUMPRODUCT((CÁLCULO!$M$15:$M$93=EVENTOS!$C20)*(OFFSET(CÁLCULO!$AA$15:$AA$93,0,W$13))),2),0)</f>
        <v>0</v>
      </c>
      <c r="X20" s="620" cm="1">
        <f t="array" aca="1" ref="X20" ca="1">IF(AUTOEVENTO="Manual",ROUND(SUMPRODUCT((CÁLCULO!$M$15:$M$93=EVENTOS!$C20)*(OFFSET(CÁLCULO!$AA$15:$AA$93,0,X$13))),2),0)</f>
        <v>0</v>
      </c>
      <c r="Y20" s="620" cm="1">
        <f t="array" aca="1" ref="Y20" ca="1">IF(AUTOEVENTO="Manual",ROUND(SUMPRODUCT((CÁLCULO!$M$15:$M$93=EVENTOS!$C20)*(OFFSET(CÁLCULO!$AA$15:$AA$93,0,Y$13))),2),0)</f>
        <v>0</v>
      </c>
    </row>
    <row r="21" spans="1:25" x14ac:dyDescent="0.2">
      <c r="A21" s="506" t="str">
        <f t="shared" ca="1" si="3"/>
        <v>F</v>
      </c>
      <c r="B21" t="str">
        <f t="shared" ca="1" si="4"/>
        <v>6. PÁTIO DE COMPOSTAGEM</v>
      </c>
      <c r="C21" s="182" cm="1">
        <f t="array" aca="1" ref="C21" ca="1">IF(OR(ROW(C21)=ROW(EVENTOS.firstrow)+1,AND(OFFSET(C21,-1,0)&lt;&gt;" ",OFFSET(C21,-1,1)&lt;&gt;"")),OFFSET(C21,-1,0)+1," ")</f>
        <v>6</v>
      </c>
      <c r="D21" s="496" t="str">
        <f ca="1">ORÇAMENTO!R75</f>
        <v>PÁTIO DE COMPOSTAGEM</v>
      </c>
      <c r="E21" s="620" cm="1">
        <f t="array" aca="1" ref="E21" ca="1">IF(AUTOEVENTO="Manual",ROUND(SUMPRODUCT((CÁLCULO!$M$15:$M$93=EVENTOS!$C21)*(OFFSET(CÁLCULO!$AA$15:$AA$93,0,E$13))),2),0)</f>
        <v>0</v>
      </c>
      <c r="F21" s="183">
        <f ca="1">IF(AUTOEVENTO="Manual",ROUND(SUMPRODUCT((CÁLCULO!$M$15:$M$93=EVENTOS!$C21)*(OFFSET(CÁLCULO!$AA$15,0,1):OFFSET(CÁLCULO!$AL$93,0,-1))),2),0)</f>
        <v>345647.02</v>
      </c>
      <c r="G21" s="621" t="str">
        <f t="shared" ca="1" si="5"/>
        <v/>
      </c>
      <c r="H21" s="620" cm="1">
        <f t="array" aca="1" ref="H21" ca="1">IF(AUTOEVENTO="Manual",ROUND(SUMPRODUCT((CÁLCULO!$M$15:$M$93=EVENTOS!$C21)*(OFFSET(CÁLCULO!$AA$15:$AA$93,0,H$13))),2),0)</f>
        <v>0</v>
      </c>
      <c r="I21" s="620" cm="1">
        <f t="array" aca="1" ref="I21" ca="1">IF(AUTOEVENTO="Manual",ROUND(SUMPRODUCT((CÁLCULO!$M$15:$M$93=EVENTOS!$C21)*(OFFSET(CÁLCULO!$AA$15:$AA$93,0,I$13))),2),0)</f>
        <v>0</v>
      </c>
      <c r="J21" s="620" cm="1">
        <f t="array" aca="1" ref="J21" ca="1">IF(AUTOEVENTO="Manual",ROUND(SUMPRODUCT((CÁLCULO!$M$15:$M$93=EVENTOS!$C21)*(OFFSET(CÁLCULO!$AA$15:$AA$93,0,J$13))),2),0)</f>
        <v>0</v>
      </c>
      <c r="K21" s="620" cm="1">
        <f t="array" aca="1" ref="K21" ca="1">IF(AUTOEVENTO="Manual",ROUND(SUMPRODUCT((CÁLCULO!$M$15:$M$93=EVENTOS!$C21)*(OFFSET(CÁLCULO!$AA$15:$AA$93,0,K$13))),2),0)</f>
        <v>0</v>
      </c>
      <c r="L21" s="620" cm="1">
        <f t="array" aca="1" ref="L21" ca="1">IF(AUTOEVENTO="Manual",ROUND(SUMPRODUCT((CÁLCULO!$M$15:$M$93=EVENTOS!$C21)*(OFFSET(CÁLCULO!$AA$15:$AA$93,0,L$13))),2),0)</f>
        <v>0</v>
      </c>
      <c r="M21" s="620" cm="1">
        <f t="array" aca="1" ref="M21" ca="1">IF(AUTOEVENTO="Manual",ROUND(SUMPRODUCT((CÁLCULO!$M$15:$M$93=EVENTOS!$C21)*(OFFSET(CÁLCULO!$AA$15:$AA$93,0,M$13))),2),0)</f>
        <v>0</v>
      </c>
      <c r="N21" s="620" cm="1">
        <f t="array" aca="1" ref="N21" ca="1">IF(AUTOEVENTO="Manual",ROUND(SUMPRODUCT((CÁLCULO!$M$15:$M$93=EVENTOS!$C21)*(OFFSET(CÁLCULO!$AA$15:$AA$93,0,N$13))),2),0)</f>
        <v>0</v>
      </c>
      <c r="O21" s="620" cm="1">
        <f t="array" aca="1" ref="O21" ca="1">IF(AUTOEVENTO="Manual",ROUND(SUMPRODUCT((CÁLCULO!$M$15:$M$93=EVENTOS!$C21)*(OFFSET(CÁLCULO!$AA$15:$AA$93,0,O$13))),2),0)</f>
        <v>169637.15</v>
      </c>
      <c r="P21" s="620" cm="1">
        <f t="array" aca="1" ref="P21" ca="1">IF(AUTOEVENTO="Manual",ROUND(SUMPRODUCT((CÁLCULO!$M$15:$M$93=EVENTOS!$C21)*(OFFSET(CÁLCULO!$AA$15:$AA$93,0,P$13))),2),0)</f>
        <v>176009.87</v>
      </c>
      <c r="Q21" s="620" cm="1">
        <f t="array" aca="1" ref="Q21" ca="1">IF(AUTOEVENTO="Manual",ROUND(SUMPRODUCT((CÁLCULO!$M$15:$M$93=EVENTOS!$C21)*(OFFSET(CÁLCULO!$AA$15:$AA$93,0,Q$13))),2),0)</f>
        <v>0</v>
      </c>
      <c r="R21" s="620" cm="1">
        <f t="array" aca="1" ref="R21" ca="1">IF(AUTOEVENTO="Manual",ROUND(SUMPRODUCT((CÁLCULO!$M$15:$M$93=EVENTOS!$C21)*(OFFSET(CÁLCULO!$AA$15:$AA$93,0,R$13))),2),0)</f>
        <v>0</v>
      </c>
      <c r="S21" s="620" cm="1">
        <f t="array" aca="1" ref="S21" ca="1">IF(AUTOEVENTO="Manual",ROUND(SUMPRODUCT((CÁLCULO!$M$15:$M$93=EVENTOS!$C21)*(OFFSET(CÁLCULO!$AA$15:$AA$93,0,S$13))),2),0)</f>
        <v>0</v>
      </c>
      <c r="T21" s="620" cm="1">
        <f t="array" aca="1" ref="T21" ca="1">IF(AUTOEVENTO="Manual",ROUND(SUMPRODUCT((CÁLCULO!$M$15:$M$93=EVENTOS!$C21)*(OFFSET(CÁLCULO!$AA$15:$AA$93,0,T$13))),2),0)</f>
        <v>0</v>
      </c>
      <c r="U21" s="620" cm="1">
        <f t="array" aca="1" ref="U21" ca="1">IF(AUTOEVENTO="Manual",ROUND(SUMPRODUCT((CÁLCULO!$M$15:$M$93=EVENTOS!$C21)*(OFFSET(CÁLCULO!$AA$15:$AA$93,0,U$13))),2),0)</f>
        <v>0</v>
      </c>
      <c r="V21" s="620" cm="1">
        <f t="array" aca="1" ref="V21" ca="1">IF(AUTOEVENTO="Manual",ROUND(SUMPRODUCT((CÁLCULO!$M$15:$M$93=EVENTOS!$C21)*(OFFSET(CÁLCULO!$AA$15:$AA$93,0,V$13))),2),0)</f>
        <v>0</v>
      </c>
      <c r="W21" s="620" cm="1">
        <f t="array" aca="1" ref="W21" ca="1">IF(AUTOEVENTO="Manual",ROUND(SUMPRODUCT((CÁLCULO!$M$15:$M$93=EVENTOS!$C21)*(OFFSET(CÁLCULO!$AA$15:$AA$93,0,W$13))),2),0)</f>
        <v>0</v>
      </c>
      <c r="X21" s="620" cm="1">
        <f t="array" aca="1" ref="X21" ca="1">IF(AUTOEVENTO="Manual",ROUND(SUMPRODUCT((CÁLCULO!$M$15:$M$93=EVENTOS!$C21)*(OFFSET(CÁLCULO!$AA$15:$AA$93,0,X$13))),2),0)</f>
        <v>0</v>
      </c>
      <c r="Y21" s="620" cm="1">
        <f t="array" aca="1" ref="Y21" ca="1">IF(AUTOEVENTO="Manual",ROUND(SUMPRODUCT((CÁLCULO!$M$15:$M$93=EVENTOS!$C21)*(OFFSET(CÁLCULO!$AA$15:$AA$93,0,Y$13))),2),0)</f>
        <v>0</v>
      </c>
    </row>
    <row r="22" spans="1:25" x14ac:dyDescent="0.2">
      <c r="A22" s="506" t="str">
        <f t="shared" ca="1" si="3"/>
        <v>F</v>
      </c>
      <c r="B22" t="str">
        <f t="shared" ca="1" si="4"/>
        <v>7. EQUIPAMENTOS</v>
      </c>
      <c r="C22" s="182" cm="1">
        <f t="array" aca="1" ref="C22" ca="1">IF(OR(ROW(C22)=ROW(EVENTOS.firstrow)+1,AND(OFFSET(C22,-1,0)&lt;&gt;" ",OFFSET(C22,-1,1)&lt;&gt;"")),OFFSET(C22,-1,0)+1," ")</f>
        <v>7</v>
      </c>
      <c r="D22" s="496" t="str">
        <f ca="1">ORÇAMENTO!R80</f>
        <v>EQUIPAMENTOS</v>
      </c>
      <c r="E22" s="620" cm="1">
        <f t="array" aca="1" ref="E22" ca="1">IF(AUTOEVENTO="Manual",ROUND(SUMPRODUCT((CÁLCULO!$M$15:$M$93=EVENTOS!$C22)*(OFFSET(CÁLCULO!$AA$15:$AA$93,0,E$13))),2),0)</f>
        <v>0</v>
      </c>
      <c r="F22" s="183">
        <f ca="1">IF(AUTOEVENTO="Manual",ROUND(SUMPRODUCT((CÁLCULO!$M$15:$M$93=EVENTOS!$C22)*(OFFSET(CÁLCULO!$AA$15,0,1):OFFSET(CÁLCULO!$AL$93,0,-1))),2),0)</f>
        <v>14327820.48</v>
      </c>
      <c r="G22" s="621" t="str">
        <f t="shared" ca="1" si="5"/>
        <v/>
      </c>
      <c r="H22" s="620" cm="1">
        <f t="array" aca="1" ref="H22" ca="1">IF(AUTOEVENTO="Manual",ROUND(SUMPRODUCT((CÁLCULO!$M$15:$M$93=EVENTOS!$C22)*(OFFSET(CÁLCULO!$AA$15:$AA$93,0,H$13))),2),0)</f>
        <v>0</v>
      </c>
      <c r="I22" s="620" cm="1">
        <f t="array" aca="1" ref="I22" ca="1">IF(AUTOEVENTO="Manual",ROUND(SUMPRODUCT((CÁLCULO!$M$15:$M$93=EVENTOS!$C22)*(OFFSET(CÁLCULO!$AA$15:$AA$93,0,I$13))),2),0)</f>
        <v>0</v>
      </c>
      <c r="J22" s="620" cm="1">
        <f t="array" aca="1" ref="J22" ca="1">IF(AUTOEVENTO="Manual",ROUND(SUMPRODUCT((CÁLCULO!$M$15:$M$93=EVENTOS!$C22)*(OFFSET(CÁLCULO!$AA$15:$AA$93,0,J$13))),2),0)</f>
        <v>0</v>
      </c>
      <c r="K22" s="620" cm="1">
        <f t="array" aca="1" ref="K22" ca="1">IF(AUTOEVENTO="Manual",ROUND(SUMPRODUCT((CÁLCULO!$M$15:$M$93=EVENTOS!$C22)*(OFFSET(CÁLCULO!$AA$15:$AA$93,0,K$13))),2),0)</f>
        <v>0</v>
      </c>
      <c r="L22" s="620" cm="1">
        <f t="array" aca="1" ref="L22" ca="1">IF(AUTOEVENTO="Manual",ROUND(SUMPRODUCT((CÁLCULO!$M$15:$M$93=EVENTOS!$C22)*(OFFSET(CÁLCULO!$AA$15:$AA$93,0,L$13))),2),0)</f>
        <v>0</v>
      </c>
      <c r="M22" s="620" cm="1">
        <f t="array" aca="1" ref="M22" ca="1">IF(AUTOEVENTO="Manual",ROUND(SUMPRODUCT((CÁLCULO!$M$15:$M$93=EVENTOS!$C22)*(OFFSET(CÁLCULO!$AA$15:$AA$93,0,M$13))),2),0)</f>
        <v>0</v>
      </c>
      <c r="N22" s="620" cm="1">
        <f t="array" aca="1" ref="N22" ca="1">IF(AUTOEVENTO="Manual",ROUND(SUMPRODUCT((CÁLCULO!$M$15:$M$93=EVENTOS!$C22)*(OFFSET(CÁLCULO!$AA$15:$AA$93,0,N$13))),2),0)</f>
        <v>0</v>
      </c>
      <c r="O22" s="620" cm="1">
        <f t="array" aca="1" ref="O22" ca="1">IF(AUTOEVENTO="Manual",ROUND(SUMPRODUCT((CÁLCULO!$M$15:$M$93=EVENTOS!$C22)*(OFFSET(CÁLCULO!$AA$15:$AA$93,0,O$13))),2),0)</f>
        <v>0</v>
      </c>
      <c r="P22" s="620" cm="1">
        <f t="array" aca="1" ref="P22" ca="1">IF(AUTOEVENTO="Manual",ROUND(SUMPRODUCT((CÁLCULO!$M$15:$M$93=EVENTOS!$C22)*(OFFSET(CÁLCULO!$AA$15:$AA$93,0,P$13))),2),0)</f>
        <v>288388.8</v>
      </c>
      <c r="Q22" s="620" cm="1">
        <f t="array" aca="1" ref="Q22" ca="1">IF(AUTOEVENTO="Manual",ROUND(SUMPRODUCT((CÁLCULO!$M$15:$M$93=EVENTOS!$C22)*(OFFSET(CÁLCULO!$AA$15:$AA$93,0,Q$13))),2),0)</f>
        <v>14039431.68</v>
      </c>
      <c r="R22" s="620" cm="1">
        <f t="array" aca="1" ref="R22" ca="1">IF(AUTOEVENTO="Manual",ROUND(SUMPRODUCT((CÁLCULO!$M$15:$M$93=EVENTOS!$C22)*(OFFSET(CÁLCULO!$AA$15:$AA$93,0,R$13))),2),0)</f>
        <v>0</v>
      </c>
      <c r="S22" s="620" cm="1">
        <f t="array" aca="1" ref="S22" ca="1">IF(AUTOEVENTO="Manual",ROUND(SUMPRODUCT((CÁLCULO!$M$15:$M$93=EVENTOS!$C22)*(OFFSET(CÁLCULO!$AA$15:$AA$93,0,S$13))),2),0)</f>
        <v>0</v>
      </c>
      <c r="T22" s="620" cm="1">
        <f t="array" aca="1" ref="T22" ca="1">IF(AUTOEVENTO="Manual",ROUND(SUMPRODUCT((CÁLCULO!$M$15:$M$93=EVENTOS!$C22)*(OFFSET(CÁLCULO!$AA$15:$AA$93,0,T$13))),2),0)</f>
        <v>0</v>
      </c>
      <c r="U22" s="620" cm="1">
        <f t="array" aca="1" ref="U22" ca="1">IF(AUTOEVENTO="Manual",ROUND(SUMPRODUCT((CÁLCULO!$M$15:$M$93=EVENTOS!$C22)*(OFFSET(CÁLCULO!$AA$15:$AA$93,0,U$13))),2),0)</f>
        <v>0</v>
      </c>
      <c r="V22" s="620" cm="1">
        <f t="array" aca="1" ref="V22" ca="1">IF(AUTOEVENTO="Manual",ROUND(SUMPRODUCT((CÁLCULO!$M$15:$M$93=EVENTOS!$C22)*(OFFSET(CÁLCULO!$AA$15:$AA$93,0,V$13))),2),0)</f>
        <v>0</v>
      </c>
      <c r="W22" s="620" cm="1">
        <f t="array" aca="1" ref="W22" ca="1">IF(AUTOEVENTO="Manual",ROUND(SUMPRODUCT((CÁLCULO!$M$15:$M$93=EVENTOS!$C22)*(OFFSET(CÁLCULO!$AA$15:$AA$93,0,W$13))),2),0)</f>
        <v>0</v>
      </c>
      <c r="X22" s="620" cm="1">
        <f t="array" aca="1" ref="X22" ca="1">IF(AUTOEVENTO="Manual",ROUND(SUMPRODUCT((CÁLCULO!$M$15:$M$93=EVENTOS!$C22)*(OFFSET(CÁLCULO!$AA$15:$AA$93,0,X$13))),2),0)</f>
        <v>0</v>
      </c>
      <c r="Y22" s="620" cm="1">
        <f t="array" aca="1" ref="Y22" ca="1">IF(AUTOEVENTO="Manual",ROUND(SUMPRODUCT((CÁLCULO!$M$15:$M$93=EVENTOS!$C22)*(OFFSET(CÁLCULO!$AA$15:$AA$93,0,Y$13))),2),0)</f>
        <v>0</v>
      </c>
    </row>
    <row r="23" spans="1:25" x14ac:dyDescent="0.2">
      <c r="A23" s="506" t="str">
        <f t="shared" ca="1" si="3"/>
        <v>F</v>
      </c>
      <c r="B23" t="str">
        <f ca="1">IF(OR(C23=" ",D23=""),"",CONCATENATE(C23,". ",D23))</f>
        <v>8. SUBESTAÇÃO</v>
      </c>
      <c r="C23" s="182" cm="1">
        <f t="array" aca="1" ref="C23" ca="1">IF(OR(ROW(C23)=ROW(EVENTOS.firstrow)+1,AND(OFFSET(C23,-1,0)&lt;&gt;" ",OFFSET(C23,-1,1)&lt;&gt;"")),OFFSET(C23,-1,0)+1," ")</f>
        <v>8</v>
      </c>
      <c r="D23" s="496" t="str">
        <f ca="1">ORÇAMENTO!R85</f>
        <v>SUBESTAÇÃO</v>
      </c>
      <c r="E23" s="620" cm="1">
        <f t="array" aca="1" ref="E23" ca="1">IF(AUTOEVENTO="Manual",ROUND(SUMPRODUCT((CÁLCULO!$M$15:$M$93=EVENTOS!$C23)*(OFFSET(CÁLCULO!$AA$15:$AA$93,0,E$13))),2),0)</f>
        <v>0</v>
      </c>
      <c r="F23" s="183">
        <f ca="1">IF(AUTOEVENTO="Manual",ROUND(SUMPRODUCT((CÁLCULO!$M$15:$M$93=EVENTOS!$C23)*(OFFSET(CÁLCULO!$AA$15,0,1):OFFSET(CÁLCULO!$AL$93,0,-1))),2),0)</f>
        <v>498152.45</v>
      </c>
      <c r="G23" s="621" t="str">
        <f ca="1">IF(AND(D23=0,F23&gt;0),"NOME",
 IF(AND(D23&lt;&gt;0,$F$14&gt;0,F23=0),"VALOR",
 IF(AND(Import.TipoArredondamento="TransfereGOV",$A23="F",LEN(D23)&gt;100),"Nome &gt;100","")))</f>
        <v/>
      </c>
      <c r="H23" s="620" cm="1">
        <f t="array" aca="1" ref="H23" ca="1">IF(AUTOEVENTO="Manual",ROUND(SUMPRODUCT((CÁLCULO!$M$15:$M$93=EVENTOS!$C23)*(OFFSET(CÁLCULO!$AA$15:$AA$93,0,H$13))),2),0)</f>
        <v>0</v>
      </c>
      <c r="I23" s="620" cm="1">
        <f t="array" aca="1" ref="I23" ca="1">IF(AUTOEVENTO="Manual",ROUND(SUMPRODUCT((CÁLCULO!$M$15:$M$93=EVENTOS!$C23)*(OFFSET(CÁLCULO!$AA$15:$AA$93,0,I$13))),2),0)</f>
        <v>0</v>
      </c>
      <c r="J23" s="620" cm="1">
        <f t="array" aca="1" ref="J23" ca="1">IF(AUTOEVENTO="Manual",ROUND(SUMPRODUCT((CÁLCULO!$M$15:$M$93=EVENTOS!$C23)*(OFFSET(CÁLCULO!$AA$15:$AA$93,0,J$13))),2),0)</f>
        <v>0</v>
      </c>
      <c r="K23" s="620" cm="1">
        <f t="array" aca="1" ref="K23" ca="1">IF(AUTOEVENTO="Manual",ROUND(SUMPRODUCT((CÁLCULO!$M$15:$M$93=EVENTOS!$C23)*(OFFSET(CÁLCULO!$AA$15:$AA$93,0,K$13))),2),0)</f>
        <v>0</v>
      </c>
      <c r="L23" s="620" cm="1">
        <f t="array" aca="1" ref="L23" ca="1">IF(AUTOEVENTO="Manual",ROUND(SUMPRODUCT((CÁLCULO!$M$15:$M$93=EVENTOS!$C23)*(OFFSET(CÁLCULO!$AA$15:$AA$93,0,L$13))),2),0)</f>
        <v>99630.49</v>
      </c>
      <c r="M23" s="620" cm="1">
        <f t="array" aca="1" ref="M23" ca="1">IF(AUTOEVENTO="Manual",ROUND(SUMPRODUCT((CÁLCULO!$M$15:$M$93=EVENTOS!$C23)*(OFFSET(CÁLCULO!$AA$15:$AA$93,0,M$13))),2),0)</f>
        <v>99630.49</v>
      </c>
      <c r="N23" s="620" cm="1">
        <f t="array" aca="1" ref="N23" ca="1">IF(AUTOEVENTO="Manual",ROUND(SUMPRODUCT((CÁLCULO!$M$15:$M$93=EVENTOS!$C23)*(OFFSET(CÁLCULO!$AA$15:$AA$93,0,N$13))),2),0)</f>
        <v>99630.49</v>
      </c>
      <c r="O23" s="620" cm="1">
        <f t="array" aca="1" ref="O23" ca="1">IF(AUTOEVENTO="Manual",ROUND(SUMPRODUCT((CÁLCULO!$M$15:$M$93=EVENTOS!$C23)*(OFFSET(CÁLCULO!$AA$15:$AA$93,0,O$13))),2),0)</f>
        <v>99630.49</v>
      </c>
      <c r="P23" s="620" cm="1">
        <f t="array" aca="1" ref="P23" ca="1">IF(AUTOEVENTO="Manual",ROUND(SUMPRODUCT((CÁLCULO!$M$15:$M$93=EVENTOS!$C23)*(OFFSET(CÁLCULO!$AA$15:$AA$93,0,P$13))),2),0)</f>
        <v>99630.49</v>
      </c>
      <c r="Q23" s="620" cm="1">
        <f t="array" aca="1" ref="Q23" ca="1">IF(AUTOEVENTO="Manual",ROUND(SUMPRODUCT((CÁLCULO!$M$15:$M$93=EVENTOS!$C23)*(OFFSET(CÁLCULO!$AA$15:$AA$93,0,Q$13))),2),0)</f>
        <v>0</v>
      </c>
      <c r="R23" s="620" cm="1">
        <f t="array" aca="1" ref="R23" ca="1">IF(AUTOEVENTO="Manual",ROUND(SUMPRODUCT((CÁLCULO!$M$15:$M$93=EVENTOS!$C23)*(OFFSET(CÁLCULO!$AA$15:$AA$93,0,R$13))),2),0)</f>
        <v>0</v>
      </c>
      <c r="S23" s="620" cm="1">
        <f t="array" aca="1" ref="S23" ca="1">IF(AUTOEVENTO="Manual",ROUND(SUMPRODUCT((CÁLCULO!$M$15:$M$93=EVENTOS!$C23)*(OFFSET(CÁLCULO!$AA$15:$AA$93,0,S$13))),2),0)</f>
        <v>0</v>
      </c>
      <c r="T23" s="620" cm="1">
        <f t="array" aca="1" ref="T23" ca="1">IF(AUTOEVENTO="Manual",ROUND(SUMPRODUCT((CÁLCULO!$M$15:$M$93=EVENTOS!$C23)*(OFFSET(CÁLCULO!$AA$15:$AA$93,0,T$13))),2),0)</f>
        <v>0</v>
      </c>
      <c r="U23" s="620" cm="1">
        <f t="array" aca="1" ref="U23" ca="1">IF(AUTOEVENTO="Manual",ROUND(SUMPRODUCT((CÁLCULO!$M$15:$M$93=EVENTOS!$C23)*(OFFSET(CÁLCULO!$AA$15:$AA$93,0,U$13))),2),0)</f>
        <v>0</v>
      </c>
      <c r="V23" s="620" cm="1">
        <f t="array" aca="1" ref="V23" ca="1">IF(AUTOEVENTO="Manual",ROUND(SUMPRODUCT((CÁLCULO!$M$15:$M$93=EVENTOS!$C23)*(OFFSET(CÁLCULO!$AA$15:$AA$93,0,V$13))),2),0)</f>
        <v>0</v>
      </c>
      <c r="W23" s="620" cm="1">
        <f t="array" aca="1" ref="W23" ca="1">IF(AUTOEVENTO="Manual",ROUND(SUMPRODUCT((CÁLCULO!$M$15:$M$93=EVENTOS!$C23)*(OFFSET(CÁLCULO!$AA$15:$AA$93,0,W$13))),2),0)</f>
        <v>0</v>
      </c>
      <c r="X23" s="620" cm="1">
        <f t="array" aca="1" ref="X23" ca="1">IF(AUTOEVENTO="Manual",ROUND(SUMPRODUCT((CÁLCULO!$M$15:$M$93=EVENTOS!$C23)*(OFFSET(CÁLCULO!$AA$15:$AA$93,0,X$13))),2),0)</f>
        <v>0</v>
      </c>
      <c r="Y23" s="620" cm="1">
        <f t="array" aca="1" ref="Y23" ca="1">IF(AUTOEVENTO="Manual",ROUND(SUMPRODUCT((CÁLCULO!$M$15:$M$93=EVENTOS!$C23)*(OFFSET(CÁLCULO!$AA$15:$AA$93,0,Y$13))),2),0)</f>
        <v>0</v>
      </c>
    </row>
    <row r="24" spans="1:25" x14ac:dyDescent="0.2">
      <c r="A24" s="506" t="str">
        <f t="shared" ca="1" si="3"/>
        <v>F</v>
      </c>
      <c r="B24" t="str">
        <f t="shared" ref="B24:B25" ca="1" si="6">IF(OR(C24=" ",D24=""),"",CONCATENATE(C24,". ",D24))</f>
        <v>9. POÇO</v>
      </c>
      <c r="C24" s="182" cm="1">
        <f t="array" aca="1" ref="C24" ca="1">IF(OR(ROW(C24)=ROW(EVENTOS.firstrow)+1,AND(OFFSET(C24,-1,0)&lt;&gt;" ",OFFSET(C24,-1,1)&lt;&gt;"")),OFFSET(C24,-1,0)+1," ")</f>
        <v>9</v>
      </c>
      <c r="D24" s="496" t="str">
        <f ca="1">ORÇAMENTO!R87</f>
        <v>POÇO</v>
      </c>
      <c r="E24" s="620" cm="1">
        <f t="array" aca="1" ref="E24" ca="1">IF(AUTOEVENTO="Manual",ROUND(SUMPRODUCT((CÁLCULO!$M$15:$M$93=EVENTOS!$C24)*(OFFSET(CÁLCULO!$AA$15:$AA$93,0,E$13))),2),0)</f>
        <v>0</v>
      </c>
      <c r="F24" s="183">
        <f ca="1">IF(AUTOEVENTO="Manual",ROUND(SUMPRODUCT((CÁLCULO!$M$15:$M$93=EVENTOS!$C24)*(OFFSET(CÁLCULO!$AA$15,0,1):OFFSET(CÁLCULO!$AL$93,0,-1))),2),0)</f>
        <v>54398</v>
      </c>
      <c r="G24" s="621" t="str">
        <f ca="1">IF(AND(D24=0,F24&gt;0),"NOME",
 IF(AND(D24&lt;&gt;0,$F$14&gt;0,F24=0),"VALOR",
 IF(AND(Import.TipoArredondamento="TransfereGOV",$A24="F",LEN(D24)&gt;100),"Nome &gt;100","")))</f>
        <v/>
      </c>
      <c r="H24" s="620" cm="1">
        <f t="array" aca="1" ref="H24" ca="1">IF(AUTOEVENTO="Manual",ROUND(SUMPRODUCT((CÁLCULO!$M$15:$M$93=EVENTOS!$C24)*(OFFSET(CÁLCULO!$AA$15:$AA$93,0,H$13))),2),0)</f>
        <v>0</v>
      </c>
      <c r="I24" s="620" cm="1">
        <f t="array" aca="1" ref="I24" ca="1">IF(AUTOEVENTO="Manual",ROUND(SUMPRODUCT((CÁLCULO!$M$15:$M$93=EVENTOS!$C24)*(OFFSET(CÁLCULO!$AA$15:$AA$93,0,I$13))),2),0)</f>
        <v>27199</v>
      </c>
      <c r="J24" s="620" cm="1">
        <f t="array" aca="1" ref="J24" ca="1">IF(AUTOEVENTO="Manual",ROUND(SUMPRODUCT((CÁLCULO!$M$15:$M$93=EVENTOS!$C24)*(OFFSET(CÁLCULO!$AA$15:$AA$93,0,J$13))),2),0)</f>
        <v>27199</v>
      </c>
      <c r="K24" s="620" cm="1">
        <f t="array" aca="1" ref="K24" ca="1">IF(AUTOEVENTO="Manual",ROUND(SUMPRODUCT((CÁLCULO!$M$15:$M$93=EVENTOS!$C24)*(OFFSET(CÁLCULO!$AA$15:$AA$93,0,K$13))),2),0)</f>
        <v>0</v>
      </c>
      <c r="L24" s="620" cm="1">
        <f t="array" aca="1" ref="L24" ca="1">IF(AUTOEVENTO="Manual",ROUND(SUMPRODUCT((CÁLCULO!$M$15:$M$93=EVENTOS!$C24)*(OFFSET(CÁLCULO!$AA$15:$AA$93,0,L$13))),2),0)</f>
        <v>0</v>
      </c>
      <c r="M24" s="620" cm="1">
        <f t="array" aca="1" ref="M24" ca="1">IF(AUTOEVENTO="Manual",ROUND(SUMPRODUCT((CÁLCULO!$M$15:$M$93=EVENTOS!$C24)*(OFFSET(CÁLCULO!$AA$15:$AA$93,0,M$13))),2),0)</f>
        <v>0</v>
      </c>
      <c r="N24" s="620" cm="1">
        <f t="array" aca="1" ref="N24" ca="1">IF(AUTOEVENTO="Manual",ROUND(SUMPRODUCT((CÁLCULO!$M$15:$M$93=EVENTOS!$C24)*(OFFSET(CÁLCULO!$AA$15:$AA$93,0,N$13))),2),0)</f>
        <v>0</v>
      </c>
      <c r="O24" s="620" cm="1">
        <f t="array" aca="1" ref="O24" ca="1">IF(AUTOEVENTO="Manual",ROUND(SUMPRODUCT((CÁLCULO!$M$15:$M$93=EVENTOS!$C24)*(OFFSET(CÁLCULO!$AA$15:$AA$93,0,O$13))),2),0)</f>
        <v>0</v>
      </c>
      <c r="P24" s="620" cm="1">
        <f t="array" aca="1" ref="P24" ca="1">IF(AUTOEVENTO="Manual",ROUND(SUMPRODUCT((CÁLCULO!$M$15:$M$93=EVENTOS!$C24)*(OFFSET(CÁLCULO!$AA$15:$AA$93,0,P$13))),2),0)</f>
        <v>0</v>
      </c>
      <c r="Q24" s="620" cm="1">
        <f t="array" aca="1" ref="Q24" ca="1">IF(AUTOEVENTO="Manual",ROUND(SUMPRODUCT((CÁLCULO!$M$15:$M$93=EVENTOS!$C24)*(OFFSET(CÁLCULO!$AA$15:$AA$93,0,Q$13))),2),0)</f>
        <v>0</v>
      </c>
      <c r="R24" s="620" cm="1">
        <f t="array" aca="1" ref="R24" ca="1">IF(AUTOEVENTO="Manual",ROUND(SUMPRODUCT((CÁLCULO!$M$15:$M$93=EVENTOS!$C24)*(OFFSET(CÁLCULO!$AA$15:$AA$93,0,R$13))),2),0)</f>
        <v>0</v>
      </c>
      <c r="S24" s="620" cm="1">
        <f t="array" aca="1" ref="S24" ca="1">IF(AUTOEVENTO="Manual",ROUND(SUMPRODUCT((CÁLCULO!$M$15:$M$93=EVENTOS!$C24)*(OFFSET(CÁLCULO!$AA$15:$AA$93,0,S$13))),2),0)</f>
        <v>0</v>
      </c>
      <c r="T24" s="620" cm="1">
        <f t="array" aca="1" ref="T24" ca="1">IF(AUTOEVENTO="Manual",ROUND(SUMPRODUCT((CÁLCULO!$M$15:$M$93=EVENTOS!$C24)*(OFFSET(CÁLCULO!$AA$15:$AA$93,0,T$13))),2),0)</f>
        <v>0</v>
      </c>
      <c r="U24" s="620" cm="1">
        <f t="array" aca="1" ref="U24" ca="1">IF(AUTOEVENTO="Manual",ROUND(SUMPRODUCT((CÁLCULO!$M$15:$M$93=EVENTOS!$C24)*(OFFSET(CÁLCULO!$AA$15:$AA$93,0,U$13))),2),0)</f>
        <v>0</v>
      </c>
      <c r="V24" s="620" cm="1">
        <f t="array" aca="1" ref="V24" ca="1">IF(AUTOEVENTO="Manual",ROUND(SUMPRODUCT((CÁLCULO!$M$15:$M$93=EVENTOS!$C24)*(OFFSET(CÁLCULO!$AA$15:$AA$93,0,V$13))),2),0)</f>
        <v>0</v>
      </c>
      <c r="W24" s="620" cm="1">
        <f t="array" aca="1" ref="W24" ca="1">IF(AUTOEVENTO="Manual",ROUND(SUMPRODUCT((CÁLCULO!$M$15:$M$93=EVENTOS!$C24)*(OFFSET(CÁLCULO!$AA$15:$AA$93,0,W$13))),2),0)</f>
        <v>0</v>
      </c>
      <c r="X24" s="620" cm="1">
        <f t="array" aca="1" ref="X24" ca="1">IF(AUTOEVENTO="Manual",ROUND(SUMPRODUCT((CÁLCULO!$M$15:$M$93=EVENTOS!$C24)*(OFFSET(CÁLCULO!$AA$15:$AA$93,0,X$13))),2),0)</f>
        <v>0</v>
      </c>
      <c r="Y24" s="620" cm="1">
        <f t="array" aca="1" ref="Y24" ca="1">IF(AUTOEVENTO="Manual",ROUND(SUMPRODUCT((CÁLCULO!$M$15:$M$93=EVENTOS!$C24)*(OFFSET(CÁLCULO!$AA$15:$AA$93,0,Y$13))),2),0)</f>
        <v>0</v>
      </c>
    </row>
    <row r="25" spans="1:25" x14ac:dyDescent="0.2">
      <c r="A25" s="506" t="str">
        <f t="shared" ca="1" si="3"/>
        <v>F</v>
      </c>
      <c r="B25" t="str">
        <f t="shared" ca="1" si="6"/>
        <v>10. REDE ELÉTRICA (EXTENSÃO)</v>
      </c>
      <c r="C25" s="182" cm="1">
        <f t="array" aca="1" ref="C25" ca="1">IF(OR(ROW(C25)=ROW(EVENTOS.firstrow)+1,AND(OFFSET(C25,-1,0)&lt;&gt;" ",OFFSET(C25,-1,1)&lt;&gt;"")),OFFSET(C25,-1,0)+1," ")</f>
        <v>10</v>
      </c>
      <c r="D25" s="496" t="str">
        <f ca="1">ORÇAMENTO!R89</f>
        <v>REDE ELÉTRICA (EXTENSÃO)</v>
      </c>
      <c r="E25" s="620" cm="1">
        <f t="array" aca="1" ref="E25" ca="1">IF(AUTOEVENTO="Manual",ROUND(SUMPRODUCT((CÁLCULO!$M$15:$M$93=EVENTOS!$C25)*(OFFSET(CÁLCULO!$AA$15:$AA$93,0,E$13))),2),0)</f>
        <v>0</v>
      </c>
      <c r="F25" s="183">
        <f ca="1">IF(AUTOEVENTO="Manual",ROUND(SUMPRODUCT((CÁLCULO!$M$15:$M$93=EVENTOS!$C25)*(OFFSET(CÁLCULO!$AA$15,0,1):OFFSET(CÁLCULO!$AL$93,0,-1))),2),0)</f>
        <v>247175.94</v>
      </c>
      <c r="G25" s="621" t="str">
        <f ca="1">IF(AND(D25=0,F25&gt;0),"NOME",
 IF(AND(D25&lt;&gt;0,$F$14&gt;0,F25=0),"VALOR",
 IF(AND(Import.TipoArredondamento="TransfereGOV",$A25="F",LEN(D25)&gt;100),"Nome &gt;100","")))</f>
        <v/>
      </c>
      <c r="H25" s="620" cm="1">
        <f t="array" aca="1" ref="H25" ca="1">IF(AUTOEVENTO="Manual",ROUND(SUMPRODUCT((CÁLCULO!$M$15:$M$93=EVENTOS!$C25)*(OFFSET(CÁLCULO!$AA$15:$AA$93,0,H$13))),2),0)</f>
        <v>0</v>
      </c>
      <c r="I25" s="620" cm="1">
        <f t="array" aca="1" ref="I25" ca="1">IF(AUTOEVENTO="Manual",ROUND(SUMPRODUCT((CÁLCULO!$M$15:$M$93=EVENTOS!$C25)*(OFFSET(CÁLCULO!$AA$15:$AA$93,0,I$13))),2),0)</f>
        <v>49435.31</v>
      </c>
      <c r="J25" s="620" cm="1">
        <f t="array" aca="1" ref="J25" ca="1">IF(AUTOEVENTO="Manual",ROUND(SUMPRODUCT((CÁLCULO!$M$15:$M$93=EVENTOS!$C25)*(OFFSET(CÁLCULO!$AA$15:$AA$93,0,J$13))),2),0)</f>
        <v>49435.31</v>
      </c>
      <c r="K25" s="620" cm="1">
        <f t="array" aca="1" ref="K25" ca="1">IF(AUTOEVENTO="Manual",ROUND(SUMPRODUCT((CÁLCULO!$M$15:$M$93=EVENTOS!$C25)*(OFFSET(CÁLCULO!$AA$15:$AA$93,0,K$13))),2),0)</f>
        <v>49435.31</v>
      </c>
      <c r="L25" s="620" cm="1">
        <f t="array" aca="1" ref="L25" ca="1">IF(AUTOEVENTO="Manual",ROUND(SUMPRODUCT((CÁLCULO!$M$15:$M$93=EVENTOS!$C25)*(OFFSET(CÁLCULO!$AA$15:$AA$93,0,L$13))),2),0)</f>
        <v>49435.31</v>
      </c>
      <c r="M25" s="620" cm="1">
        <f t="array" aca="1" ref="M25" ca="1">IF(AUTOEVENTO="Manual",ROUND(SUMPRODUCT((CÁLCULO!$M$15:$M$93=EVENTOS!$C25)*(OFFSET(CÁLCULO!$AA$15:$AA$93,0,M$13))),2),0)</f>
        <v>49434.7</v>
      </c>
      <c r="N25" s="620" cm="1">
        <f t="array" aca="1" ref="N25" ca="1">IF(AUTOEVENTO="Manual",ROUND(SUMPRODUCT((CÁLCULO!$M$15:$M$93=EVENTOS!$C25)*(OFFSET(CÁLCULO!$AA$15:$AA$93,0,N$13))),2),0)</f>
        <v>0</v>
      </c>
      <c r="O25" s="620" cm="1">
        <f t="array" aca="1" ref="O25" ca="1">IF(AUTOEVENTO="Manual",ROUND(SUMPRODUCT((CÁLCULO!$M$15:$M$93=EVENTOS!$C25)*(OFFSET(CÁLCULO!$AA$15:$AA$93,0,O$13))),2),0)</f>
        <v>0</v>
      </c>
      <c r="P25" s="620" cm="1">
        <f t="array" aca="1" ref="P25" ca="1">IF(AUTOEVENTO="Manual",ROUND(SUMPRODUCT((CÁLCULO!$M$15:$M$93=EVENTOS!$C25)*(OFFSET(CÁLCULO!$AA$15:$AA$93,0,P$13))),2),0)</f>
        <v>0</v>
      </c>
      <c r="Q25" s="620" cm="1">
        <f t="array" aca="1" ref="Q25" ca="1">IF(AUTOEVENTO="Manual",ROUND(SUMPRODUCT((CÁLCULO!$M$15:$M$93=EVENTOS!$C25)*(OFFSET(CÁLCULO!$AA$15:$AA$93,0,Q$13))),2),0)</f>
        <v>0</v>
      </c>
      <c r="R25" s="620" cm="1">
        <f t="array" aca="1" ref="R25" ca="1">IF(AUTOEVENTO="Manual",ROUND(SUMPRODUCT((CÁLCULO!$M$15:$M$93=EVENTOS!$C25)*(OFFSET(CÁLCULO!$AA$15:$AA$93,0,R$13))),2),0)</f>
        <v>0</v>
      </c>
      <c r="S25" s="620" cm="1">
        <f t="array" aca="1" ref="S25" ca="1">IF(AUTOEVENTO="Manual",ROUND(SUMPRODUCT((CÁLCULO!$M$15:$M$93=EVENTOS!$C25)*(OFFSET(CÁLCULO!$AA$15:$AA$93,0,S$13))),2),0)</f>
        <v>0</v>
      </c>
      <c r="T25" s="620" cm="1">
        <f t="array" aca="1" ref="T25" ca="1">IF(AUTOEVENTO="Manual",ROUND(SUMPRODUCT((CÁLCULO!$M$15:$M$93=EVENTOS!$C25)*(OFFSET(CÁLCULO!$AA$15:$AA$93,0,T$13))),2),0)</f>
        <v>0</v>
      </c>
      <c r="U25" s="620" cm="1">
        <f t="array" aca="1" ref="U25" ca="1">IF(AUTOEVENTO="Manual",ROUND(SUMPRODUCT((CÁLCULO!$M$15:$M$93=EVENTOS!$C25)*(OFFSET(CÁLCULO!$AA$15:$AA$93,0,U$13))),2),0)</f>
        <v>0</v>
      </c>
      <c r="V25" s="620" cm="1">
        <f t="array" aca="1" ref="V25" ca="1">IF(AUTOEVENTO="Manual",ROUND(SUMPRODUCT((CÁLCULO!$M$15:$M$93=EVENTOS!$C25)*(OFFSET(CÁLCULO!$AA$15:$AA$93,0,V$13))),2),0)</f>
        <v>0</v>
      </c>
      <c r="W25" s="620" cm="1">
        <f t="array" aca="1" ref="W25" ca="1">IF(AUTOEVENTO="Manual",ROUND(SUMPRODUCT((CÁLCULO!$M$15:$M$93=EVENTOS!$C25)*(OFFSET(CÁLCULO!$AA$15:$AA$93,0,W$13))),2),0)</f>
        <v>0</v>
      </c>
      <c r="X25" s="620" cm="1">
        <f t="array" aca="1" ref="X25" ca="1">IF(AUTOEVENTO="Manual",ROUND(SUMPRODUCT((CÁLCULO!$M$15:$M$93=EVENTOS!$C25)*(OFFSET(CÁLCULO!$AA$15:$AA$93,0,X$13))),2),0)</f>
        <v>0</v>
      </c>
      <c r="Y25" s="620" cm="1">
        <f t="array" aca="1" ref="Y25" ca="1">IF(AUTOEVENTO="Manual",ROUND(SUMPRODUCT((CÁLCULO!$M$15:$M$93=EVENTOS!$C25)*(OFFSET(CÁLCULO!$AA$15:$AA$93,0,Y$13))),2),0)</f>
        <v>0</v>
      </c>
    </row>
    <row r="26" spans="1:25" ht="5.0999999999999996" customHeight="1" x14ac:dyDescent="0.2">
      <c r="A26" s="506" t="s">
        <v>536</v>
      </c>
      <c r="C26" s="629"/>
      <c r="D26" s="630"/>
      <c r="E26" s="631"/>
      <c r="F26" s="184"/>
      <c r="G26" s="631"/>
      <c r="H26" s="631"/>
      <c r="I26" s="631"/>
      <c r="J26" s="631"/>
      <c r="K26" s="631"/>
      <c r="L26" s="631"/>
      <c r="M26" s="631"/>
      <c r="N26" s="631"/>
      <c r="O26" s="631"/>
      <c r="P26" s="631"/>
      <c r="Q26" s="631"/>
      <c r="R26" s="631"/>
      <c r="S26" s="631"/>
      <c r="T26" s="631"/>
      <c r="U26" s="631"/>
      <c r="V26" s="631"/>
      <c r="W26" s="631"/>
      <c r="X26" s="631"/>
      <c r="Y26" s="631"/>
    </row>
    <row r="27" spans="1:25" x14ac:dyDescent="0.2">
      <c r="A27" s="506" t="s">
        <v>536</v>
      </c>
    </row>
    <row r="28" spans="1:25" x14ac:dyDescent="0.2">
      <c r="A28" s="506" t="s">
        <v>536</v>
      </c>
    </row>
    <row r="29" spans="1:25" ht="15" x14ac:dyDescent="0.2">
      <c r="A29" s="506" t="s">
        <v>536</v>
      </c>
      <c r="D29" s="493" t="str">
        <f>Import.Município</f>
        <v>BURITIZEIRO-MG</v>
      </c>
      <c r="L29" s="460"/>
      <c r="M29" s="417"/>
      <c r="N29" s="417"/>
      <c r="O29" s="417"/>
      <c r="V29" s="460"/>
      <c r="W29" s="417"/>
      <c r="X29" s="417"/>
      <c r="Y29" s="417"/>
    </row>
    <row r="30" spans="1:25" x14ac:dyDescent="0.2">
      <c r="A30" s="506" t="s">
        <v>536</v>
      </c>
      <c r="D30" s="9" t="s">
        <v>693</v>
      </c>
      <c r="H30" s="544"/>
      <c r="I30" s="544"/>
      <c r="J30" s="544"/>
      <c r="L30" s="181" t="s">
        <v>696</v>
      </c>
      <c r="V30" s="181" t="s">
        <v>696</v>
      </c>
    </row>
    <row r="31" spans="1:25" x14ac:dyDescent="0.2">
      <c r="A31" s="506" t="s">
        <v>536</v>
      </c>
      <c r="H31" s="544"/>
      <c r="I31" s="544"/>
      <c r="J31" s="544"/>
      <c r="L31" s="398" t="str">
        <f t="array" aca="1" ref="L31:L33" ca="1">OFFSET(Import.RespOrçamento,0,-1) &amp; " " &amp; Import.RespOrçamento</f>
        <v>Nome: RAFAEL LACERDA MAIA</v>
      </c>
      <c r="V31" s="398" t="str">
        <f t="array" aca="1" ref="V31:V33" ca="1">OFFSET(Import.RespOrçamento,0,-1) &amp; " " &amp; Import.RespOrçamento</f>
        <v>Nome: RAFAEL LACERDA MAIA</v>
      </c>
    </row>
    <row r="32" spans="1:25" x14ac:dyDescent="0.2">
      <c r="A32" s="506" t="s">
        <v>536</v>
      </c>
      <c r="D32" s="494">
        <f>DADOS!$C$25</f>
        <v>46107</v>
      </c>
      <c r="L32" s="398" t="str">
        <f ca="1"/>
        <v>CREA/CAU: 173.269/D</v>
      </c>
      <c r="V32" s="398" t="str">
        <f ca="1"/>
        <v>CREA/CAU: 173.269/D</v>
      </c>
    </row>
    <row r="33" spans="1:22" x14ac:dyDescent="0.2">
      <c r="A33" s="506" t="s">
        <v>536</v>
      </c>
      <c r="D33" s="9" t="s">
        <v>694</v>
      </c>
      <c r="L33" s="398" t="str">
        <f ca="1"/>
        <v>ART/RRT: MG20254479691</v>
      </c>
      <c r="V33" s="398" t="str">
        <f ca="1"/>
        <v>ART/RRT: MG20254479691</v>
      </c>
    </row>
  </sheetData>
  <sheetProtection algorithmName="SHA-512" hashValue="FLO0E+ZoQT6P4+eaEGJb9RHdB1xbWKIa2XPPIaMD/vJW8KNQagv75GCzjlZF4DkuDcUBY/R1k5/ELmDep9lizQ==" saltValue="1DANNGRLPFTcbC0jFD7egA==" spinCount="100000" sheet="1" objects="1" scenarios="1" autoFilter="0"/>
  <autoFilter ref="A13:A33" xr:uid="{00000000-0001-0000-0600-000000000000}">
    <filterColumn colId="0">
      <filters>
        <filter val="F"/>
      </filters>
    </filterColumn>
  </autoFilter>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8 C1:Z1 Z10:Z18 C19:Z26">
    <cfRule type="expression" dxfId="345" priority="1" stopIfTrue="1">
      <formula>OR(AUTOEVENTO&lt;&gt;"Manual",ACOMPANHAMENTO="BM",C$10=0,C$13=0,$C1=" ")</formula>
    </cfRule>
  </conditionalFormatting>
  <conditionalFormatting sqref="A15 C15:XFD15">
    <cfRule type="expression" dxfId="344"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filterMode="1"/>
  <dimension ref="A1:BH65361"/>
  <sheetViews>
    <sheetView showGridLines="0" zoomScale="70" zoomScaleNormal="7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10</v>
      </c>
      <c r="O1" s="632" cm="1">
        <f t="array" ref="O1">IF(OR(ACOMPANHAMENTO="BM",N1=0,O12=""),0,1)</f>
        <v>0</v>
      </c>
      <c r="P1" t="s">
        <v>764</v>
      </c>
      <c r="Q1" s="632" cm="1">
        <f t="array" ref="Q1">IF(OR(ACOMPANHAMENTO="BM",P1=0,Q12=""),0,1)</f>
        <v>1</v>
      </c>
      <c r="R1" s="632" cm="1">
        <f t="array" ref="R1">IF(OR(ACOMPANHAMENTO="BM",Q1=0,R12=""),0,1)</f>
        <v>1</v>
      </c>
      <c r="S1" s="632" cm="1">
        <f t="array" ref="S1">IF(OR(ACOMPANHAMENTO="BM",R1=0,S12=""),0,1)</f>
        <v>1</v>
      </c>
      <c r="T1" s="632" cm="1">
        <f t="array" ref="T1">IF(OR(ACOMPANHAMENTO="BM",S1=0,T12=""),0,1)</f>
        <v>1</v>
      </c>
      <c r="U1" s="632" cm="1">
        <f t="array" ref="U1">IF(OR(ACOMPANHAMENTO="BM",T1=0,U12=""),0,1)</f>
        <v>1</v>
      </c>
      <c r="V1" s="632" cm="1">
        <f t="array" ref="V1">IF(OR(ACOMPANHAMENTO="BM",U1=0,V12=""),0,1)</f>
        <v>1</v>
      </c>
      <c r="W1" s="632" cm="1">
        <f t="array" ref="W1">IF(OR(ACOMPANHAMENTO="BM",V1=0,W12=""),0,1)</f>
        <v>1</v>
      </c>
      <c r="X1" s="632" cm="1">
        <f t="array" ref="X1">IF(OR(ACOMPANHAMENTO="BM",W1=0,X12=""),0,1)</f>
        <v>1</v>
      </c>
      <c r="Y1" s="632" cm="1">
        <f t="array" ref="Y1">IF(OR(ACOMPANHAMENTO="BM",X1=0,Y12=""),0,1)</f>
        <v>1</v>
      </c>
      <c r="Z1" s="632" cm="1">
        <f t="array" ref="Z1">IF(OR(ACOMPANHAMENTO="BM",Y1=0,Z12=""),0,1)</f>
        <v>1</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35" t="str" cm="1">
        <f t="array" ref="F6">IF(ACOMPANHAMENTO="BM","MEMÓRIA DE CÁLCULO","PLQ - PLANILHA DE LEVANTAMENTO DE QUANTIDADES")</f>
        <v>PLQ - PLANILHA DE LEVANTAMENTO DE QUANTIDADES</v>
      </c>
      <c r="G6" s="735"/>
      <c r="H6" s="735"/>
      <c r="I6" s="141"/>
      <c r="K6" s="141"/>
      <c r="L6" s="141"/>
      <c r="M6" s="142"/>
      <c r="N6" s="141"/>
      <c r="P6" s="141"/>
      <c r="Q6" s="736" t="s">
        <v>644</v>
      </c>
      <c r="R6" s="737"/>
      <c r="Y6" s="681" t="s">
        <v>644</v>
      </c>
      <c r="Z6" s="681"/>
    </row>
    <row r="7" spans="1:59" ht="15" customHeight="1" x14ac:dyDescent="0.2">
      <c r="F7" s="738" t="str" cm="1">
        <f t="array" ref="F7">IF(ACOMPANHAMENTO="BM","","Memória de Cálculo")&amp;" - "&amp;import.recurso</f>
        <v>Memória de Cálculo - OGU</v>
      </c>
      <c r="G7" s="738"/>
      <c r="H7" s="738"/>
      <c r="I7" s="143"/>
      <c r="K7" s="143"/>
      <c r="L7" s="143"/>
      <c r="M7" s="144"/>
      <c r="N7" s="143"/>
      <c r="P7" s="143"/>
      <c r="Q7" s="739" t="s">
        <v>647</v>
      </c>
      <c r="R7" s="740"/>
      <c r="Y7" s="682" t="s">
        <v>647</v>
      </c>
      <c r="Z7" s="682"/>
    </row>
    <row r="8" spans="1:59" ht="12.75" customHeight="1" x14ac:dyDescent="0.2">
      <c r="AE8" s="476"/>
    </row>
    <row r="9" spans="1:59" ht="12.75" customHeight="1" x14ac:dyDescent="0.2">
      <c r="E9" s="683" t="s">
        <v>708</v>
      </c>
      <c r="F9" s="683"/>
      <c r="G9" s="683" t="s">
        <v>707</v>
      </c>
      <c r="H9" s="683"/>
      <c r="I9" s="87" t="s">
        <v>650</v>
      </c>
      <c r="K9" s="145" t="s">
        <v>652</v>
      </c>
      <c r="L9" s="146"/>
      <c r="M9" s="146"/>
      <c r="N9" s="146"/>
      <c r="O9" s="146"/>
      <c r="P9" s="146"/>
      <c r="Q9" s="146"/>
      <c r="R9" s="147"/>
      <c r="S9" s="683" t="s">
        <v>650</v>
      </c>
      <c r="T9" s="683"/>
      <c r="U9" s="683" t="s">
        <v>652</v>
      </c>
      <c r="V9" s="683"/>
      <c r="W9" s="683"/>
      <c r="X9" s="683"/>
      <c r="Y9" s="683"/>
      <c r="Z9" s="683"/>
    </row>
    <row r="10" spans="1:59" ht="12.75" customHeight="1" x14ac:dyDescent="0.2">
      <c r="A10" s="601" t="s">
        <v>768</v>
      </c>
      <c r="E10" s="680" t="str">
        <f>Import.Apelido</f>
        <v>USINA DE TRIAGEM MECANIZADA</v>
      </c>
      <c r="F10" s="680"/>
      <c r="G10" s="680" t="str" cm="1">
        <f t="array" ref="G10">Import.TransfereGOV</f>
        <v>974020</v>
      </c>
      <c r="H10" s="680"/>
      <c r="I10" s="90" t="str">
        <f>Import.CR</f>
        <v>1099388-52</v>
      </c>
      <c r="K10" s="148" t="str">
        <f>Import.Proponente</f>
        <v>MINISTÉRIO DAS CIDADES</v>
      </c>
      <c r="L10" s="149"/>
      <c r="M10" s="100"/>
      <c r="N10" s="149"/>
      <c r="O10" s="149"/>
      <c r="P10" s="149"/>
      <c r="Q10" s="149"/>
      <c r="R10" s="91"/>
      <c r="S10" s="680" t="str">
        <f>Import.CR</f>
        <v>1099388-52</v>
      </c>
      <c r="T10" s="680"/>
      <c r="U10" s="680" t="str">
        <f>Import.Proponente</f>
        <v>MINISTÉRIO DAS CIDADES</v>
      </c>
      <c r="V10" s="680"/>
      <c r="W10" s="680"/>
      <c r="X10" s="680"/>
      <c r="Y10" s="680"/>
      <c r="Z10" s="680"/>
    </row>
    <row r="11" spans="1:59" ht="15" customHeight="1" x14ac:dyDescent="0.2">
      <c r="A11" s="450" t="str">
        <f>IF(AND(Import.TipoArredondamento="Tradicional",AUTOEVENTO="Manual"),"Automática",IF(CRONOPLE!$B$8="","Sem Adm","Manual"))</f>
        <v>Manual</v>
      </c>
      <c r="F11" s="567" t="str">
        <f ca="1">IF(AND(ACOMPANHAMENTO="PLE",ISERROR(AUTOEVENTO)),"Selecione a forma de definição dos agrupadores de eventos na aba EVENTOS",
  IF(AND(ACOMPANHAMENTO="PLE",CÁLCULO.FrentesPreenchidas=0),"Preencher os nomes das Frentes de Obra",
  IF(COUNTIF($J$15:$J$93,"►E")&gt;0,"Não pode haver serviços sem agrupador de eventos",
  IF(COUNTIF($P$11:$AA$11,"▼")&gt;0,"Não pode haver frentes de obra sem quantidades",
  IF(COUNTIF($P$11:$AA$11,"Nome &gt;100")&gt;0,"Nome da frente de obra com mais de 100 caracteres","")))))</f>
        <v/>
      </c>
      <c r="N11" s="573" t="str">
        <f ca="1">IF(OR(COUNTIF($J$15:$J$93,"►E")&gt;0,COUNTIF($J$15:$J$93,"►Q")&gt;0),"",
IF(COUNTIF($J$15:$J$93,"►S")&gt;0,"Preencha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t="str">
        <f>IF(Import.Eventos.Nível="Definir Manualmente","Manual",MATCH(Import.Eventos.Nível,EVENTOS!$B$6:$B$9,0)+1)</f>
        <v>Manual</v>
      </c>
      <c r="B12" s="7" t="s">
        <v>769</v>
      </c>
      <c r="C12" s="489" t="s">
        <v>655</v>
      </c>
      <c r="H12" s="150"/>
      <c r="I12" s="575" t="str">
        <f ca="1">IF(AND(ACOMPANHAMENTO="PLE",CÁLCULO.FrentesPreenchidas=0),"",
  IF(COUNTIF($J$15:$J$93,"►E")&gt;0,"Falta Definir o Agrupador de Evento na linha "&amp;MATCH("►E",$J$15:$J$93,0)+ROW($J$14),
  IF(COUNTIF($J$15:$J$93,"►Q")&gt;0,"Falta preencher a quantidade do serviço na linha "&amp;MATCH("►Q",$J$15:$J$93,0)+ROW($J$14),
  IF(COUNTIF($J$15:$J$93,"►S")&gt;0,"Verifique as quantidades preenchidas na linha "&amp;MATCH("►S",$J$15:$J$93,0)+ROW($J$14),
  IF(AND(COUNTIF($P$11:$AA$11,"▼")=0,COUNTIF($J$15:$J$93,"◄")&gt;0),"Falta Preencher o Memorial de Cálculo na linha "&amp;MATCH("◄",$J$15:$J$93,0)+ROW($J$14),"")))))</f>
        <v/>
      </c>
      <c r="J12" s="151" t="s">
        <v>764</v>
      </c>
      <c r="K12" s="152" t="s">
        <v>770</v>
      </c>
      <c r="L12" s="151" t="s">
        <v>764</v>
      </c>
      <c r="M12" s="570" cm="1">
        <f t="array" aca="1" ref="M12" ca="1">IF(ACOMPANHAMENTO="BM",0,MAX($M$15:$M$93))</f>
        <v>10</v>
      </c>
      <c r="N12" s="574" t="str">
        <f ca="1">IF(AND(ACOMPANHAMENTO="PLE",CÁLCULO.FrentesPreenchidas=0),"Preencher os nomes das Frentes de Obra ►","FRENTES DE OBRA:")</f>
        <v>FRENTES DE OBRA:</v>
      </c>
      <c r="O12" s="153"/>
      <c r="P12" s="151" t="s">
        <v>764</v>
      </c>
      <c r="Q12" s="452" t="s">
        <v>1019</v>
      </c>
      <c r="R12" s="153" t="s">
        <v>1049</v>
      </c>
      <c r="S12" s="153" t="s">
        <v>1061</v>
      </c>
      <c r="T12" s="520" t="s">
        <v>1084</v>
      </c>
      <c r="U12" s="153" t="s">
        <v>1089</v>
      </c>
      <c r="V12" s="153" t="s">
        <v>1092</v>
      </c>
      <c r="W12" s="153" t="s">
        <v>1097</v>
      </c>
      <c r="X12" s="153" t="s">
        <v>1098</v>
      </c>
      <c r="Y12" s="153" t="s">
        <v>1105</v>
      </c>
      <c r="Z12" s="154" t="s">
        <v>1106</v>
      </c>
      <c r="AA12" s="151" t="s">
        <v>764</v>
      </c>
      <c r="AB12" s="155" t="str">
        <f ca="1">IF(OFFSET($P$1,0,AB$13)=0,0,OFFSET($P$12,0,AB$13))</f>
        <v>PROJETOS</v>
      </c>
      <c r="AC12" s="155" t="str">
        <f t="shared" ref="AC12:AK12" ca="1" si="1">IF(OFFSET($P$1,0,AC$13)=0,0,OFFSET($P$12,0,AC$13))</f>
        <v>SERVIÇOS PRELIMINARES</v>
      </c>
      <c r="AD12" s="155" t="str">
        <f t="shared" ca="1" si="1"/>
        <v>ADM LOCAL</v>
      </c>
      <c r="AE12" s="155" t="str">
        <f t="shared" ca="1" si="1"/>
        <v>PAVIMENTAÇÃO</v>
      </c>
      <c r="AF12" s="155" t="str">
        <f t="shared" ca="1" si="1"/>
        <v>GALPÃO, UNIDADES ADMINISTRATIVAS E ÁREAS DE CONVIVÊNCIA</v>
      </c>
      <c r="AG12" s="155" t="str">
        <f t="shared" ca="1" si="1"/>
        <v>PÁTIO DE COMPOSTAGEM</v>
      </c>
      <c r="AH12" s="155" t="str">
        <f t="shared" ca="1" si="1"/>
        <v>EQUIPAMENTOS</v>
      </c>
      <c r="AI12" s="155" t="str">
        <f t="shared" ca="1" si="1"/>
        <v>SUBESTAÇÃO</v>
      </c>
      <c r="AJ12" s="155" t="str">
        <f t="shared" ca="1" si="1"/>
        <v>POÇO ARTESIANO</v>
      </c>
      <c r="AK12" s="155" t="str">
        <f t="shared" ca="1" si="1"/>
        <v>REDE ELÉTRICA (EXTENSÃO)</v>
      </c>
      <c r="AM12" s="155" t="str">
        <f t="shared" ref="AM12:BG12" ca="1" si="2">IF(OFFSET($P$1,0,AM$13)=0,0,OFFSET($P$12,0,AM$13))</f>
        <v>PROJETOS</v>
      </c>
      <c r="AN12" s="156" t="str">
        <f t="shared" ca="1" si="2"/>
        <v>SERVIÇOS PRELIMINARES</v>
      </c>
      <c r="AO12" s="156" t="str">
        <f t="shared" ca="1" si="2"/>
        <v>ADM LOCAL</v>
      </c>
      <c r="AP12" s="156" t="str">
        <f t="shared" ca="1" si="2"/>
        <v>PAVIMENTAÇÃO</v>
      </c>
      <c r="AQ12" s="156" t="str">
        <f t="shared" ca="1" si="2"/>
        <v>GALPÃO, UNIDADES ADMINISTRATIVAS E ÁREAS DE CONVIVÊNCIA</v>
      </c>
      <c r="AR12" s="156" t="str">
        <f t="shared" ca="1" si="2"/>
        <v>PÁTIO DE COMPOSTAGEM</v>
      </c>
      <c r="AS12" s="156" t="str">
        <f t="shared" ca="1" si="2"/>
        <v>EQUIPAMENTOS</v>
      </c>
      <c r="AT12" s="156" t="str">
        <f t="shared" ca="1" si="2"/>
        <v>SUBESTAÇÃO</v>
      </c>
      <c r="AU12" s="156" t="str">
        <f t="shared" ca="1" si="2"/>
        <v>POÇO ARTESIANO</v>
      </c>
      <c r="AV12" s="157" t="str">
        <f t="shared" ca="1" si="2"/>
        <v>REDE ELÉTRICA (EXTENSÃO)</v>
      </c>
      <c r="AX12" s="155" t="str">
        <f t="shared" ca="1" si="2"/>
        <v>PROJETOS</v>
      </c>
      <c r="AY12" s="156" t="str">
        <f t="shared" ca="1" si="2"/>
        <v>SERVIÇOS PRELIMINARES</v>
      </c>
      <c r="AZ12" s="156" t="str">
        <f t="shared" ca="1" si="2"/>
        <v>ADM LOCAL</v>
      </c>
      <c r="BA12" s="156" t="str">
        <f t="shared" ca="1" si="2"/>
        <v>PAVIMENTAÇÃO</v>
      </c>
      <c r="BB12" s="156" t="str">
        <f t="shared" ca="1" si="2"/>
        <v>GALPÃO, UNIDADES ADMINISTRATIVAS E ÁREAS DE CONVIVÊNCIA</v>
      </c>
      <c r="BC12" s="156" t="str">
        <f t="shared" ca="1" si="2"/>
        <v>PÁTIO DE COMPOSTAGEM</v>
      </c>
      <c r="BD12" s="156" t="str">
        <f t="shared" ca="1" si="2"/>
        <v>EQUIPAMENTOS</v>
      </c>
      <c r="BE12" s="156" t="str">
        <f t="shared" ca="1" si="2"/>
        <v>SUBESTAÇÃO</v>
      </c>
      <c r="BF12" s="156" t="str">
        <f t="shared" ca="1" si="2"/>
        <v>POÇO ARTESIANO</v>
      </c>
      <c r="BG12" s="157" t="str">
        <f t="shared" ca="1" si="2"/>
        <v>REDE ELÉTRICA (EXTENSÃO)</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f ca="1">IFERROR(IF(AUTOEVENTO="Manual",IF(K14&lt;&gt;"",MIN(VALUE(LEFT(K14,FIND(".",K14)-1)),COUNTA(EVENTOS.Lista)),0),IF(OR($B14&gt;AUTOEVENTO,$B14="S",$B14=0),SUBSTITUTE(OFFSET($A14,-1,0),IF($D14="Serviço",".",""),""),$L14&amp;".")),0)</f>
        <v>0</v>
      </c>
      <c r="B14" s="7">
        <f ca="1">OFFSET(ORÇAMENTO!C$15,$L14,0)</f>
        <v>1</v>
      </c>
      <c r="C14" s="7" t="str">
        <f ca="1">OFFSET(ORÇAMENTO!L$15,$L14,0)</f>
        <v>F</v>
      </c>
      <c r="D14" s="116" t="str">
        <f ca="1">OFFSET(ORÇAMENTO!N$15,$L14,0)</f>
        <v>Meta</v>
      </c>
      <c r="E14" s="117" t="str">
        <f ca="1">OFFSET(ORÇAMENTO!O$15,$L14,0)</f>
        <v>1.</v>
      </c>
      <c r="F14" s="163" t="str">
        <f ca="1">OFFSET(ORÇAMENTO!R$15,$L14,0)</f>
        <v>USINA DE TRIAGEM MECANIZADA - ARRANJO BURITIZEIRO/MG</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741" t="str">
        <f>Import.DescLote</f>
        <v>Implantação de uma Usina de Triagem Mecanizada de Resíduos Sólidos em Buritizeiro/MG, que atenderá também as cidades de Várzea da Palma/MG, Lassance/MG e Jequitaí/MG.</v>
      </c>
      <c r="F15" s="741"/>
      <c r="G15" s="741"/>
      <c r="H15" s="741"/>
      <c r="I15" s="469"/>
      <c r="J15" s="522"/>
      <c r="K15" s="633"/>
      <c r="L15" s="165">
        <v>0</v>
      </c>
      <c r="M15" s="568">
        <v>0</v>
      </c>
      <c r="N15" s="173" t="s">
        <v>776</v>
      </c>
      <c r="O15" s="174" t="e">
        <f ca="1">OFFSET($AA$15,0,O$13)</f>
        <v>#VALUE!</v>
      </c>
      <c r="Q15" s="175">
        <f t="shared" ref="Q15:Z15" ca="1" si="5">OFFSET($AA$15,0,Q$13)</f>
        <v>128484.15</v>
      </c>
      <c r="R15" s="174">
        <f t="shared" ca="1" si="5"/>
        <v>545475.67000000004</v>
      </c>
      <c r="S15" s="174">
        <f t="shared" ca="1" si="5"/>
        <v>888262.76</v>
      </c>
      <c r="T15" s="174">
        <f t="shared" ca="1" si="5"/>
        <v>1034244.13</v>
      </c>
      <c r="U15" s="174">
        <f t="shared" ca="1" si="5"/>
        <v>1134801.8</v>
      </c>
      <c r="V15" s="174">
        <f t="shared" ca="1" si="5"/>
        <v>929416.75999999989</v>
      </c>
      <c r="W15" s="174">
        <f t="shared" ca="1" si="5"/>
        <v>654127.98</v>
      </c>
      <c r="X15" s="174">
        <f t="shared" ca="1" si="5"/>
        <v>824963.55</v>
      </c>
      <c r="Y15" s="174">
        <f t="shared" ca="1" si="5"/>
        <v>1052045.21</v>
      </c>
      <c r="Z15" s="176">
        <f t="shared" ca="1" si="5"/>
        <v>14203039.279999999</v>
      </c>
      <c r="AB15" s="177">
        <f ca="1">ROUND(SUM(OFFSET(AB$15,1,0):AB$93),2)</f>
        <v>128484.15</v>
      </c>
      <c r="AC15" s="177">
        <f ca="1">SUM(OFFSET(AC$15,1,0):AC$93)</f>
        <v>545475.67000000004</v>
      </c>
      <c r="AD15" s="177">
        <f ca="1">SUM(OFFSET(AD$15,1,0):AD$93)</f>
        <v>888262.76</v>
      </c>
      <c r="AE15" s="177">
        <f ca="1">SUM(OFFSET(AE$15,1,0):AE$93)</f>
        <v>1034244.13</v>
      </c>
      <c r="AF15" s="177">
        <f ca="1">SUM(OFFSET(AF$15,1,0):AF$93)</f>
        <v>1134801.8</v>
      </c>
      <c r="AG15" s="177">
        <f ca="1">SUM(OFFSET(AG$15,1,0):AG$93)</f>
        <v>929416.75999999989</v>
      </c>
      <c r="AH15" s="177">
        <f ca="1">SUM(OFFSET(AH$15,1,0):AH$93)</f>
        <v>654127.98</v>
      </c>
      <c r="AI15" s="177">
        <f ca="1">SUM(OFFSET(AI$15,1,0):AI$93)</f>
        <v>824963.55</v>
      </c>
      <c r="AJ15" s="177">
        <f ca="1">SUM(OFFSET(AJ$15,1,0):AJ$93)</f>
        <v>1052045.21</v>
      </c>
      <c r="AK15" s="177">
        <f ca="1">SUM(OFFSET(AK$15,1,0):AK$93)</f>
        <v>14203039.279999999</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2.75" x14ac:dyDescent="0.2">
      <c r="A16" s="7">
        <f t="shared" ref="A16:A79" ca="1" si="8">IFERROR(IF(AUTOEVENTO="Manual",IF(K16&lt;&gt;"",MIN(VALUE(LEFT(K16,FIND(".",K16)-1)),COUNTA(EVENTOS.Lista)),0),IF(OR($B16&gt;AUTOEVENTO,$B16="S",$B16=0),SUBSTITUTE(OFFSET($A16,-1,0),IF($D16="Serviço",".",""),""),$L16&amp;".")),0)</f>
        <v>0</v>
      </c>
      <c r="B16" s="7">
        <f ca="1">OFFSET(ORÇAMENTO!C$15,$L16,0)</f>
        <v>1</v>
      </c>
      <c r="C16" s="7" t="str">
        <f ca="1">OFFSET(ORÇAMENTO!L$15,$L16,0)</f>
        <v>F</v>
      </c>
      <c r="D16" s="116" t="str">
        <f ca="1">OFFSET(ORÇAMENTO!N$15,$L16,0)</f>
        <v>Meta</v>
      </c>
      <c r="E16" s="117" t="str">
        <f ca="1">OFFSET(ORÇAMENTO!O$15,$L16,0)</f>
        <v>1.</v>
      </c>
      <c r="F16" s="163" t="str">
        <f ca="1">OFFSET(ORÇAMENTO!R$15,$L16,0)</f>
        <v>USINA DE TRIAGEM MECANIZADA - ARRANJO BURITIZEIRO/MG</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79"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2.75" x14ac:dyDescent="0.2">
      <c r="A17" s="7">
        <f t="shared" ca="1" si="8"/>
        <v>1</v>
      </c>
      <c r="B17" s="7">
        <f ca="1">OFFSET(ORÇAMENTO!C$15,$L17,0)</f>
        <v>2</v>
      </c>
      <c r="C17" s="7" t="str">
        <f ca="1">OFFSET(ORÇAMENTO!L$15,$L17,0)</f>
        <v>F</v>
      </c>
      <c r="D17" s="116" t="str">
        <f ca="1">OFFSET(ORÇAMENTO!N$15,$L17,0)</f>
        <v>Nível 2</v>
      </c>
      <c r="E17" s="117" t="str">
        <f ca="1">OFFSET(ORÇAMENTO!O$15,$L17,0)</f>
        <v>1.1.</v>
      </c>
      <c r="F17" s="163" t="str">
        <f ca="1">OFFSET(ORÇAMENTO!R$15,$L17,0)</f>
        <v>PROJETOS</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t="s">
        <v>1015</v>
      </c>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12.75" x14ac:dyDescent="0.2">
      <c r="A18" s="7">
        <f ca="1">IFERROR(IF(AUTOEVENTO="Manual",IF(K18&lt;&gt;"",MIN(VALUE(LEFT(K18,FIND(".",K18)-1)),COUNTA(EVENTOS.Lista)),0),IF(OR($B18&gt;AUTOEVENTO,$B18="S",$B18=0),SUBSTITUTE(OFFSET($A18,-1,0),IF($D18="Serviço",".",""),""),$L18&amp;".")),0)</f>
        <v>0</v>
      </c>
      <c r="B18" s="7">
        <f ca="1">OFFSET(ORÇAMENTO!C$15,$L18,0)</f>
        <v>3</v>
      </c>
      <c r="C18" s="7" t="str">
        <f ca="1">OFFSET(ORÇAMENTO!L$15,$L18,0)</f>
        <v>F</v>
      </c>
      <c r="D18" s="116" t="str">
        <f ca="1">OFFSET(ORÇAMENTO!N$15,$L18,0)</f>
        <v>Nível 3</v>
      </c>
      <c r="E18" s="117" t="str">
        <f ca="1">OFFSET(ORÇAMENTO!O$15,$L18,0)</f>
        <v>1.1.1.</v>
      </c>
      <c r="F18" s="163" t="str">
        <f ca="1">OFFSET(ORÇAMENTO!R$15,$L18,0)</f>
        <v>Elaboração de estudos e projetos do empreendimento</v>
      </c>
      <c r="G18" s="164" t="str">
        <f ca="1">IF($D18&lt;&gt;"Serviço","",OFFSET(ORÇAMENTO!S$15,$L18,0))</f>
        <v/>
      </c>
      <c r="H18" s="122" cm="1">
        <f t="array" aca="1" ref="H18" ca="1">IF($D18&lt;&gt;"Serviço",0,IF(ACOMPANHAMENTO="BM",ROUND(OFFSET(ORÇAMENTO!AJ$15,$L18,0),15-13*ORÇAMENTO!$AF$7),IF(IFERROR(CÁLCULO.FrentesPreenchidas,0)=0,0,SUM(ROUND(OFFSET($P18,0,1,1,CÁLCULO.FrentesPreenchidas),15-13*ORÇAMENTO!$AF$7)))))</f>
        <v>0</v>
      </c>
      <c r="I18" s="468"/>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c r="L18" s="165">
        <f ca="1">OFFSET(L18,-1,0)+1</f>
        <v>3</v>
      </c>
      <c r="M18" s="166" t="str">
        <f ca="1">IF($D18&lt;&gt;"Serviço","",
          IF(AUTOEVENTO="manual",$A18,
                IF(ISERROR(MATCH($A18,$A$15:OFFSET($A18,-1,0),0)),MAX($M$15:OFFSET(M18,-1,0))+1,
                      INDEX($M$15:OFFSET(M18,-1,0),MATCH($A18,$A$15:OFFSET($A18,-1,0),0)))))</f>
        <v/>
      </c>
      <c r="N18" s="167" t="str">
        <f ca="1">IF($D18&lt;&gt;"Serviço","",
         IF(AUTOEVENTO="Manual",
                IF($A18=0,"&lt;-- defina o número do agrupador",
                       OFFSET(EVENTOS!$D$15,$A18-$A$15,0)),
                OFFSET($F$15,$A18,0)))</f>
        <v/>
      </c>
      <c r="O18" s="168"/>
      <c r="Q18" s="168"/>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0</v>
      </c>
      <c r="AN18" s="171">
        <f ca="1">IF(OR($D18&lt;&gt;"Serviço",AND(AUTOEVENTO="Manual",$M18=$A$15)),0,
         IF(OFFSET(CRONOPLE!$F$15,$M18-$A$15,AN$13)=0,10^12,OFFSET(CRONOPLE!$F$15,$M18-$A$15,AN$13)))</f>
        <v>0</v>
      </c>
      <c r="AO18" s="171">
        <f ca="1">IF(OR($D18&lt;&gt;"Serviço",AND(AUTOEVENTO="Manual",$M18=$A$15)),0,
         IF(OFFSET(CRONOPLE!$F$15,$M18-$A$15,AO$13)=0,10^12,OFFSET(CRONOPLE!$F$15,$M18-$A$15,AO$13)))</f>
        <v>0</v>
      </c>
      <c r="AP18" s="171">
        <f ca="1">IF(OR($D18&lt;&gt;"Serviço",AND(AUTOEVENTO="Manual",$M18=$A$15)),0,
         IF(OFFSET(CRONOPLE!$F$15,$M18-$A$15,AP$13)=0,10^12,OFFSET(CRONOPLE!$F$15,$M18-$A$15,AP$13)))</f>
        <v>0</v>
      </c>
      <c r="AQ18" s="171">
        <f ca="1">IF(OR($D18&lt;&gt;"Serviço",AND(AUTOEVENTO="Manual",$M18=$A$15)),0,
         IF(OFFSET(CRONOPLE!$F$15,$M18-$A$15,AQ$13)=0,10^12,OFFSET(CRONOPLE!$F$15,$M18-$A$15,AQ$13)))</f>
        <v>0</v>
      </c>
      <c r="AR18" s="171">
        <f ca="1">IF(OR($D18&lt;&gt;"Serviço",AND(AUTOEVENTO="Manual",$M18=$A$15)),0,
         IF(OFFSET(CRONOPLE!$F$15,$M18-$A$15,AR$13)=0,10^12,OFFSET(CRONOPLE!$F$15,$M18-$A$15,AR$13)))</f>
        <v>0</v>
      </c>
      <c r="AS18" s="171">
        <f ca="1">IF(OR($D18&lt;&gt;"Serviço",AND(AUTOEVENTO="Manual",$M18=$A$15)),0,
         IF(OFFSET(CRONOPLE!$F$15,$M18-$A$15,AS$13)=0,10^12,OFFSET(CRONOPLE!$F$15,$M18-$A$15,AS$13)))</f>
        <v>0</v>
      </c>
      <c r="AT18" s="171">
        <f ca="1">IF(OR($D18&lt;&gt;"Serviço",AND(AUTOEVENTO="Manual",$M18=$A$15)),0,
         IF(OFFSET(CRONOPLE!$F$15,$M18-$A$15,AT$13)=0,10^12,OFFSET(CRONOPLE!$F$15,$M18-$A$15,AT$13)))</f>
        <v>0</v>
      </c>
      <c r="AU18" s="171">
        <f ca="1">IF(OR($D18&lt;&gt;"Serviço",AND(AUTOEVENTO="Manual",$M18=$A$15)),0,
         IF(OFFSET(CRONOPLE!$F$15,$M18-$A$15,AU$13)=0,10^12,OFFSET(CRONOPLE!$F$15,$M18-$A$15,AU$13)))</f>
        <v>0</v>
      </c>
      <c r="AV18" s="171">
        <f ca="1">IF(OR($D18&lt;&gt;"Serviço",AND(AUTOEVENTO="Manual",$M18=$A$15)),0,
         IF(OFFSET(CRONOPLE!$F$15,$M18-$A$15,AV$13)=0,10^12,OFFSET(CRONOPLE!$F$15,$M18-$A$15,AV$13)))</f>
        <v>0</v>
      </c>
      <c r="AX18" s="172" cm="1">
        <f t="array" aca="1" ref="AX18" ca="1">IF(OR($D18&lt;&gt;"Serviço",AND(AUTOEVENTO="Manual",$M18=$A$15),$M18&gt;(ROW(PLE.lastrow)-ROW(PLE.firstrow))),0,
           IF(OFFSET(PLE!$G$15,$M18-$A$15,AX$13)="",10^12,OFFSET(PLE!$G$15,$M18-$A$15,AX$13)))</f>
        <v>0</v>
      </c>
      <c r="AY18" s="172" cm="1">
        <f t="array" aca="1" ref="AY18" ca="1">IF(OR($D18&lt;&gt;"Serviço",AND(AUTOEVENTO="Manual",$M18=$A$15),$M18&gt;(ROW(PLE.lastrow)-ROW(PLE.firstrow))),0,
           IF(OFFSET(PLE!$G$15,$M18-$A$15,AY$13)="",10^12,OFFSET(PLE!$G$15,$M18-$A$15,AY$13)))</f>
        <v>0</v>
      </c>
      <c r="AZ18" s="172" cm="1">
        <f t="array" aca="1" ref="AZ18" ca="1">IF(OR($D18&lt;&gt;"Serviço",AND(AUTOEVENTO="Manual",$M18=$A$15),$M18&gt;(ROW(PLE.lastrow)-ROW(PLE.firstrow))),0,
           IF(OFFSET(PLE!$G$15,$M18-$A$15,AZ$13)="",10^12,OFFSET(PLE!$G$15,$M18-$A$15,AZ$13)))</f>
        <v>0</v>
      </c>
      <c r="BA18" s="172" cm="1">
        <f t="array" aca="1" ref="BA18" ca="1">IF(OR($D18&lt;&gt;"Serviço",AND(AUTOEVENTO="Manual",$M18=$A$15),$M18&gt;(ROW(PLE.lastrow)-ROW(PLE.firstrow))),0,
           IF(OFFSET(PLE!$G$15,$M18-$A$15,BA$13)="",10^12,OFFSET(PLE!$G$15,$M18-$A$15,BA$13)))</f>
        <v>0</v>
      </c>
      <c r="BB18" s="172" cm="1">
        <f t="array" aca="1" ref="BB18" ca="1">IF(OR($D18&lt;&gt;"Serviço",AND(AUTOEVENTO="Manual",$M18=$A$15),$M18&gt;(ROW(PLE.lastrow)-ROW(PLE.firstrow))),0,
           IF(OFFSET(PLE!$G$15,$M18-$A$15,BB$13)="",10^12,OFFSET(PLE!$G$15,$M18-$A$15,BB$13)))</f>
        <v>0</v>
      </c>
      <c r="BC18" s="172" cm="1">
        <f t="array" aca="1" ref="BC18" ca="1">IF(OR($D18&lt;&gt;"Serviço",AND(AUTOEVENTO="Manual",$M18=$A$15),$M18&gt;(ROW(PLE.lastrow)-ROW(PLE.firstrow))),0,
           IF(OFFSET(PLE!$G$15,$M18-$A$15,BC$13)="",10^12,OFFSET(PLE!$G$15,$M18-$A$15,BC$13)))</f>
        <v>0</v>
      </c>
      <c r="BD18" s="172" cm="1">
        <f t="array" aca="1" ref="BD18" ca="1">IF(OR($D18&lt;&gt;"Serviço",AND(AUTOEVENTO="Manual",$M18=$A$15),$M18&gt;(ROW(PLE.lastrow)-ROW(PLE.firstrow))),0,
           IF(OFFSET(PLE!$G$15,$M18-$A$15,BD$13)="",10^12,OFFSET(PLE!$G$15,$M18-$A$15,BD$13)))</f>
        <v>0</v>
      </c>
      <c r="BE18" s="172" cm="1">
        <f t="array" aca="1" ref="BE18" ca="1">IF(OR($D18&lt;&gt;"Serviço",AND(AUTOEVENTO="Manual",$M18=$A$15),$M18&gt;(ROW(PLE.lastrow)-ROW(PLE.firstrow))),0,
           IF(OFFSET(PLE!$G$15,$M18-$A$15,BE$13)="",10^12,OFFSET(PLE!$G$15,$M18-$A$15,BE$13)))</f>
        <v>0</v>
      </c>
      <c r="BF18" s="172" cm="1">
        <f t="array" aca="1" ref="BF18" ca="1">IF(OR($D18&lt;&gt;"Serviço",AND(AUTOEVENTO="Manual",$M18=$A$15),$M18&gt;(ROW(PLE.lastrow)-ROW(PLE.firstrow))),0,
           IF(OFFSET(PLE!$G$15,$M18-$A$15,BF$13)="",10^12,OFFSET(PLE!$G$15,$M18-$A$15,BF$13)))</f>
        <v>0</v>
      </c>
      <c r="BG18" s="172" cm="1">
        <f t="array" aca="1" ref="BG18" ca="1">IF(OR($D18&lt;&gt;"Serviço",AND(AUTOEVENTO="Manual",$M18=$A$15),$M18&gt;(ROW(PLE.lastrow)-ROW(PLE.firstrow))),0,
           IF(OFFSET(PLE!$G$15,$M18-$A$15,BG$13)="",10^12,OFFSET(PLE!$G$15,$M18-$A$15,BG$13)))</f>
        <v>0</v>
      </c>
    </row>
    <row r="19" spans="1:59" ht="25.5" x14ac:dyDescent="0.2">
      <c r="A19" s="7">
        <f t="shared" ca="1" si="8"/>
        <v>1</v>
      </c>
      <c r="B19" s="7" t="str">
        <f ca="1">OFFSET(ORÇAMENTO!C$15,$L19,0)</f>
        <v>S</v>
      </c>
      <c r="C19" s="7" t="str">
        <f ca="1">OFFSET(ORÇAMENTO!L$15,$L19,0)</f>
        <v>F</v>
      </c>
      <c r="D19" s="116" t="str">
        <f ca="1">OFFSET(ORÇAMENTO!N$15,$L19,0)</f>
        <v>Serviço</v>
      </c>
      <c r="E19" s="117" t="str">
        <f ca="1">OFFSET(ORÇAMENTO!O$15,$L19,0)</f>
        <v>1.1.1.1.</v>
      </c>
      <c r="F19" s="163" t="str">
        <f ca="1">OFFSET(ORÇAMENTO!R$15,$L19,0)</f>
        <v>(Código não identificado nas referências)</v>
      </c>
      <c r="G19" s="164" t="str">
        <f ca="1">IF($D19&lt;&gt;"Serviço","",OFFSET(ORÇAMENTO!S$15,$L19,0))</f>
        <v>H</v>
      </c>
      <c r="H19" s="122" cm="1">
        <f t="array" aca="1" ref="H19" ca="1">IF($D19&lt;&gt;"Serviço",0,IF(ACOMPANHAMENTO="BM",ROUND(OFFSET(ORÇAMENTO!AJ$15,$L19,0),15-13*ORÇAMENTO!$AF$7),IF(IFERROR(CÁLCULO.FrentesPreenchidas,0)=0,0,SUM(ROUND(OFFSET($P19,0,1,1,CÁLCULO.FrentesPreenchidas),15-13*ORÇAMENTO!$AF$7)))))</f>
        <v>32</v>
      </c>
      <c r="I19" s="468" t="s">
        <v>1041</v>
      </c>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t="s">
        <v>1015</v>
      </c>
      <c r="L19" s="165">
        <f t="shared" ca="1" si="9"/>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PROJETOS</v>
      </c>
      <c r="O19" s="168"/>
      <c r="Q19" s="168">
        <v>16</v>
      </c>
      <c r="R19" s="169">
        <v>16</v>
      </c>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3772</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3772</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v>
      </c>
      <c r="AN19" s="171">
        <f ca="1">IF(OR($D19&lt;&gt;"Serviço",AND(AUTOEVENTO="Manual",$M19=$A$15)),0,
         IF(OFFSET(CRONOPLE!$F$15,$M19-$A$15,AN$13)=0,10^12,OFFSET(CRONOPLE!$F$15,$M19-$A$15,AN$13)))</f>
        <v>2</v>
      </c>
      <c r="AO19" s="171">
        <f ca="1">IF(OR($D19&lt;&gt;"Serviço",AND(AUTOEVENTO="Manual",$M19=$A$15)),0,
         IF(OFFSET(CRONOPLE!$F$15,$M19-$A$15,AO$13)=0,10^12,OFFSET(CRONOPLE!$F$15,$M19-$A$15,AO$13)))</f>
        <v>3</v>
      </c>
      <c r="AP19" s="171">
        <f ca="1">IF(OR($D19&lt;&gt;"Serviço",AND(AUTOEVENTO="Manual",$M19=$A$15)),0,
         IF(OFFSET(CRONOPLE!$F$15,$M19-$A$15,AP$13)=0,10^12,OFFSET(CRONOPLE!$F$15,$M19-$A$15,AP$13)))</f>
        <v>4</v>
      </c>
      <c r="AQ19" s="171">
        <f ca="1">IF(OR($D19&lt;&gt;"Serviço",AND(AUTOEVENTO="Manual",$M19=$A$15)),0,
         IF(OFFSET(CRONOPLE!$F$15,$M19-$A$15,AQ$13)=0,10^12,OFFSET(CRONOPLE!$F$15,$M19-$A$15,AQ$13)))</f>
        <v>5</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ht="25.5" x14ac:dyDescent="0.2">
      <c r="A20" s="7">
        <f t="shared" ca="1" si="8"/>
        <v>1</v>
      </c>
      <c r="B20" s="7" t="str">
        <f ca="1">OFFSET(ORÇAMENTO!C$15,$L20,0)</f>
        <v>S</v>
      </c>
      <c r="C20" s="7" t="str">
        <f ca="1">OFFSET(ORÇAMENTO!L$15,$L20,0)</f>
        <v>F</v>
      </c>
      <c r="D20" s="116" t="str">
        <f ca="1">OFFSET(ORÇAMENTO!N$15,$L20,0)</f>
        <v>Serviço</v>
      </c>
      <c r="E20" s="117" t="str">
        <f ca="1">OFFSET(ORÇAMENTO!O$15,$L20,0)</f>
        <v>1.1.1.2.</v>
      </c>
      <c r="F20" s="163" t="str">
        <f ca="1">OFFSET(ORÇAMENTO!R$15,$L20,0)</f>
        <v>(Código não identificado nas referências)</v>
      </c>
      <c r="G20" s="164" t="str">
        <f ca="1">IF($D20&lt;&gt;"Serviço","",OFFSET(ORÇAMENTO!S$15,$L20,0))</f>
        <v>M2</v>
      </c>
      <c r="H20" s="122" cm="1">
        <f t="array" aca="1" ref="H20" ca="1">IF($D20&lt;&gt;"Serviço",0,IF(ACOMPANHAMENTO="BM",ROUND(OFFSET(ORÇAMENTO!AJ$15,$L20,0),15-13*ORÇAMENTO!$AF$7),IF(IFERROR(CÁLCULO.FrentesPreenchidas,0)=0,0,SUM(ROUND(OFFSET($P20,0,1,1,CÁLCULO.FrentesPreenchidas),15-13*ORÇAMENTO!$AF$7)))))</f>
        <v>15000</v>
      </c>
      <c r="I20" s="468" t="s">
        <v>1114</v>
      </c>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t="s">
        <v>1048</v>
      </c>
      <c r="L20" s="165">
        <f t="shared" ca="1" si="9"/>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PROJETOS</v>
      </c>
      <c r="O20" s="168"/>
      <c r="Q20" s="168">
        <v>15000</v>
      </c>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8400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v>
      </c>
      <c r="AN20" s="171">
        <f ca="1">IF(OR($D20&lt;&gt;"Serviço",AND(AUTOEVENTO="Manual",$M20=$A$15)),0,
         IF(OFFSET(CRONOPLE!$F$15,$M20-$A$15,AN$13)=0,10^12,OFFSET(CRONOPLE!$F$15,$M20-$A$15,AN$13)))</f>
        <v>2</v>
      </c>
      <c r="AO20" s="171">
        <f ca="1">IF(OR($D20&lt;&gt;"Serviço",AND(AUTOEVENTO="Manual",$M20=$A$15)),0,
         IF(OFFSET(CRONOPLE!$F$15,$M20-$A$15,AO$13)=0,10^12,OFFSET(CRONOPLE!$F$15,$M20-$A$15,AO$13)))</f>
        <v>3</v>
      </c>
      <c r="AP20" s="171">
        <f ca="1">IF(OR($D20&lt;&gt;"Serviço",AND(AUTOEVENTO="Manual",$M20=$A$15)),0,
         IF(OFFSET(CRONOPLE!$F$15,$M20-$A$15,AP$13)=0,10^12,OFFSET(CRONOPLE!$F$15,$M20-$A$15,AP$13)))</f>
        <v>4</v>
      </c>
      <c r="AQ20" s="171">
        <f ca="1">IF(OR($D20&lt;&gt;"Serviço",AND(AUTOEVENTO="Manual",$M20=$A$15)),0,
         IF(OFFSET(CRONOPLE!$F$15,$M20-$A$15,AQ$13)=0,10^12,OFFSET(CRONOPLE!$F$15,$M20-$A$15,AQ$13)))</f>
        <v>5</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ht="12.75" x14ac:dyDescent="0.2">
      <c r="A21" s="7">
        <f t="shared" ca="1" si="8"/>
        <v>1</v>
      </c>
      <c r="B21" s="7" t="str">
        <f ca="1">OFFSET(ORÇAMENTO!C$15,$L21,0)</f>
        <v>S</v>
      </c>
      <c r="C21" s="7" t="str">
        <f ca="1">OFFSET(ORÇAMENTO!L$15,$L21,0)</f>
        <v>F</v>
      </c>
      <c r="D21" s="116" t="str">
        <f ca="1">OFFSET(ORÇAMENTO!N$15,$L21,0)</f>
        <v>Serviço</v>
      </c>
      <c r="E21" s="117" t="str">
        <f ca="1">OFFSET(ORÇAMENTO!O$15,$L21,0)</f>
        <v>1.1.1.3.</v>
      </c>
      <c r="F21" s="163" t="str">
        <f ca="1">OFFSET(ORÇAMENTO!R$15,$L21,0)</f>
        <v>(Código não identificado nas referências)</v>
      </c>
      <c r="G21" s="164" t="str">
        <f ca="1">IF($D21&lt;&gt;"Serviço","",OFFSET(ORÇAMENTO!S$15,$L21,0))</f>
        <v>UN</v>
      </c>
      <c r="H21" s="122" cm="1">
        <f t="array" aca="1" ref="H21" ca="1">IF($D21&lt;&gt;"Serviço",0,IF(ACOMPANHAMENTO="BM",ROUND(OFFSET(ORÇAMENTO!AJ$15,$L21,0),15-13*ORÇAMENTO!$AF$7),IF(IFERROR(CÁLCULO.FrentesPreenchidas,0)=0,0,SUM(ROUND(OFFSET($P21,0,1,1,CÁLCULO.FrentesPreenchidas),15-13*ORÇAMENTO!$AF$7)))))</f>
        <v>1</v>
      </c>
      <c r="I21" s="468" t="s">
        <v>1042</v>
      </c>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t="s">
        <v>1048</v>
      </c>
      <c r="L21" s="165">
        <f t="shared" ca="1" si="9"/>
        <v>6</v>
      </c>
      <c r="M21" s="166">
        <f ca="1">IF($D21&lt;&gt;"Serviço","",
          IF(AUTOEVENTO="manual",$A21,
                IF(ISERROR(MATCH($A21,$A$15:OFFSET($A21,-1,0),0)),MAX($M$15:OFFSET(M21,-1,0))+1,
                      INDEX($M$15:OFFSET(M21,-1,0),MATCH($A21,$A$15:OFFSET($A21,-1,0),0)))))</f>
        <v>1</v>
      </c>
      <c r="N21" s="167" t="str">
        <f ca="1">IF($D21&lt;&gt;"Serviço","",
         IF(AUTOEVENTO="Manual",
                IF($A21=0,"&lt;-- defina o número do agrupador",
                       OFFSET(EVENTOS!$D$15,$A21-$A$15,0)),
                OFFSET($F$15,$A21,0)))</f>
        <v>PROJETOS</v>
      </c>
      <c r="O21" s="168"/>
      <c r="Q21" s="168">
        <v>1</v>
      </c>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16965.95</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v>
      </c>
      <c r="AN21" s="171">
        <f ca="1">IF(OR($D21&lt;&gt;"Serviço",AND(AUTOEVENTO="Manual",$M21=$A$15)),0,
         IF(OFFSET(CRONOPLE!$F$15,$M21-$A$15,AN$13)=0,10^12,OFFSET(CRONOPLE!$F$15,$M21-$A$15,AN$13)))</f>
        <v>2</v>
      </c>
      <c r="AO21" s="171">
        <f ca="1">IF(OR($D21&lt;&gt;"Serviço",AND(AUTOEVENTO="Manual",$M21=$A$15)),0,
         IF(OFFSET(CRONOPLE!$F$15,$M21-$A$15,AO$13)=0,10^12,OFFSET(CRONOPLE!$F$15,$M21-$A$15,AO$13)))</f>
        <v>3</v>
      </c>
      <c r="AP21" s="171">
        <f ca="1">IF(OR($D21&lt;&gt;"Serviço",AND(AUTOEVENTO="Manual",$M21=$A$15)),0,
         IF(OFFSET(CRONOPLE!$F$15,$M21-$A$15,AP$13)=0,10^12,OFFSET(CRONOPLE!$F$15,$M21-$A$15,AP$13)))</f>
        <v>4</v>
      </c>
      <c r="AQ21" s="171">
        <f ca="1">IF(OR($D21&lt;&gt;"Serviço",AND(AUTOEVENTO="Manual",$M21=$A$15)),0,
         IF(OFFSET(CRONOPLE!$F$15,$M21-$A$15,AQ$13)=0,10^12,OFFSET(CRONOPLE!$F$15,$M21-$A$15,AQ$13)))</f>
        <v>5</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cm="1">
        <f t="array" aca="1" ref="AX21" ca="1">IF(OR($D21&lt;&gt;"Serviço",AND(AUTOEVENTO="Manual",$M21=$A$15),$M21&gt;(ROW(PLE.lastrow)-ROW(PLE.firstrow))),0,
           IF(OFFSET(PLE!$G$15,$M21-$A$15,AX$13)="",10^12,OFFSET(PLE!$G$15,$M21-$A$15,AX$13)))</f>
        <v>1000000000000</v>
      </c>
      <c r="AY21" s="172" cm="1">
        <f t="array" aca="1" ref="AY21" ca="1">IF(OR($D21&lt;&gt;"Serviço",AND(AUTOEVENTO="Manual",$M21=$A$15),$M21&gt;(ROW(PLE.lastrow)-ROW(PLE.firstrow))),0,
           IF(OFFSET(PLE!$G$15,$M21-$A$15,AY$13)="",10^12,OFFSET(PLE!$G$15,$M21-$A$15,AY$13)))</f>
        <v>1000000000000</v>
      </c>
      <c r="AZ21" s="172" cm="1">
        <f t="array" aca="1" ref="AZ21" ca="1">IF(OR($D21&lt;&gt;"Serviço",AND(AUTOEVENTO="Manual",$M21=$A$15),$M21&gt;(ROW(PLE.lastrow)-ROW(PLE.firstrow))),0,
           IF(OFFSET(PLE!$G$15,$M21-$A$15,AZ$13)="",10^12,OFFSET(PLE!$G$15,$M21-$A$15,AZ$13)))</f>
        <v>1000000000000</v>
      </c>
      <c r="BA21" s="172" cm="1">
        <f t="array" aca="1" ref="BA21" ca="1">IF(OR($D21&lt;&gt;"Serviço",AND(AUTOEVENTO="Manual",$M21=$A$15),$M21&gt;(ROW(PLE.lastrow)-ROW(PLE.firstrow))),0,
           IF(OFFSET(PLE!$G$15,$M21-$A$15,BA$13)="",10^12,OFFSET(PLE!$G$15,$M21-$A$15,BA$13)))</f>
        <v>1000000000000</v>
      </c>
      <c r="BB21" s="172" cm="1">
        <f t="array" aca="1" ref="BB21" ca="1">IF(OR($D21&lt;&gt;"Serviço",AND(AUTOEVENTO="Manual",$M21=$A$15),$M21&gt;(ROW(PLE.lastrow)-ROW(PLE.firstrow))),0,
           IF(OFFSET(PLE!$G$15,$M21-$A$15,BB$13)="",10^12,OFFSET(PLE!$G$15,$M21-$A$15,BB$13)))</f>
        <v>1000000000000</v>
      </c>
      <c r="BC21" s="172" cm="1">
        <f t="array" aca="1" ref="BC21" ca="1">IF(OR($D21&lt;&gt;"Serviço",AND(AUTOEVENTO="Manual",$M21=$A$15),$M21&gt;(ROW(PLE.lastrow)-ROW(PLE.firstrow))),0,
           IF(OFFSET(PLE!$G$15,$M21-$A$15,BC$13)="",10^12,OFFSET(PLE!$G$15,$M21-$A$15,BC$13)))</f>
        <v>1000000000000</v>
      </c>
      <c r="BD21" s="172" cm="1">
        <f t="array" aca="1" ref="BD21" ca="1">IF(OR($D21&lt;&gt;"Serviço",AND(AUTOEVENTO="Manual",$M21=$A$15),$M21&gt;(ROW(PLE.lastrow)-ROW(PLE.firstrow))),0,
           IF(OFFSET(PLE!$G$15,$M21-$A$15,BD$13)="",10^12,OFFSET(PLE!$G$15,$M21-$A$15,BD$13)))</f>
        <v>1000000000000</v>
      </c>
      <c r="BE21" s="172" cm="1">
        <f t="array" aca="1" ref="BE21" ca="1">IF(OR($D21&lt;&gt;"Serviço",AND(AUTOEVENTO="Manual",$M21=$A$15),$M21&gt;(ROW(PLE.lastrow)-ROW(PLE.firstrow))),0,
           IF(OFFSET(PLE!$G$15,$M21-$A$15,BE$13)="",10^12,OFFSET(PLE!$G$15,$M21-$A$15,BE$13)))</f>
        <v>1000000000000</v>
      </c>
      <c r="BF21" s="172" cm="1">
        <f t="array" aca="1" ref="BF21" ca="1">IF(OR($D21&lt;&gt;"Serviço",AND(AUTOEVENTO="Manual",$M21=$A$15),$M21&gt;(ROW(PLE.lastrow)-ROW(PLE.firstrow))),0,
           IF(OFFSET(PLE!$G$15,$M21-$A$15,BF$13)="",10^12,OFFSET(PLE!$G$15,$M21-$A$15,BF$13)))</f>
        <v>1000000000000</v>
      </c>
      <c r="BG21" s="172" cm="1">
        <f t="array" aca="1" ref="BG21" ca="1">IF(OR($D21&lt;&gt;"Serviço",AND(AUTOEVENTO="Manual",$M21=$A$15),$M21&gt;(ROW(PLE.lastrow)-ROW(PLE.firstrow))),0,
           IF(OFFSET(PLE!$G$15,$M21-$A$15,BG$13)="",10^12,OFFSET(PLE!$G$15,$M21-$A$15,BG$13)))</f>
        <v>1000000000000</v>
      </c>
    </row>
    <row r="22" spans="1:59" ht="12.75" x14ac:dyDescent="0.2">
      <c r="A22" s="7">
        <f t="shared" ca="1" si="8"/>
        <v>1</v>
      </c>
      <c r="B22" s="7" t="str">
        <f ca="1">OFFSET(ORÇAMENTO!C$15,$L22,0)</f>
        <v>S</v>
      </c>
      <c r="C22" s="7" t="str">
        <f ca="1">OFFSET(ORÇAMENTO!L$15,$L22,0)</f>
        <v>F</v>
      </c>
      <c r="D22" s="116" t="str">
        <f ca="1">OFFSET(ORÇAMENTO!N$15,$L22,0)</f>
        <v>Serviço</v>
      </c>
      <c r="E22" s="117" t="str">
        <f ca="1">OFFSET(ORÇAMENTO!O$15,$L22,0)</f>
        <v>1.1.1.4.</v>
      </c>
      <c r="F22" s="163" t="str">
        <f ca="1">OFFSET(ORÇAMENTO!R$15,$L22,0)</f>
        <v>(Código não identificado nas referências)</v>
      </c>
      <c r="G22" s="164" t="str">
        <f ca="1">IF($D22&lt;&gt;"Serviço","",OFFSET(ORÇAMENTO!S$15,$L22,0))</f>
        <v>UN</v>
      </c>
      <c r="H22" s="122" cm="1">
        <f t="array" aca="1" ref="H22" ca="1">IF($D22&lt;&gt;"Serviço",0,IF(ACOMPANHAMENTO="BM",ROUND(OFFSET(ORÇAMENTO!AJ$15,$L22,0),15-13*ORÇAMENTO!$AF$7),IF(IFERROR(CÁLCULO.FrentesPreenchidas,0)=0,0,SUM(ROUND(OFFSET($P22,0,1,1,CÁLCULO.FrentesPreenchidas),15-13*ORÇAMENTO!$AF$7)))))</f>
        <v>6</v>
      </c>
      <c r="I22" s="468" t="s">
        <v>1043</v>
      </c>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t="s">
        <v>1048</v>
      </c>
      <c r="L22" s="165">
        <f t="shared" ca="1" si="9"/>
        <v>7</v>
      </c>
      <c r="M22" s="166">
        <f ca="1">IF($D22&lt;&gt;"Serviço","",
          IF(AUTOEVENTO="manual",$A22,
                IF(ISERROR(MATCH($A22,$A$15:OFFSET($A22,-1,0),0)),MAX($M$15:OFFSET(M22,-1,0))+1,
                      INDEX($M$15:OFFSET(M22,-1,0),MATCH($A22,$A$15:OFFSET($A22,-1,0),0)))))</f>
        <v>1</v>
      </c>
      <c r="N22" s="167" t="str">
        <f ca="1">IF($D22&lt;&gt;"Serviço","",
         IF(AUTOEVENTO="Manual",
                IF($A22=0,"&lt;-- defina o número do agrupador",
                       OFFSET(EVENTOS!$D$15,$A22-$A$15,0)),
                OFFSET($F$15,$A22,0)))</f>
        <v>PROJETOS</v>
      </c>
      <c r="O22" s="168"/>
      <c r="Q22" s="168">
        <v>1.5</v>
      </c>
      <c r="R22" s="169">
        <v>1.5</v>
      </c>
      <c r="S22" s="169">
        <v>3</v>
      </c>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3783.95</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3783.95</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7567.89</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v>
      </c>
      <c r="AN22" s="171">
        <f ca="1">IF(OR($D22&lt;&gt;"Serviço",AND(AUTOEVENTO="Manual",$M22=$A$15)),0,
         IF(OFFSET(CRONOPLE!$F$15,$M22-$A$15,AN$13)=0,10^12,OFFSET(CRONOPLE!$F$15,$M22-$A$15,AN$13)))</f>
        <v>2</v>
      </c>
      <c r="AO22" s="171">
        <f ca="1">IF(OR($D22&lt;&gt;"Serviço",AND(AUTOEVENTO="Manual",$M22=$A$15)),0,
         IF(OFFSET(CRONOPLE!$F$15,$M22-$A$15,AO$13)=0,10^12,OFFSET(CRONOPLE!$F$15,$M22-$A$15,AO$13)))</f>
        <v>3</v>
      </c>
      <c r="AP22" s="171">
        <f ca="1">IF(OR($D22&lt;&gt;"Serviço",AND(AUTOEVENTO="Manual",$M22=$A$15)),0,
         IF(OFFSET(CRONOPLE!$F$15,$M22-$A$15,AP$13)=0,10^12,OFFSET(CRONOPLE!$F$15,$M22-$A$15,AP$13)))</f>
        <v>4</v>
      </c>
      <c r="AQ22" s="171">
        <f ca="1">IF(OR($D22&lt;&gt;"Serviço",AND(AUTOEVENTO="Manual",$M22=$A$15)),0,
         IF(OFFSET(CRONOPLE!$F$15,$M22-$A$15,AQ$13)=0,10^12,OFFSET(CRONOPLE!$F$15,$M22-$A$15,AQ$13)))</f>
        <v>5</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ht="12.75" x14ac:dyDescent="0.2">
      <c r="A23" s="7">
        <f t="shared" ca="1" si="8"/>
        <v>1</v>
      </c>
      <c r="B23" s="7" t="str">
        <f ca="1">OFFSET(ORÇAMENTO!C$15,$L23,0)</f>
        <v>S</v>
      </c>
      <c r="C23" s="7" t="str">
        <f ca="1">OFFSET(ORÇAMENTO!L$15,$L23,0)</f>
        <v>F</v>
      </c>
      <c r="D23" s="116" t="str">
        <f ca="1">OFFSET(ORÇAMENTO!N$15,$L23,0)</f>
        <v>Serviço</v>
      </c>
      <c r="E23" s="117" t="str">
        <f ca="1">OFFSET(ORÇAMENTO!O$15,$L23,0)</f>
        <v>1.1.1.5.</v>
      </c>
      <c r="F23" s="163" t="str">
        <f ca="1">OFFSET(ORÇAMENTO!R$15,$L23,0)</f>
        <v>(Código não identificado nas referências)</v>
      </c>
      <c r="G23" s="164" t="str">
        <f ca="1">IF($D23&lt;&gt;"Serviço","",OFFSET(ORÇAMENTO!S$15,$L23,0))</f>
        <v>UN</v>
      </c>
      <c r="H23" s="122" cm="1">
        <f t="array" aca="1" ref="H23" ca="1">IF($D23&lt;&gt;"Serviço",0,IF(ACOMPANHAMENTO="BM",ROUND(OFFSET(ORÇAMENTO!AJ$15,$L23,0),15-13*ORÇAMENTO!$AF$7),IF(IFERROR(CÁLCULO.FrentesPreenchidas,0)=0,0,SUM(ROUND(OFFSET($P23,0,1,1,CÁLCULO.FrentesPreenchidas),15-13*ORÇAMENTO!$AF$7)))))</f>
        <v>7</v>
      </c>
      <c r="I23" s="468" t="s">
        <v>1044</v>
      </c>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t="s">
        <v>1048</v>
      </c>
      <c r="L23" s="165">
        <f t="shared" ca="1" si="9"/>
        <v>8</v>
      </c>
      <c r="M23" s="166">
        <f ca="1">IF($D23&lt;&gt;"Serviço","",
          IF(AUTOEVENTO="manual",$A23,
                IF(ISERROR(MATCH($A23,$A$15:OFFSET($A23,-1,0),0)),MAX($M$15:OFFSET(M23,-1,0))+1,
                      INDEX($M$15:OFFSET(M23,-1,0),MATCH($A23,$A$15:OFFSET($A23,-1,0),0)))))</f>
        <v>1</v>
      </c>
      <c r="N23" s="167" t="str">
        <f ca="1">IF($D23&lt;&gt;"Serviço","",
         IF(AUTOEVENTO="Manual",
                IF($A23=0,"&lt;-- defina o número do agrupador",
                       OFFSET(EVENTOS!$D$15,$A23-$A$15,0)),
                OFFSET($F$15,$A23,0)))</f>
        <v>PROJETOS</v>
      </c>
      <c r="O23" s="168"/>
      <c r="Q23" s="168">
        <v>1.75</v>
      </c>
      <c r="R23" s="169">
        <v>1.75</v>
      </c>
      <c r="S23" s="169">
        <v>3.5</v>
      </c>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3234</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3234</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6468</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v>
      </c>
      <c r="AN23" s="171">
        <f ca="1">IF(OR($D23&lt;&gt;"Serviço",AND(AUTOEVENTO="Manual",$M23=$A$15)),0,
         IF(OFFSET(CRONOPLE!$F$15,$M23-$A$15,AN$13)=0,10^12,OFFSET(CRONOPLE!$F$15,$M23-$A$15,AN$13)))</f>
        <v>2</v>
      </c>
      <c r="AO23" s="171">
        <f ca="1">IF(OR($D23&lt;&gt;"Serviço",AND(AUTOEVENTO="Manual",$M23=$A$15)),0,
         IF(OFFSET(CRONOPLE!$F$15,$M23-$A$15,AO$13)=0,10^12,OFFSET(CRONOPLE!$F$15,$M23-$A$15,AO$13)))</f>
        <v>3</v>
      </c>
      <c r="AP23" s="171">
        <f ca="1">IF(OR($D23&lt;&gt;"Serviço",AND(AUTOEVENTO="Manual",$M23=$A$15)),0,
         IF(OFFSET(CRONOPLE!$F$15,$M23-$A$15,AP$13)=0,10^12,OFFSET(CRONOPLE!$F$15,$M23-$A$15,AP$13)))</f>
        <v>4</v>
      </c>
      <c r="AQ23" s="171">
        <f ca="1">IF(OR($D23&lt;&gt;"Serviço",AND(AUTOEVENTO="Manual",$M23=$A$15)),0,
         IF(OFFSET(CRONOPLE!$F$15,$M23-$A$15,AQ$13)=0,10^12,OFFSET(CRONOPLE!$F$15,$M23-$A$15,AQ$13)))</f>
        <v>5</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ht="12.75" x14ac:dyDescent="0.2">
      <c r="A24" s="7">
        <f t="shared" ca="1" si="8"/>
        <v>1</v>
      </c>
      <c r="B24" s="7" t="str">
        <f ca="1">OFFSET(ORÇAMENTO!C$15,$L24,0)</f>
        <v>S</v>
      </c>
      <c r="C24" s="7" t="str">
        <f ca="1">OFFSET(ORÇAMENTO!L$15,$L24,0)</f>
        <v>F</v>
      </c>
      <c r="D24" s="116" t="str">
        <f ca="1">OFFSET(ORÇAMENTO!N$15,$L24,0)</f>
        <v>Serviço</v>
      </c>
      <c r="E24" s="117" t="str">
        <f ca="1">OFFSET(ORÇAMENTO!O$15,$L24,0)</f>
        <v>1.1.1.6.</v>
      </c>
      <c r="F24" s="163" t="str">
        <f ca="1">OFFSET(ORÇAMENTO!R$15,$L24,0)</f>
        <v>(Código não identificado nas referências)</v>
      </c>
      <c r="G24" s="164" t="str">
        <f ca="1">IF($D24&lt;&gt;"Serviço","",OFFSET(ORÇAMENTO!S$15,$L24,0))</f>
        <v>UN</v>
      </c>
      <c r="H24" s="122" cm="1">
        <f t="array" aca="1" ref="H24" ca="1">IF($D24&lt;&gt;"Serviço",0,IF(ACOMPANHAMENTO="BM",ROUND(OFFSET(ORÇAMENTO!AJ$15,$L24,0),15-13*ORÇAMENTO!$AF$7),IF(IFERROR(CÁLCULO.FrentesPreenchidas,0)=0,0,SUM(ROUND(OFFSET($P24,0,1,1,CÁLCULO.FrentesPreenchidas),15-13*ORÇAMENTO!$AF$7)))))</f>
        <v>2</v>
      </c>
      <c r="I24" s="468" t="s">
        <v>1045</v>
      </c>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t="s">
        <v>1048</v>
      </c>
      <c r="L24" s="165">
        <f t="shared" ca="1" si="9"/>
        <v>9</v>
      </c>
      <c r="M24" s="166">
        <f ca="1">IF($D24&lt;&gt;"Serviço","",
          IF(AUTOEVENTO="manual",$A24,
                IF(ISERROR(MATCH($A24,$A$15:OFFSET($A24,-1,0),0)),MAX($M$15:OFFSET(M24,-1,0))+1,
                      INDEX($M$15:OFFSET(M24,-1,0),MATCH($A24,$A$15:OFFSET($A24,-1,0),0)))))</f>
        <v>1</v>
      </c>
      <c r="N24" s="167" t="str">
        <f ca="1">IF($D24&lt;&gt;"Serviço","",
         IF(AUTOEVENTO="Manual",
                IF($A24=0,"&lt;-- defina o número do agrupador",
                       OFFSET(EVENTOS!$D$15,$A24-$A$15,0)),
                OFFSET($F$15,$A24,0)))</f>
        <v>PROJETOS</v>
      </c>
      <c r="O24" s="168"/>
      <c r="Q24" s="168">
        <v>0.5</v>
      </c>
      <c r="R24" s="169">
        <v>0.5</v>
      </c>
      <c r="S24" s="169">
        <v>1</v>
      </c>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1361.38</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1361.38</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2722.75</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v>
      </c>
      <c r="AN24" s="171">
        <f ca="1">IF(OR($D24&lt;&gt;"Serviço",AND(AUTOEVENTO="Manual",$M24=$A$15)),0,
         IF(OFFSET(CRONOPLE!$F$15,$M24-$A$15,AN$13)=0,10^12,OFFSET(CRONOPLE!$F$15,$M24-$A$15,AN$13)))</f>
        <v>2</v>
      </c>
      <c r="AO24" s="171">
        <f ca="1">IF(OR($D24&lt;&gt;"Serviço",AND(AUTOEVENTO="Manual",$M24=$A$15)),0,
         IF(OFFSET(CRONOPLE!$F$15,$M24-$A$15,AO$13)=0,10^12,OFFSET(CRONOPLE!$F$15,$M24-$A$15,AO$13)))</f>
        <v>3</v>
      </c>
      <c r="AP24" s="171">
        <f ca="1">IF(OR($D24&lt;&gt;"Serviço",AND(AUTOEVENTO="Manual",$M24=$A$15)),0,
         IF(OFFSET(CRONOPLE!$F$15,$M24-$A$15,AP$13)=0,10^12,OFFSET(CRONOPLE!$F$15,$M24-$A$15,AP$13)))</f>
        <v>4</v>
      </c>
      <c r="AQ24" s="171">
        <f ca="1">IF(OR($D24&lt;&gt;"Serviço",AND(AUTOEVENTO="Manual",$M24=$A$15)),0,
         IF(OFFSET(CRONOPLE!$F$15,$M24-$A$15,AQ$13)=0,10^12,OFFSET(CRONOPLE!$F$15,$M24-$A$15,AQ$13)))</f>
        <v>5</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ht="12.75" x14ac:dyDescent="0.2">
      <c r="A25" s="7">
        <f t="shared" ca="1" si="8"/>
        <v>1</v>
      </c>
      <c r="B25" s="7" t="str">
        <f ca="1">OFFSET(ORÇAMENTO!C$15,$L25,0)</f>
        <v>S</v>
      </c>
      <c r="C25" s="7" t="str">
        <f ca="1">OFFSET(ORÇAMENTO!L$15,$L25,0)</f>
        <v>F</v>
      </c>
      <c r="D25" s="116" t="str">
        <f ca="1">OFFSET(ORÇAMENTO!N$15,$L25,0)</f>
        <v>Serviço</v>
      </c>
      <c r="E25" s="117" t="str">
        <f ca="1">OFFSET(ORÇAMENTO!O$15,$L25,0)</f>
        <v>1.1.1.7.</v>
      </c>
      <c r="F25" s="163" t="str">
        <f ca="1">OFFSET(ORÇAMENTO!R$15,$L25,0)</f>
        <v>(Código não identificado nas referências)</v>
      </c>
      <c r="G25" s="164" t="str">
        <f ca="1">IF($D25&lt;&gt;"Serviço","",OFFSET(ORÇAMENTO!S$15,$L25,0))</f>
        <v>UN</v>
      </c>
      <c r="H25" s="122" cm="1">
        <f t="array" aca="1" ref="H25" ca="1">IF($D25&lt;&gt;"Serviço",0,IF(ACOMPANHAMENTO="BM",ROUND(OFFSET(ORÇAMENTO!AJ$15,$L25,0),15-13*ORÇAMENTO!$AF$7),IF(IFERROR(CÁLCULO.FrentesPreenchidas,0)=0,0,SUM(ROUND(OFFSET($P25,0,1,1,CÁLCULO.FrentesPreenchidas),15-13*ORÇAMENTO!$AF$7)))))</f>
        <v>2</v>
      </c>
      <c r="I25" s="468" t="s">
        <v>1045</v>
      </c>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t="s">
        <v>1048</v>
      </c>
      <c r="L25" s="165">
        <f t="shared" ca="1" si="9"/>
        <v>10</v>
      </c>
      <c r="M25" s="166">
        <f ca="1">IF($D25&lt;&gt;"Serviço","",
          IF(AUTOEVENTO="manual",$A25,
                IF(ISERROR(MATCH($A25,$A$15:OFFSET($A25,-1,0),0)),MAX($M$15:OFFSET(M25,-1,0))+1,
                      INDEX($M$15:OFFSET(M25,-1,0),MATCH($A25,$A$15:OFFSET($A25,-1,0),0)))))</f>
        <v>1</v>
      </c>
      <c r="N25" s="167" t="str">
        <f ca="1">IF($D25&lt;&gt;"Serviço","",
         IF(AUTOEVENTO="Manual",
                IF($A25=0,"&lt;-- defina o número do agrupador",
                       OFFSET(EVENTOS!$D$15,$A25-$A$15,0)),
                OFFSET($F$15,$A25,0)))</f>
        <v>PROJETOS</v>
      </c>
      <c r="O25" s="168"/>
      <c r="Q25" s="168">
        <v>0.5</v>
      </c>
      <c r="R25" s="169">
        <v>0.5</v>
      </c>
      <c r="S25" s="169">
        <v>1</v>
      </c>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844.28</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844.28</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1688.56</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v>
      </c>
      <c r="AN25" s="171">
        <f ca="1">IF(OR($D25&lt;&gt;"Serviço",AND(AUTOEVENTO="Manual",$M25=$A$15)),0,
         IF(OFFSET(CRONOPLE!$F$15,$M25-$A$15,AN$13)=0,10^12,OFFSET(CRONOPLE!$F$15,$M25-$A$15,AN$13)))</f>
        <v>2</v>
      </c>
      <c r="AO25" s="171">
        <f ca="1">IF(OR($D25&lt;&gt;"Serviço",AND(AUTOEVENTO="Manual",$M25=$A$15)),0,
         IF(OFFSET(CRONOPLE!$F$15,$M25-$A$15,AO$13)=0,10^12,OFFSET(CRONOPLE!$F$15,$M25-$A$15,AO$13)))</f>
        <v>3</v>
      </c>
      <c r="AP25" s="171">
        <f ca="1">IF(OR($D25&lt;&gt;"Serviço",AND(AUTOEVENTO="Manual",$M25=$A$15)),0,
         IF(OFFSET(CRONOPLE!$F$15,$M25-$A$15,AP$13)=0,10^12,OFFSET(CRONOPLE!$F$15,$M25-$A$15,AP$13)))</f>
        <v>4</v>
      </c>
      <c r="AQ25" s="171">
        <f ca="1">IF(OR($D25&lt;&gt;"Serviço",AND(AUTOEVENTO="Manual",$M25=$A$15)),0,
         IF(OFFSET(CRONOPLE!$F$15,$M25-$A$15,AQ$13)=0,10^12,OFFSET(CRONOPLE!$F$15,$M25-$A$15,AQ$13)))</f>
        <v>5</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ht="12.75" x14ac:dyDescent="0.2">
      <c r="A26" s="7">
        <f t="shared" ca="1" si="8"/>
        <v>1</v>
      </c>
      <c r="B26" s="7" t="str">
        <f ca="1">OFFSET(ORÇAMENTO!C$15,$L26,0)</f>
        <v>S</v>
      </c>
      <c r="C26" s="7" t="str">
        <f ca="1">OFFSET(ORÇAMENTO!L$15,$L26,0)</f>
        <v>F</v>
      </c>
      <c r="D26" s="116" t="str">
        <f ca="1">OFFSET(ORÇAMENTO!N$15,$L26,0)</f>
        <v>Serviço</v>
      </c>
      <c r="E26" s="117" t="str">
        <f ca="1">OFFSET(ORÇAMENTO!O$15,$L26,0)</f>
        <v>1.1.1.8.</v>
      </c>
      <c r="F26" s="163" t="str">
        <f ca="1">OFFSET(ORÇAMENTO!R$15,$L26,0)</f>
        <v>(Código não identificado nas referências)</v>
      </c>
      <c r="G26" s="164" t="str">
        <f ca="1">IF($D26&lt;&gt;"Serviço","",OFFSET(ORÇAMENTO!S$15,$L26,0))</f>
        <v>UN</v>
      </c>
      <c r="H26" s="122" cm="1">
        <f t="array" aca="1" ref="H26" ca="1">IF($D26&lt;&gt;"Serviço",0,IF(ACOMPANHAMENTO="BM",ROUND(OFFSET(ORÇAMENTO!AJ$15,$L26,0),15-13*ORÇAMENTO!$AF$7),IF(IFERROR(CÁLCULO.FrentesPreenchidas,0)=0,0,SUM(ROUND(OFFSET($P26,0,1,1,CÁLCULO.FrentesPreenchidas),15-13*ORÇAMENTO!$AF$7)))))</f>
        <v>2</v>
      </c>
      <c r="I26" s="468" t="s">
        <v>1045</v>
      </c>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t="s">
        <v>1048</v>
      </c>
      <c r="L26" s="165">
        <f t="shared" ca="1" si="9"/>
        <v>11</v>
      </c>
      <c r="M26" s="166">
        <f ca="1">IF($D26&lt;&gt;"Serviço","",
          IF(AUTOEVENTO="manual",$A26,
                IF(ISERROR(MATCH($A26,$A$15:OFFSET($A26,-1,0),0)),MAX($M$15:OFFSET(M26,-1,0))+1,
                      INDEX($M$15:OFFSET(M26,-1,0),MATCH($A26,$A$15:OFFSET($A26,-1,0),0)))))</f>
        <v>1</v>
      </c>
      <c r="N26" s="167" t="str">
        <f ca="1">IF($D26&lt;&gt;"Serviço","",
         IF(AUTOEVENTO="Manual",
                IF($A26=0,"&lt;-- defina o número do agrupador",
                       OFFSET(EVENTOS!$D$15,$A26-$A$15,0)),
                OFFSET($F$15,$A26,0)))</f>
        <v>PROJETOS</v>
      </c>
      <c r="O26" s="168"/>
      <c r="Q26" s="168">
        <v>0.5</v>
      </c>
      <c r="R26" s="169">
        <v>0.5</v>
      </c>
      <c r="S26" s="169">
        <v>1</v>
      </c>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1128.77</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1128.77</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2257.54</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v>
      </c>
      <c r="AN26" s="171">
        <f ca="1">IF(OR($D26&lt;&gt;"Serviço",AND(AUTOEVENTO="Manual",$M26=$A$15)),0,
         IF(OFFSET(CRONOPLE!$F$15,$M26-$A$15,AN$13)=0,10^12,OFFSET(CRONOPLE!$F$15,$M26-$A$15,AN$13)))</f>
        <v>2</v>
      </c>
      <c r="AO26" s="171">
        <f ca="1">IF(OR($D26&lt;&gt;"Serviço",AND(AUTOEVENTO="Manual",$M26=$A$15)),0,
         IF(OFFSET(CRONOPLE!$F$15,$M26-$A$15,AO$13)=0,10^12,OFFSET(CRONOPLE!$F$15,$M26-$A$15,AO$13)))</f>
        <v>3</v>
      </c>
      <c r="AP26" s="171">
        <f ca="1">IF(OR($D26&lt;&gt;"Serviço",AND(AUTOEVENTO="Manual",$M26=$A$15)),0,
         IF(OFFSET(CRONOPLE!$F$15,$M26-$A$15,AP$13)=0,10^12,OFFSET(CRONOPLE!$F$15,$M26-$A$15,AP$13)))</f>
        <v>4</v>
      </c>
      <c r="AQ26" s="171">
        <f ca="1">IF(OR($D26&lt;&gt;"Serviço",AND(AUTOEVENTO="Manual",$M26=$A$15)),0,
         IF(OFFSET(CRONOPLE!$F$15,$M26-$A$15,AQ$13)=0,10^12,OFFSET(CRONOPLE!$F$15,$M26-$A$15,AQ$13)))</f>
        <v>5</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cm="1">
        <f t="array" aca="1" ref="AX26" ca="1">IF(OR($D26&lt;&gt;"Serviço",AND(AUTOEVENTO="Manual",$M26=$A$15),$M26&gt;(ROW(PLE.lastrow)-ROW(PLE.firstrow))),0,
           IF(OFFSET(PLE!$G$15,$M26-$A$15,AX$13)="",10^12,OFFSET(PLE!$G$15,$M26-$A$15,AX$13)))</f>
        <v>1000000000000</v>
      </c>
      <c r="AY26" s="172" cm="1">
        <f t="array" aca="1" ref="AY26" ca="1">IF(OR($D26&lt;&gt;"Serviço",AND(AUTOEVENTO="Manual",$M26=$A$15),$M26&gt;(ROW(PLE.lastrow)-ROW(PLE.firstrow))),0,
           IF(OFFSET(PLE!$G$15,$M26-$A$15,AY$13)="",10^12,OFFSET(PLE!$G$15,$M26-$A$15,AY$13)))</f>
        <v>1000000000000</v>
      </c>
      <c r="AZ26" s="172" cm="1">
        <f t="array" aca="1" ref="AZ26" ca="1">IF(OR($D26&lt;&gt;"Serviço",AND(AUTOEVENTO="Manual",$M26=$A$15),$M26&gt;(ROW(PLE.lastrow)-ROW(PLE.firstrow))),0,
           IF(OFFSET(PLE!$G$15,$M26-$A$15,AZ$13)="",10^12,OFFSET(PLE!$G$15,$M26-$A$15,AZ$13)))</f>
        <v>1000000000000</v>
      </c>
      <c r="BA26" s="172" cm="1">
        <f t="array" aca="1" ref="BA26" ca="1">IF(OR($D26&lt;&gt;"Serviço",AND(AUTOEVENTO="Manual",$M26=$A$15),$M26&gt;(ROW(PLE.lastrow)-ROW(PLE.firstrow))),0,
           IF(OFFSET(PLE!$G$15,$M26-$A$15,BA$13)="",10^12,OFFSET(PLE!$G$15,$M26-$A$15,BA$13)))</f>
        <v>1000000000000</v>
      </c>
      <c r="BB26" s="172" cm="1">
        <f t="array" aca="1" ref="BB26" ca="1">IF(OR($D26&lt;&gt;"Serviço",AND(AUTOEVENTO="Manual",$M26=$A$15),$M26&gt;(ROW(PLE.lastrow)-ROW(PLE.firstrow))),0,
           IF(OFFSET(PLE!$G$15,$M26-$A$15,BB$13)="",10^12,OFFSET(PLE!$G$15,$M26-$A$15,BB$13)))</f>
        <v>1000000000000</v>
      </c>
      <c r="BC26" s="172" cm="1">
        <f t="array" aca="1" ref="BC26" ca="1">IF(OR($D26&lt;&gt;"Serviço",AND(AUTOEVENTO="Manual",$M26=$A$15),$M26&gt;(ROW(PLE.lastrow)-ROW(PLE.firstrow))),0,
           IF(OFFSET(PLE!$G$15,$M26-$A$15,BC$13)="",10^12,OFFSET(PLE!$G$15,$M26-$A$15,BC$13)))</f>
        <v>1000000000000</v>
      </c>
      <c r="BD26" s="172" cm="1">
        <f t="array" aca="1" ref="BD26" ca="1">IF(OR($D26&lt;&gt;"Serviço",AND(AUTOEVENTO="Manual",$M26=$A$15),$M26&gt;(ROW(PLE.lastrow)-ROW(PLE.firstrow))),0,
           IF(OFFSET(PLE!$G$15,$M26-$A$15,BD$13)="",10^12,OFFSET(PLE!$G$15,$M26-$A$15,BD$13)))</f>
        <v>1000000000000</v>
      </c>
      <c r="BE26" s="172" cm="1">
        <f t="array" aca="1" ref="BE26" ca="1">IF(OR($D26&lt;&gt;"Serviço",AND(AUTOEVENTO="Manual",$M26=$A$15),$M26&gt;(ROW(PLE.lastrow)-ROW(PLE.firstrow))),0,
           IF(OFFSET(PLE!$G$15,$M26-$A$15,BE$13)="",10^12,OFFSET(PLE!$G$15,$M26-$A$15,BE$13)))</f>
        <v>1000000000000</v>
      </c>
      <c r="BF26" s="172" cm="1">
        <f t="array" aca="1" ref="BF26" ca="1">IF(OR($D26&lt;&gt;"Serviço",AND(AUTOEVENTO="Manual",$M26=$A$15),$M26&gt;(ROW(PLE.lastrow)-ROW(PLE.firstrow))),0,
           IF(OFFSET(PLE!$G$15,$M26-$A$15,BF$13)="",10^12,OFFSET(PLE!$G$15,$M26-$A$15,BF$13)))</f>
        <v>1000000000000</v>
      </c>
      <c r="BG26" s="172" cm="1">
        <f t="array" aca="1" ref="BG26" ca="1">IF(OR($D26&lt;&gt;"Serviço",AND(AUTOEVENTO="Manual",$M26=$A$15),$M26&gt;(ROW(PLE.lastrow)-ROW(PLE.firstrow))),0,
           IF(OFFSET(PLE!$G$15,$M26-$A$15,BG$13)="",10^12,OFFSET(PLE!$G$15,$M26-$A$15,BG$13)))</f>
        <v>1000000000000</v>
      </c>
    </row>
    <row r="27" spans="1:59" ht="12.75" x14ac:dyDescent="0.2">
      <c r="A27" s="7">
        <f t="shared" ca="1" si="8"/>
        <v>1</v>
      </c>
      <c r="B27" s="7" t="str">
        <f ca="1">OFFSET(ORÇAMENTO!C$15,$L27,0)</f>
        <v>S</v>
      </c>
      <c r="C27" s="7" t="str">
        <f ca="1">OFFSET(ORÇAMENTO!L$15,$L27,0)</f>
        <v>F</v>
      </c>
      <c r="D27" s="116" t="str">
        <f ca="1">OFFSET(ORÇAMENTO!N$15,$L27,0)</f>
        <v>Serviço</v>
      </c>
      <c r="E27" s="117" t="str">
        <f ca="1">OFFSET(ORÇAMENTO!O$15,$L27,0)</f>
        <v>1.1.1.9.</v>
      </c>
      <c r="F27" s="163" t="str">
        <f ca="1">OFFSET(ORÇAMENTO!R$15,$L27,0)</f>
        <v>(Código não identificado nas referências)</v>
      </c>
      <c r="G27" s="164" t="str">
        <f ca="1">IF($D27&lt;&gt;"Serviço","",OFFSET(ORÇAMENTO!S$15,$L27,0))</f>
        <v>UN</v>
      </c>
      <c r="H27" s="122" cm="1">
        <f t="array" aca="1" ref="H27" ca="1">IF($D27&lt;&gt;"Serviço",0,IF(ACOMPANHAMENTO="BM",ROUND(OFFSET(ORÇAMENTO!AJ$15,$L27,0),15-13*ORÇAMENTO!$AF$7),IF(IFERROR(CÁLCULO.FrentesPreenchidas,0)=0,0,SUM(ROUND(OFFSET($P27,0,1,1,CÁLCULO.FrentesPreenchidas),15-13*ORÇAMENTO!$AF$7)))))</f>
        <v>1</v>
      </c>
      <c r="I27" s="468" t="s">
        <v>1042</v>
      </c>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t="s">
        <v>1048</v>
      </c>
      <c r="L27" s="165">
        <f t="shared" ca="1" si="9"/>
        <v>12</v>
      </c>
      <c r="M27" s="166">
        <f ca="1">IF($D27&lt;&gt;"Serviço","",
          IF(AUTOEVENTO="manual",$A27,
                IF(ISERROR(MATCH($A27,$A$15:OFFSET($A27,-1,0),0)),MAX($M$15:OFFSET(M27,-1,0))+1,
                      INDEX($M$15:OFFSET(M27,-1,0),MATCH($A27,$A$15:OFFSET($A27,-1,0),0)))))</f>
        <v>1</v>
      </c>
      <c r="N27" s="167" t="str">
        <f ca="1">IF($D27&lt;&gt;"Serviço","",
         IF(AUTOEVENTO="Manual",
                IF($A27=0,"&lt;-- defina o número do agrupador",
                       OFFSET(EVENTOS!$D$15,$A27-$A$15,0)),
                OFFSET($F$15,$A27,0)))</f>
        <v>PROJETOS</v>
      </c>
      <c r="O27" s="168"/>
      <c r="Q27" s="168">
        <v>0.25</v>
      </c>
      <c r="R27" s="169">
        <v>0.25</v>
      </c>
      <c r="S27" s="169">
        <v>0.5</v>
      </c>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184.93</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184.93</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369.86</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v>
      </c>
      <c r="AN27" s="171">
        <f ca="1">IF(OR($D27&lt;&gt;"Serviço",AND(AUTOEVENTO="Manual",$M27=$A$15)),0,
         IF(OFFSET(CRONOPLE!$F$15,$M27-$A$15,AN$13)=0,10^12,OFFSET(CRONOPLE!$F$15,$M27-$A$15,AN$13)))</f>
        <v>2</v>
      </c>
      <c r="AO27" s="171">
        <f ca="1">IF(OR($D27&lt;&gt;"Serviço",AND(AUTOEVENTO="Manual",$M27=$A$15)),0,
         IF(OFFSET(CRONOPLE!$F$15,$M27-$A$15,AO$13)=0,10^12,OFFSET(CRONOPLE!$F$15,$M27-$A$15,AO$13)))</f>
        <v>3</v>
      </c>
      <c r="AP27" s="171">
        <f ca="1">IF(OR($D27&lt;&gt;"Serviço",AND(AUTOEVENTO="Manual",$M27=$A$15)),0,
         IF(OFFSET(CRONOPLE!$F$15,$M27-$A$15,AP$13)=0,10^12,OFFSET(CRONOPLE!$F$15,$M27-$A$15,AP$13)))</f>
        <v>4</v>
      </c>
      <c r="AQ27" s="171">
        <f ca="1">IF(OR($D27&lt;&gt;"Serviço",AND(AUTOEVENTO="Manual",$M27=$A$15)),0,
         IF(OFFSET(CRONOPLE!$F$15,$M27-$A$15,AQ$13)=0,10^12,OFFSET(CRONOPLE!$F$15,$M27-$A$15,AQ$13)))</f>
        <v>5</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ht="12.75" x14ac:dyDescent="0.2">
      <c r="A28" s="7">
        <f t="shared" ca="1" si="8"/>
        <v>1</v>
      </c>
      <c r="B28" s="7" t="str">
        <f ca="1">OFFSET(ORÇAMENTO!C$15,$L28,0)</f>
        <v>S</v>
      </c>
      <c r="C28" s="7" t="str">
        <f ca="1">OFFSET(ORÇAMENTO!L$15,$L28,0)</f>
        <v>F</v>
      </c>
      <c r="D28" s="116" t="str">
        <f ca="1">OFFSET(ORÇAMENTO!N$15,$L28,0)</f>
        <v>Serviço</v>
      </c>
      <c r="E28" s="117" t="str">
        <f ca="1">OFFSET(ORÇAMENTO!O$15,$L28,0)</f>
        <v>1.1.1.10.</v>
      </c>
      <c r="F28" s="163" t="str">
        <f ca="1">OFFSET(ORÇAMENTO!R$15,$L28,0)</f>
        <v>(Código não identificado nas referências)</v>
      </c>
      <c r="G28" s="164" t="str">
        <f ca="1">IF($D28&lt;&gt;"Serviço","",OFFSET(ORÇAMENTO!S$15,$L28,0))</f>
        <v>UN</v>
      </c>
      <c r="H28" s="122" cm="1">
        <f t="array" aca="1" ref="H28" ca="1">IF($D28&lt;&gt;"Serviço",0,IF(ACOMPANHAMENTO="BM",ROUND(OFFSET(ORÇAMENTO!AJ$15,$L28,0),15-13*ORÇAMENTO!$AF$7),IF(IFERROR(CÁLCULO.FrentesPreenchidas,0)=0,0,SUM(ROUND(OFFSET($P28,0,1,1,CÁLCULO.FrentesPreenchidas),15-13*ORÇAMENTO!$AF$7)))))</f>
        <v>4</v>
      </c>
      <c r="I28" s="468" t="s">
        <v>1046</v>
      </c>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t="s">
        <v>1048</v>
      </c>
      <c r="L28" s="165">
        <f t="shared" ca="1" si="9"/>
        <v>13</v>
      </c>
      <c r="M28" s="166">
        <f ca="1">IF($D28&lt;&gt;"Serviço","",
          IF(AUTOEVENTO="manual",$A28,
                IF(ISERROR(MATCH($A28,$A$15:OFFSET($A28,-1,0),0)),MAX($M$15:OFFSET(M28,-1,0))+1,
                      INDEX($M$15:OFFSET(M28,-1,0),MATCH($A28,$A$15:OFFSET($A28,-1,0),0)))))</f>
        <v>1</v>
      </c>
      <c r="N28" s="167" t="str">
        <f ca="1">IF($D28&lt;&gt;"Serviço","",
         IF(AUTOEVENTO="Manual",
                IF($A28=0,"&lt;-- defina o número do agrupador",
                       OFFSET(EVENTOS!$D$15,$A28-$A$15,0)),
                OFFSET($F$15,$A28,0)))</f>
        <v>PROJETOS</v>
      </c>
      <c r="O28" s="168"/>
      <c r="Q28" s="168">
        <v>1</v>
      </c>
      <c r="R28" s="169">
        <v>1</v>
      </c>
      <c r="S28" s="169">
        <v>2</v>
      </c>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2160.33</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2160.33</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4320.66</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v>
      </c>
      <c r="AN28" s="171">
        <f ca="1">IF(OR($D28&lt;&gt;"Serviço",AND(AUTOEVENTO="Manual",$M28=$A$15)),0,
         IF(OFFSET(CRONOPLE!$F$15,$M28-$A$15,AN$13)=0,10^12,OFFSET(CRONOPLE!$F$15,$M28-$A$15,AN$13)))</f>
        <v>2</v>
      </c>
      <c r="AO28" s="171">
        <f ca="1">IF(OR($D28&lt;&gt;"Serviço",AND(AUTOEVENTO="Manual",$M28=$A$15)),0,
         IF(OFFSET(CRONOPLE!$F$15,$M28-$A$15,AO$13)=0,10^12,OFFSET(CRONOPLE!$F$15,$M28-$A$15,AO$13)))</f>
        <v>3</v>
      </c>
      <c r="AP28" s="171">
        <f ca="1">IF(OR($D28&lt;&gt;"Serviço",AND(AUTOEVENTO="Manual",$M28=$A$15)),0,
         IF(OFFSET(CRONOPLE!$F$15,$M28-$A$15,AP$13)=0,10^12,OFFSET(CRONOPLE!$F$15,$M28-$A$15,AP$13)))</f>
        <v>4</v>
      </c>
      <c r="AQ28" s="171">
        <f ca="1">IF(OR($D28&lt;&gt;"Serviço",AND(AUTOEVENTO="Manual",$M28=$A$15)),0,
         IF(OFFSET(CRONOPLE!$F$15,$M28-$A$15,AQ$13)=0,10^12,OFFSET(CRONOPLE!$F$15,$M28-$A$15,AQ$13)))</f>
        <v>5</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ht="25.5" x14ac:dyDescent="0.2">
      <c r="A29" s="7">
        <f t="shared" ca="1" si="8"/>
        <v>1</v>
      </c>
      <c r="B29" s="7" t="str">
        <f ca="1">OFFSET(ORÇAMENTO!C$15,$L29,0)</f>
        <v>S</v>
      </c>
      <c r="C29" s="7" t="str">
        <f ca="1">OFFSET(ORÇAMENTO!L$15,$L29,0)</f>
        <v>F</v>
      </c>
      <c r="D29" s="116" t="str">
        <f ca="1">OFFSET(ORÇAMENTO!N$15,$L29,0)</f>
        <v>Serviço</v>
      </c>
      <c r="E29" s="117" t="str">
        <f ca="1">OFFSET(ORÇAMENTO!O$15,$L29,0)</f>
        <v>1.1.1.11.</v>
      </c>
      <c r="F29" s="163" t="str">
        <f ca="1">OFFSET(ORÇAMENTO!R$15,$L29,0)</f>
        <v>(Código não identificado nas referências)</v>
      </c>
      <c r="G29" s="164" t="str">
        <f ca="1">IF($D29&lt;&gt;"Serviço","",OFFSET(ORÇAMENTO!S$15,$L29,0))</f>
        <v>UN</v>
      </c>
      <c r="H29" s="122" cm="1">
        <f t="array" aca="1" ref="H29" ca="1">IF($D29&lt;&gt;"Serviço",0,IF(ACOMPANHAMENTO="BM",ROUND(OFFSET(ORÇAMENTO!AJ$15,$L29,0),15-13*ORÇAMENTO!$AF$7),IF(IFERROR(CÁLCULO.FrentesPreenchidas,0)=0,0,SUM(ROUND(OFFSET($P29,0,1,1,CÁLCULO.FrentesPreenchidas),15-13*ORÇAMENTO!$AF$7)))))</f>
        <v>1</v>
      </c>
      <c r="I29" s="468" t="s">
        <v>1042</v>
      </c>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t="s">
        <v>1048</v>
      </c>
      <c r="L29" s="165">
        <f t="shared" ca="1" si="9"/>
        <v>14</v>
      </c>
      <c r="M29" s="166">
        <f ca="1">IF($D29&lt;&gt;"Serviço","",
          IF(AUTOEVENTO="manual",$A29,
                IF(ISERROR(MATCH($A29,$A$15:OFFSET($A29,-1,0),0)),MAX($M$15:OFFSET(M29,-1,0))+1,
                      INDEX($M$15:OFFSET(M29,-1,0),MATCH($A29,$A$15:OFFSET($A29,-1,0),0)))))</f>
        <v>1</v>
      </c>
      <c r="N29" s="167" t="str">
        <f ca="1">IF($D29&lt;&gt;"Serviço","",
         IF(AUTOEVENTO="Manual",
                IF($A29=0,"&lt;-- defina o número do agrupador",
                       OFFSET(EVENTOS!$D$15,$A29-$A$15,0)),
                OFFSET($F$15,$A29,0)))</f>
        <v>PROJETOS</v>
      </c>
      <c r="O29" s="168"/>
      <c r="Q29" s="168">
        <v>0.25</v>
      </c>
      <c r="R29" s="169">
        <v>0.25</v>
      </c>
      <c r="S29" s="169">
        <v>0.5</v>
      </c>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416.59</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416.59</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833.18</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v>
      </c>
      <c r="AN29" s="171">
        <f ca="1">IF(OR($D29&lt;&gt;"Serviço",AND(AUTOEVENTO="Manual",$M29=$A$15)),0,
         IF(OFFSET(CRONOPLE!$F$15,$M29-$A$15,AN$13)=0,10^12,OFFSET(CRONOPLE!$F$15,$M29-$A$15,AN$13)))</f>
        <v>2</v>
      </c>
      <c r="AO29" s="171">
        <f ca="1">IF(OR($D29&lt;&gt;"Serviço",AND(AUTOEVENTO="Manual",$M29=$A$15)),0,
         IF(OFFSET(CRONOPLE!$F$15,$M29-$A$15,AO$13)=0,10^12,OFFSET(CRONOPLE!$F$15,$M29-$A$15,AO$13)))</f>
        <v>3</v>
      </c>
      <c r="AP29" s="171">
        <f ca="1">IF(OR($D29&lt;&gt;"Serviço",AND(AUTOEVENTO="Manual",$M29=$A$15)),0,
         IF(OFFSET(CRONOPLE!$F$15,$M29-$A$15,AP$13)=0,10^12,OFFSET(CRONOPLE!$F$15,$M29-$A$15,AP$13)))</f>
        <v>4</v>
      </c>
      <c r="AQ29" s="171">
        <f ca="1">IF(OR($D29&lt;&gt;"Serviço",AND(AUTOEVENTO="Manual",$M29=$A$15)),0,
         IF(OFFSET(CRONOPLE!$F$15,$M29-$A$15,AQ$13)=0,10^12,OFFSET(CRONOPLE!$F$15,$M29-$A$15,AQ$13)))</f>
        <v>5</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ht="12.75" x14ac:dyDescent="0.2">
      <c r="A30" s="7">
        <f t="shared" ca="1" si="8"/>
        <v>1</v>
      </c>
      <c r="B30" s="7" t="str">
        <f ca="1">OFFSET(ORÇAMENTO!C$15,$L30,0)</f>
        <v>S</v>
      </c>
      <c r="C30" s="7" t="str">
        <f ca="1">OFFSET(ORÇAMENTO!L$15,$L30,0)</f>
        <v>F</v>
      </c>
      <c r="D30" s="116" t="str">
        <f ca="1">OFFSET(ORÇAMENTO!N$15,$L30,0)</f>
        <v>Serviço</v>
      </c>
      <c r="E30" s="117" t="str">
        <f ca="1">OFFSET(ORÇAMENTO!O$15,$L30,0)</f>
        <v>1.1.1.12.</v>
      </c>
      <c r="F30" s="163" t="str">
        <f ca="1">OFFSET(ORÇAMENTO!R$15,$L30,0)</f>
        <v>(Código não identificado nas referências)</v>
      </c>
      <c r="G30" s="164" t="str">
        <f ca="1">IF($D30&lt;&gt;"Serviço","",OFFSET(ORÇAMENTO!S$15,$L30,0))</f>
        <v>UN</v>
      </c>
      <c r="H30" s="122" cm="1">
        <f t="array" aca="1" ref="H30" ca="1">IF($D30&lt;&gt;"Serviço",0,IF(ACOMPANHAMENTO="BM",ROUND(OFFSET(ORÇAMENTO!AJ$15,$L30,0),15-13*ORÇAMENTO!$AF$7),IF(IFERROR(CÁLCULO.FrentesPreenchidas,0)=0,0,SUM(ROUND(OFFSET($P30,0,1,1,CÁLCULO.FrentesPreenchidas),15-13*ORÇAMENTO!$AF$7)))))</f>
        <v>2</v>
      </c>
      <c r="I30" s="468" t="s">
        <v>1045</v>
      </c>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t="s">
        <v>1048</v>
      </c>
      <c r="L30" s="165">
        <f t="shared" ca="1" si="9"/>
        <v>15</v>
      </c>
      <c r="M30" s="166">
        <f ca="1">IF($D30&lt;&gt;"Serviço","",
          IF(AUTOEVENTO="manual",$A30,
                IF(ISERROR(MATCH($A30,$A$15:OFFSET($A30,-1,0),0)),MAX($M$15:OFFSET(M30,-1,0))+1,
                      INDEX($M$15:OFFSET(M30,-1,0),MATCH($A30,$A$15:OFFSET($A30,-1,0),0)))))</f>
        <v>1</v>
      </c>
      <c r="N30" s="167" t="str">
        <f ca="1">IF($D30&lt;&gt;"Serviço","",
         IF(AUTOEVENTO="Manual",
                IF($A30=0,"&lt;-- defina o número do agrupador",
                       OFFSET(EVENTOS!$D$15,$A30-$A$15,0)),
                OFFSET($F$15,$A30,0)))</f>
        <v>PROJETOS</v>
      </c>
      <c r="O30" s="168"/>
      <c r="Q30" s="168">
        <v>0.5</v>
      </c>
      <c r="R30" s="169">
        <v>0.5</v>
      </c>
      <c r="S30" s="169">
        <v>1</v>
      </c>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1080.17</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1080.17</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2160.33</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v>
      </c>
      <c r="AN30" s="171">
        <f ca="1">IF(OR($D30&lt;&gt;"Serviço",AND(AUTOEVENTO="Manual",$M30=$A$15)),0,
         IF(OFFSET(CRONOPLE!$F$15,$M30-$A$15,AN$13)=0,10^12,OFFSET(CRONOPLE!$F$15,$M30-$A$15,AN$13)))</f>
        <v>2</v>
      </c>
      <c r="AO30" s="171">
        <f ca="1">IF(OR($D30&lt;&gt;"Serviço",AND(AUTOEVENTO="Manual",$M30=$A$15)),0,
         IF(OFFSET(CRONOPLE!$F$15,$M30-$A$15,AO$13)=0,10^12,OFFSET(CRONOPLE!$F$15,$M30-$A$15,AO$13)))</f>
        <v>3</v>
      </c>
      <c r="AP30" s="171">
        <f ca="1">IF(OR($D30&lt;&gt;"Serviço",AND(AUTOEVENTO="Manual",$M30=$A$15)),0,
         IF(OFFSET(CRONOPLE!$F$15,$M30-$A$15,AP$13)=0,10^12,OFFSET(CRONOPLE!$F$15,$M30-$A$15,AP$13)))</f>
        <v>4</v>
      </c>
      <c r="AQ30" s="171">
        <f ca="1">IF(OR($D30&lt;&gt;"Serviço",AND(AUTOEVENTO="Manual",$M30=$A$15)),0,
         IF(OFFSET(CRONOPLE!$F$15,$M30-$A$15,AQ$13)=0,10^12,OFFSET(CRONOPLE!$F$15,$M30-$A$15,AQ$13)))</f>
        <v>5</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ht="12.75" x14ac:dyDescent="0.2">
      <c r="A31" s="7">
        <f t="shared" ca="1" si="8"/>
        <v>1</v>
      </c>
      <c r="B31" s="7" t="str">
        <f ca="1">OFFSET(ORÇAMENTO!C$15,$L31,0)</f>
        <v>S</v>
      </c>
      <c r="C31" s="7" t="str">
        <f ca="1">OFFSET(ORÇAMENTO!L$15,$L31,0)</f>
        <v>F</v>
      </c>
      <c r="D31" s="116" t="str">
        <f ca="1">OFFSET(ORÇAMENTO!N$15,$L31,0)</f>
        <v>Serviço</v>
      </c>
      <c r="E31" s="117" t="str">
        <f ca="1">OFFSET(ORÇAMENTO!O$15,$L31,0)</f>
        <v>1.1.1.13.</v>
      </c>
      <c r="F31" s="163" t="str">
        <f ca="1">OFFSET(ORÇAMENTO!R$15,$L31,0)</f>
        <v>(Código não identificado nas referências)</v>
      </c>
      <c r="G31" s="164" t="str">
        <f ca="1">IF($D31&lt;&gt;"Serviço","",OFFSET(ORÇAMENTO!S$15,$L31,0))</f>
        <v>UN</v>
      </c>
      <c r="H31" s="122" cm="1">
        <f t="array" aca="1" ref="H31" ca="1">IF($D31&lt;&gt;"Serviço",0,IF(ACOMPANHAMENTO="BM",ROUND(OFFSET(ORÇAMENTO!AJ$15,$L31,0),15-13*ORÇAMENTO!$AF$7),IF(IFERROR(CÁLCULO.FrentesPreenchidas,0)=0,0,SUM(ROUND(OFFSET($P31,0,1,1,CÁLCULO.FrentesPreenchidas),15-13*ORÇAMENTO!$AF$7)))))</f>
        <v>1</v>
      </c>
      <c r="I31" s="468" t="s">
        <v>1042</v>
      </c>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t="s">
        <v>1048</v>
      </c>
      <c r="L31" s="165">
        <f t="shared" ca="1" si="9"/>
        <v>16</v>
      </c>
      <c r="M31" s="166">
        <f ca="1">IF($D31&lt;&gt;"Serviço","",
          IF(AUTOEVENTO="manual",$A31,
                IF(ISERROR(MATCH($A31,$A$15:OFFSET($A31,-1,0),0)),MAX($M$15:OFFSET(M31,-1,0))+1,
                      INDEX($M$15:OFFSET(M31,-1,0),MATCH($A31,$A$15:OFFSET($A31,-1,0),0)))))</f>
        <v>1</v>
      </c>
      <c r="N31" s="167" t="str">
        <f ca="1">IF($D31&lt;&gt;"Serviço","",
         IF(AUTOEVENTO="Manual",
                IF($A31=0,"&lt;-- defina o número do agrupador",
                       OFFSET(EVENTOS!$D$15,$A31-$A$15,0)),
                OFFSET($F$15,$A31,0)))</f>
        <v>PROJETOS</v>
      </c>
      <c r="O31" s="168"/>
      <c r="Q31" s="168">
        <v>0.25</v>
      </c>
      <c r="R31" s="169">
        <v>0.25</v>
      </c>
      <c r="S31" s="169">
        <v>0.5</v>
      </c>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405.99</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405.99</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811.98</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v>
      </c>
      <c r="AN31" s="171">
        <f ca="1">IF(OR($D31&lt;&gt;"Serviço",AND(AUTOEVENTO="Manual",$M31=$A$15)),0,
         IF(OFFSET(CRONOPLE!$F$15,$M31-$A$15,AN$13)=0,10^12,OFFSET(CRONOPLE!$F$15,$M31-$A$15,AN$13)))</f>
        <v>2</v>
      </c>
      <c r="AO31" s="171">
        <f ca="1">IF(OR($D31&lt;&gt;"Serviço",AND(AUTOEVENTO="Manual",$M31=$A$15)),0,
         IF(OFFSET(CRONOPLE!$F$15,$M31-$A$15,AO$13)=0,10^12,OFFSET(CRONOPLE!$F$15,$M31-$A$15,AO$13)))</f>
        <v>3</v>
      </c>
      <c r="AP31" s="171">
        <f ca="1">IF(OR($D31&lt;&gt;"Serviço",AND(AUTOEVENTO="Manual",$M31=$A$15)),0,
         IF(OFFSET(CRONOPLE!$F$15,$M31-$A$15,AP$13)=0,10^12,OFFSET(CRONOPLE!$F$15,$M31-$A$15,AP$13)))</f>
        <v>4</v>
      </c>
      <c r="AQ31" s="171">
        <f ca="1">IF(OR($D31&lt;&gt;"Serviço",AND(AUTOEVENTO="Manual",$M31=$A$15)),0,
         IF(OFFSET(CRONOPLE!$F$15,$M31-$A$15,AQ$13)=0,10^12,OFFSET(CRONOPLE!$F$15,$M31-$A$15,AQ$13)))</f>
        <v>5</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ht="25.5" x14ac:dyDescent="0.2">
      <c r="A32" s="7">
        <f t="shared" ca="1" si="8"/>
        <v>1</v>
      </c>
      <c r="B32" s="7" t="str">
        <f ca="1">OFFSET(ORÇAMENTO!C$15,$L32,0)</f>
        <v>S</v>
      </c>
      <c r="C32" s="7" t="str">
        <f ca="1">OFFSET(ORÇAMENTO!L$15,$L32,0)</f>
        <v>F</v>
      </c>
      <c r="D32" s="116" t="str">
        <f ca="1">OFFSET(ORÇAMENTO!N$15,$L32,0)</f>
        <v>Serviço</v>
      </c>
      <c r="E32" s="117" t="str">
        <f ca="1">OFFSET(ORÇAMENTO!O$15,$L32,0)</f>
        <v>1.1.1.14.</v>
      </c>
      <c r="F32" s="163" t="str">
        <f ca="1">OFFSET(ORÇAMENTO!R$15,$L32,0)</f>
        <v>(Código não identificado nas referências)</v>
      </c>
      <c r="G32" s="164" t="str">
        <f ca="1">IF($D32&lt;&gt;"Serviço","",OFFSET(ORÇAMENTO!S$15,$L32,0))</f>
        <v>UN</v>
      </c>
      <c r="H32" s="122" cm="1">
        <f t="array" aca="1" ref="H32" ca="1">IF($D32&lt;&gt;"Serviço",0,IF(ACOMPANHAMENTO="BM",ROUND(OFFSET(ORÇAMENTO!AJ$15,$L32,0),15-13*ORÇAMENTO!$AF$7),IF(IFERROR(CÁLCULO.FrentesPreenchidas,0)=0,0,SUM(ROUND(OFFSET($P32,0,1,1,CÁLCULO.FrentesPreenchidas),15-13*ORÇAMENTO!$AF$7)))))</f>
        <v>2</v>
      </c>
      <c r="I32" s="468" t="s">
        <v>1045</v>
      </c>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t="s">
        <v>1048</v>
      </c>
      <c r="L32" s="165">
        <f t="shared" ca="1" si="9"/>
        <v>17</v>
      </c>
      <c r="M32" s="166">
        <f ca="1">IF($D32&lt;&gt;"Serviço","",
          IF(AUTOEVENTO="manual",$A32,
                IF(ISERROR(MATCH($A32,$A$15:OFFSET($A32,-1,0),0)),MAX($M$15:OFFSET(M32,-1,0))+1,
                      INDEX($M$15:OFFSET(M32,-1,0),MATCH($A32,$A$15:OFFSET($A32,-1,0),0)))))</f>
        <v>1</v>
      </c>
      <c r="N32" s="167" t="str">
        <f ca="1">IF($D32&lt;&gt;"Serviço","",
         IF(AUTOEVENTO="Manual",
                IF($A32=0,"&lt;-- defina o número do agrupador",
                       OFFSET(EVENTOS!$D$15,$A32-$A$15,0)),
                OFFSET($F$15,$A32,0)))</f>
        <v>PROJETOS</v>
      </c>
      <c r="O32" s="168"/>
      <c r="Q32" s="168">
        <v>0.5</v>
      </c>
      <c r="R32" s="169">
        <v>0.5</v>
      </c>
      <c r="S32" s="169">
        <v>1</v>
      </c>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1128.77</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1128.77</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2257.54</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v>
      </c>
      <c r="AN32" s="171">
        <f ca="1">IF(OR($D32&lt;&gt;"Serviço",AND(AUTOEVENTO="Manual",$M32=$A$15)),0,
         IF(OFFSET(CRONOPLE!$F$15,$M32-$A$15,AN$13)=0,10^12,OFFSET(CRONOPLE!$F$15,$M32-$A$15,AN$13)))</f>
        <v>2</v>
      </c>
      <c r="AO32" s="171">
        <f ca="1">IF(OR($D32&lt;&gt;"Serviço",AND(AUTOEVENTO="Manual",$M32=$A$15)),0,
         IF(OFFSET(CRONOPLE!$F$15,$M32-$A$15,AO$13)=0,10^12,OFFSET(CRONOPLE!$F$15,$M32-$A$15,AO$13)))</f>
        <v>3</v>
      </c>
      <c r="AP32" s="171">
        <f ca="1">IF(OR($D32&lt;&gt;"Serviço",AND(AUTOEVENTO="Manual",$M32=$A$15)),0,
         IF(OFFSET(CRONOPLE!$F$15,$M32-$A$15,AP$13)=0,10^12,OFFSET(CRONOPLE!$F$15,$M32-$A$15,AP$13)))</f>
        <v>4</v>
      </c>
      <c r="AQ32" s="171">
        <f ca="1">IF(OR($D32&lt;&gt;"Serviço",AND(AUTOEVENTO="Manual",$M32=$A$15)),0,
         IF(OFFSET(CRONOPLE!$F$15,$M32-$A$15,AQ$13)=0,10^12,OFFSET(CRONOPLE!$F$15,$M32-$A$15,AQ$13)))</f>
        <v>5</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ht="12.75" x14ac:dyDescent="0.2">
      <c r="A33" s="7">
        <f t="shared" ca="1" si="8"/>
        <v>1</v>
      </c>
      <c r="B33" s="7" t="str">
        <f ca="1">OFFSET(ORÇAMENTO!C$15,$L33,0)</f>
        <v>S</v>
      </c>
      <c r="C33" s="7" t="str">
        <f ca="1">OFFSET(ORÇAMENTO!L$15,$L33,0)</f>
        <v>F</v>
      </c>
      <c r="D33" s="116" t="str">
        <f ca="1">OFFSET(ORÇAMENTO!N$15,$L33,0)</f>
        <v>Serviço</v>
      </c>
      <c r="E33" s="117" t="str">
        <f ca="1">OFFSET(ORÇAMENTO!O$15,$L33,0)</f>
        <v>1.1.1.15.</v>
      </c>
      <c r="F33" s="163" t="str">
        <f ca="1">OFFSET(ORÇAMENTO!R$15,$L33,0)</f>
        <v>(Código não identificado nas referências)</v>
      </c>
      <c r="G33" s="164" t="str">
        <f ca="1">IF($D33&lt;&gt;"Serviço","",OFFSET(ORÇAMENTO!S$15,$L33,0))</f>
        <v>UN</v>
      </c>
      <c r="H33" s="122" cm="1">
        <f t="array" aca="1" ref="H33" ca="1">IF($D33&lt;&gt;"Serviço",0,IF(ACOMPANHAMENTO="BM",ROUND(OFFSET(ORÇAMENTO!AJ$15,$L33,0),15-13*ORÇAMENTO!$AF$7),IF(IFERROR(CÁLCULO.FrentesPreenchidas,0)=0,0,SUM(ROUND(OFFSET($P33,0,1,1,CÁLCULO.FrentesPreenchidas),15-13*ORÇAMENTO!$AF$7)))))</f>
        <v>2</v>
      </c>
      <c r="I33" s="468" t="s">
        <v>1045</v>
      </c>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t="s">
        <v>1048</v>
      </c>
      <c r="L33" s="165">
        <f t="shared" ca="1" si="9"/>
        <v>18</v>
      </c>
      <c r="M33" s="166">
        <f ca="1">IF($D33&lt;&gt;"Serviço","",
          IF(AUTOEVENTO="manual",$A33,
                IF(ISERROR(MATCH($A33,$A$15:OFFSET($A33,-1,0),0)),MAX($M$15:OFFSET(M33,-1,0))+1,
                      INDEX($M$15:OFFSET(M33,-1,0),MATCH($A33,$A$15:OFFSET($A33,-1,0),0)))))</f>
        <v>1</v>
      </c>
      <c r="N33" s="167" t="str">
        <f ca="1">IF($D33&lt;&gt;"Serviço","",
         IF(AUTOEVENTO="Manual",
                IF($A33=0,"&lt;-- defina o número do agrupador",
                       OFFSET(EVENTOS!$D$15,$A33-$A$15,0)),
                OFFSET($F$15,$A33,0)))</f>
        <v>PROJETOS</v>
      </c>
      <c r="O33" s="168"/>
      <c r="Q33" s="168">
        <v>0.5</v>
      </c>
      <c r="R33" s="169">
        <v>0.5</v>
      </c>
      <c r="S33" s="169">
        <v>1</v>
      </c>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750.35</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750.35</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1500.7</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v>
      </c>
      <c r="AN33" s="171">
        <f ca="1">IF(OR($D33&lt;&gt;"Serviço",AND(AUTOEVENTO="Manual",$M33=$A$15)),0,
         IF(OFFSET(CRONOPLE!$F$15,$M33-$A$15,AN$13)=0,10^12,OFFSET(CRONOPLE!$F$15,$M33-$A$15,AN$13)))</f>
        <v>2</v>
      </c>
      <c r="AO33" s="171">
        <f ca="1">IF(OR($D33&lt;&gt;"Serviço",AND(AUTOEVENTO="Manual",$M33=$A$15)),0,
         IF(OFFSET(CRONOPLE!$F$15,$M33-$A$15,AO$13)=0,10^12,OFFSET(CRONOPLE!$F$15,$M33-$A$15,AO$13)))</f>
        <v>3</v>
      </c>
      <c r="AP33" s="171">
        <f ca="1">IF(OR($D33&lt;&gt;"Serviço",AND(AUTOEVENTO="Manual",$M33=$A$15)),0,
         IF(OFFSET(CRONOPLE!$F$15,$M33-$A$15,AP$13)=0,10^12,OFFSET(CRONOPLE!$F$15,$M33-$A$15,AP$13)))</f>
        <v>4</v>
      </c>
      <c r="AQ33" s="171">
        <f ca="1">IF(OR($D33&lt;&gt;"Serviço",AND(AUTOEVENTO="Manual",$M33=$A$15)),0,
         IF(OFFSET(CRONOPLE!$F$15,$M33-$A$15,AQ$13)=0,10^12,OFFSET(CRONOPLE!$F$15,$M33-$A$15,AQ$13)))</f>
        <v>5</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ht="38.25" x14ac:dyDescent="0.2">
      <c r="A34" s="7">
        <f t="shared" ca="1" si="8"/>
        <v>1</v>
      </c>
      <c r="B34" s="7" t="str">
        <f ca="1">OFFSET(ORÇAMENTO!C$15,$L34,0)</f>
        <v>S</v>
      </c>
      <c r="C34" s="7" t="str">
        <f ca="1">OFFSET(ORÇAMENTO!L$15,$L34,0)</f>
        <v>F</v>
      </c>
      <c r="D34" s="116" t="str">
        <f ca="1">OFFSET(ORÇAMENTO!N$15,$L34,0)</f>
        <v>Serviço</v>
      </c>
      <c r="E34" s="117" t="str">
        <f ca="1">OFFSET(ORÇAMENTO!O$15,$L34,0)</f>
        <v>1.1.1.16.</v>
      </c>
      <c r="F34" s="163" t="str">
        <f ca="1">OFFSET(ORÇAMENTO!R$15,$L34,0)</f>
        <v>(Código não identificado nas referências)</v>
      </c>
      <c r="G34" s="164" t="str">
        <f ca="1">IF($D34&lt;&gt;"Serviço","",OFFSET(ORÇAMENTO!S$15,$L34,0))</f>
        <v>M2</v>
      </c>
      <c r="H34" s="122" cm="1">
        <f t="array" aca="1" ref="H34" ca="1">IF($D34&lt;&gt;"Serviço",0,IF(ACOMPANHAMENTO="BM",ROUND(OFFSET(ORÇAMENTO!AJ$15,$L34,0),15-13*ORÇAMENTO!$AF$7),IF(IFERROR(CÁLCULO.FrentesPreenchidas,0)=0,0,SUM(ROUND(OFFSET($P34,0,1,1,CÁLCULO.FrentesPreenchidas),15-13*ORÇAMENTO!$AF$7)))))</f>
        <v>7617.82</v>
      </c>
      <c r="I34" s="468" t="s">
        <v>1088</v>
      </c>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t="s">
        <v>1048</v>
      </c>
      <c r="L34" s="165">
        <f t="shared" ca="1" si="9"/>
        <v>19</v>
      </c>
      <c r="M34" s="166">
        <f ca="1">IF($D34&lt;&gt;"Serviço","",
          IF(AUTOEVENTO="manual",$A34,
                IF(ISERROR(MATCH($A34,$A$15:OFFSET($A34,-1,0),0)),MAX($M$15:OFFSET(M34,-1,0))+1,
                      INDEX($M$15:OFFSET(M34,-1,0),MATCH($A34,$A$15:OFFSET($A34,-1,0),0)))))</f>
        <v>1</v>
      </c>
      <c r="N34" s="167" t="str">
        <f ca="1">IF($D34&lt;&gt;"Serviço","",
         IF(AUTOEVENTO="Manual",
                IF($A34=0,"&lt;-- defina o número do agrupador",
                       OFFSET(EVENTOS!$D$15,$A34-$A$15,0)),
                OFFSET($F$15,$A34,0)))</f>
        <v>PROJETOS</v>
      </c>
      <c r="O34" s="168"/>
      <c r="Q34" s="168"/>
      <c r="R34" s="169">
        <v>3808.91</v>
      </c>
      <c r="S34" s="169">
        <v>3808.91</v>
      </c>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13331.19</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13331.19</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v>
      </c>
      <c r="AN34" s="171">
        <f ca="1">IF(OR($D34&lt;&gt;"Serviço",AND(AUTOEVENTO="Manual",$M34=$A$15)),0,
         IF(OFFSET(CRONOPLE!$F$15,$M34-$A$15,AN$13)=0,10^12,OFFSET(CRONOPLE!$F$15,$M34-$A$15,AN$13)))</f>
        <v>2</v>
      </c>
      <c r="AO34" s="171">
        <f ca="1">IF(OR($D34&lt;&gt;"Serviço",AND(AUTOEVENTO="Manual",$M34=$A$15)),0,
         IF(OFFSET(CRONOPLE!$F$15,$M34-$A$15,AO$13)=0,10^12,OFFSET(CRONOPLE!$F$15,$M34-$A$15,AO$13)))</f>
        <v>3</v>
      </c>
      <c r="AP34" s="171">
        <f ca="1">IF(OR($D34&lt;&gt;"Serviço",AND(AUTOEVENTO="Manual",$M34=$A$15)),0,
         IF(OFFSET(CRONOPLE!$F$15,$M34-$A$15,AP$13)=0,10^12,OFFSET(CRONOPLE!$F$15,$M34-$A$15,AP$13)))</f>
        <v>4</v>
      </c>
      <c r="AQ34" s="171">
        <f ca="1">IF(OR($D34&lt;&gt;"Serviço",AND(AUTOEVENTO="Manual",$M34=$A$15)),0,
         IF(OFFSET(CRONOPLE!$F$15,$M34-$A$15,AQ$13)=0,10^12,OFFSET(CRONOPLE!$F$15,$M34-$A$15,AQ$13)))</f>
        <v>5</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ht="38.25" x14ac:dyDescent="0.2">
      <c r="A35" s="7">
        <f t="shared" ca="1" si="8"/>
        <v>1</v>
      </c>
      <c r="B35" s="7" t="str">
        <f ca="1">OFFSET(ORÇAMENTO!C$15,$L35,0)</f>
        <v>S</v>
      </c>
      <c r="C35" s="7" t="str">
        <f ca="1">OFFSET(ORÇAMENTO!L$15,$L35,0)</f>
        <v>F</v>
      </c>
      <c r="D35" s="116" t="str">
        <f ca="1">OFFSET(ORÇAMENTO!N$15,$L35,0)</f>
        <v>Serviço</v>
      </c>
      <c r="E35" s="117" t="str">
        <f ca="1">OFFSET(ORÇAMENTO!O$15,$L35,0)</f>
        <v>1.1.1.17.</v>
      </c>
      <c r="F35" s="163" t="str">
        <f ca="1">OFFSET(ORÇAMENTO!R$15,$L35,0)</f>
        <v>(Código não identificado nas referências)</v>
      </c>
      <c r="G35" s="164" t="str">
        <f ca="1">IF($D35&lt;&gt;"Serviço","",OFFSET(ORÇAMENTO!S$15,$L35,0))</f>
        <v>M2</v>
      </c>
      <c r="H35" s="122" cm="1">
        <f t="array" aca="1" ref="H35" ca="1">IF($D35&lt;&gt;"Serviço",0,IF(ACOMPANHAMENTO="BM",ROUND(OFFSET(ORÇAMENTO!AJ$15,$L35,0),15-13*ORÇAMENTO!$AF$7),IF(IFERROR(CÁLCULO.FrentesPreenchidas,0)=0,0,SUM(ROUND(OFFSET($P35,0,1,1,CÁLCULO.FrentesPreenchidas),15-13*ORÇAMENTO!$AF$7)))))</f>
        <v>7617.82</v>
      </c>
      <c r="I35" s="468" t="s">
        <v>1088</v>
      </c>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t="s">
        <v>1048</v>
      </c>
      <c r="L35" s="165">
        <f t="shared" ca="1" si="9"/>
        <v>20</v>
      </c>
      <c r="M35" s="166">
        <f ca="1">IF($D35&lt;&gt;"Serviço","",
          IF(AUTOEVENTO="manual",$A35,
                IF(ISERROR(MATCH($A35,$A$15:OFFSET($A35,-1,0),0)),MAX($M$15:OFFSET(M35,-1,0))+1,
                      INDEX($M$15:OFFSET(M35,-1,0),MATCH($A35,$A$15:OFFSET($A35,-1,0),0)))))</f>
        <v>1</v>
      </c>
      <c r="N35" s="167" t="str">
        <f ca="1">IF($D35&lt;&gt;"Serviço","",
         IF(AUTOEVENTO="Manual",
                IF($A35=0,"&lt;-- defina o número do agrupador",
                       OFFSET(EVENTOS!$D$15,$A35-$A$15,0)),
                OFFSET($F$15,$A35,0)))</f>
        <v>PROJETOS</v>
      </c>
      <c r="O35" s="168"/>
      <c r="Q35" s="168"/>
      <c r="R35" s="169">
        <v>3808.91</v>
      </c>
      <c r="S35" s="169">
        <v>3808.91</v>
      </c>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5789.54</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5789.54</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1</v>
      </c>
      <c r="AN35" s="171">
        <f ca="1">IF(OR($D35&lt;&gt;"Serviço",AND(AUTOEVENTO="Manual",$M35=$A$15)),0,
         IF(OFFSET(CRONOPLE!$F$15,$M35-$A$15,AN$13)=0,10^12,OFFSET(CRONOPLE!$F$15,$M35-$A$15,AN$13)))</f>
        <v>2</v>
      </c>
      <c r="AO35" s="171">
        <f ca="1">IF(OR($D35&lt;&gt;"Serviço",AND(AUTOEVENTO="Manual",$M35=$A$15)),0,
         IF(OFFSET(CRONOPLE!$F$15,$M35-$A$15,AO$13)=0,10^12,OFFSET(CRONOPLE!$F$15,$M35-$A$15,AO$13)))</f>
        <v>3</v>
      </c>
      <c r="AP35" s="171">
        <f ca="1">IF(OR($D35&lt;&gt;"Serviço",AND(AUTOEVENTO="Manual",$M35=$A$15)),0,
         IF(OFFSET(CRONOPLE!$F$15,$M35-$A$15,AP$13)=0,10^12,OFFSET(CRONOPLE!$F$15,$M35-$A$15,AP$13)))</f>
        <v>4</v>
      </c>
      <c r="AQ35" s="171">
        <f ca="1">IF(OR($D35&lt;&gt;"Serviço",AND(AUTOEVENTO="Manual",$M35=$A$15)),0,
         IF(OFFSET(CRONOPLE!$F$15,$M35-$A$15,AQ$13)=0,10^12,OFFSET(CRONOPLE!$F$15,$M35-$A$15,AQ$13)))</f>
        <v>5</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cm="1">
        <f t="array" aca="1" ref="AX35" ca="1">IF(OR($D35&lt;&gt;"Serviço",AND(AUTOEVENTO="Manual",$M35=$A$15),$M35&gt;(ROW(PLE.lastrow)-ROW(PLE.firstrow))),0,
           IF(OFFSET(PLE!$G$15,$M35-$A$15,AX$13)="",10^12,OFFSET(PLE!$G$15,$M35-$A$15,AX$13)))</f>
        <v>1000000000000</v>
      </c>
      <c r="AY35" s="172" cm="1">
        <f t="array" aca="1" ref="AY35" ca="1">IF(OR($D35&lt;&gt;"Serviço",AND(AUTOEVENTO="Manual",$M35=$A$15),$M35&gt;(ROW(PLE.lastrow)-ROW(PLE.firstrow))),0,
           IF(OFFSET(PLE!$G$15,$M35-$A$15,AY$13)="",10^12,OFFSET(PLE!$G$15,$M35-$A$15,AY$13)))</f>
        <v>1000000000000</v>
      </c>
      <c r="AZ35" s="172" cm="1">
        <f t="array" aca="1" ref="AZ35" ca="1">IF(OR($D35&lt;&gt;"Serviço",AND(AUTOEVENTO="Manual",$M35=$A$15),$M35&gt;(ROW(PLE.lastrow)-ROW(PLE.firstrow))),0,
           IF(OFFSET(PLE!$G$15,$M35-$A$15,AZ$13)="",10^12,OFFSET(PLE!$G$15,$M35-$A$15,AZ$13)))</f>
        <v>1000000000000</v>
      </c>
      <c r="BA35" s="172" cm="1">
        <f t="array" aca="1" ref="BA35" ca="1">IF(OR($D35&lt;&gt;"Serviço",AND(AUTOEVENTO="Manual",$M35=$A$15),$M35&gt;(ROW(PLE.lastrow)-ROW(PLE.firstrow))),0,
           IF(OFFSET(PLE!$G$15,$M35-$A$15,BA$13)="",10^12,OFFSET(PLE!$G$15,$M35-$A$15,BA$13)))</f>
        <v>1000000000000</v>
      </c>
      <c r="BB35" s="172" cm="1">
        <f t="array" aca="1" ref="BB35" ca="1">IF(OR($D35&lt;&gt;"Serviço",AND(AUTOEVENTO="Manual",$M35=$A$15),$M35&gt;(ROW(PLE.lastrow)-ROW(PLE.firstrow))),0,
           IF(OFFSET(PLE!$G$15,$M35-$A$15,BB$13)="",10^12,OFFSET(PLE!$G$15,$M35-$A$15,BB$13)))</f>
        <v>1000000000000</v>
      </c>
      <c r="BC35" s="172" cm="1">
        <f t="array" aca="1" ref="BC35" ca="1">IF(OR($D35&lt;&gt;"Serviço",AND(AUTOEVENTO="Manual",$M35=$A$15),$M35&gt;(ROW(PLE.lastrow)-ROW(PLE.firstrow))),0,
           IF(OFFSET(PLE!$G$15,$M35-$A$15,BC$13)="",10^12,OFFSET(PLE!$G$15,$M35-$A$15,BC$13)))</f>
        <v>1000000000000</v>
      </c>
      <c r="BD35" s="172" cm="1">
        <f t="array" aca="1" ref="BD35" ca="1">IF(OR($D35&lt;&gt;"Serviço",AND(AUTOEVENTO="Manual",$M35=$A$15),$M35&gt;(ROW(PLE.lastrow)-ROW(PLE.firstrow))),0,
           IF(OFFSET(PLE!$G$15,$M35-$A$15,BD$13)="",10^12,OFFSET(PLE!$G$15,$M35-$A$15,BD$13)))</f>
        <v>1000000000000</v>
      </c>
      <c r="BE35" s="172" cm="1">
        <f t="array" aca="1" ref="BE35" ca="1">IF(OR($D35&lt;&gt;"Serviço",AND(AUTOEVENTO="Manual",$M35=$A$15),$M35&gt;(ROW(PLE.lastrow)-ROW(PLE.firstrow))),0,
           IF(OFFSET(PLE!$G$15,$M35-$A$15,BE$13)="",10^12,OFFSET(PLE!$G$15,$M35-$A$15,BE$13)))</f>
        <v>1000000000000</v>
      </c>
      <c r="BF35" s="172" cm="1">
        <f t="array" aca="1" ref="BF35" ca="1">IF(OR($D35&lt;&gt;"Serviço",AND(AUTOEVENTO="Manual",$M35=$A$15),$M35&gt;(ROW(PLE.lastrow)-ROW(PLE.firstrow))),0,
           IF(OFFSET(PLE!$G$15,$M35-$A$15,BF$13)="",10^12,OFFSET(PLE!$G$15,$M35-$A$15,BF$13)))</f>
        <v>1000000000000</v>
      </c>
      <c r="BG35" s="172" cm="1">
        <f t="array" aca="1" ref="BG35" ca="1">IF(OR($D35&lt;&gt;"Serviço",AND(AUTOEVENTO="Manual",$M35=$A$15),$M35&gt;(ROW(PLE.lastrow)-ROW(PLE.firstrow))),0,
           IF(OFFSET(PLE!$G$15,$M35-$A$15,BG$13)="",10^12,OFFSET(PLE!$G$15,$M35-$A$15,BG$13)))</f>
        <v>1000000000000</v>
      </c>
    </row>
    <row r="36" spans="1:59" ht="38.25" x14ac:dyDescent="0.2">
      <c r="A36" s="7">
        <f t="shared" ca="1" si="8"/>
        <v>1</v>
      </c>
      <c r="B36" s="7" t="str">
        <f ca="1">OFFSET(ORÇAMENTO!C$15,$L36,0)</f>
        <v>S</v>
      </c>
      <c r="C36" s="7" t="str">
        <f ca="1">OFFSET(ORÇAMENTO!L$15,$L36,0)</f>
        <v>F</v>
      </c>
      <c r="D36" s="116" t="str">
        <f ca="1">OFFSET(ORÇAMENTO!N$15,$L36,0)</f>
        <v>Serviço</v>
      </c>
      <c r="E36" s="117" t="str">
        <f ca="1">OFFSET(ORÇAMENTO!O$15,$L36,0)</f>
        <v>1.1.1.18.</v>
      </c>
      <c r="F36" s="163" t="str">
        <f ca="1">OFFSET(ORÇAMENTO!R$15,$L36,0)</f>
        <v>(Código não identificado nas referências)</v>
      </c>
      <c r="G36" s="164" t="str">
        <f ca="1">IF($D36&lt;&gt;"Serviço","",OFFSET(ORÇAMENTO!S$15,$L36,0))</f>
        <v>M2</v>
      </c>
      <c r="H36" s="122" cm="1">
        <f t="array" aca="1" ref="H36" ca="1">IF($D36&lt;&gt;"Serviço",0,IF(ACOMPANHAMENTO="BM",ROUND(OFFSET(ORÇAMENTO!AJ$15,$L36,0),15-13*ORÇAMENTO!$AF$7),IF(IFERROR(CÁLCULO.FrentesPreenchidas,0)=0,0,SUM(ROUND(OFFSET($P36,0,1,1,CÁLCULO.FrentesPreenchidas),15-13*ORÇAMENTO!$AF$7)))))</f>
        <v>7617.82</v>
      </c>
      <c r="I36" s="468" t="s">
        <v>1088</v>
      </c>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t="s">
        <v>1048</v>
      </c>
      <c r="L36" s="165">
        <f t="shared" ca="1" si="9"/>
        <v>21</v>
      </c>
      <c r="M36" s="166">
        <f ca="1">IF($D36&lt;&gt;"Serviço","",
          IF(AUTOEVENTO="manual",$A36,
                IF(ISERROR(MATCH($A36,$A$15:OFFSET($A36,-1,0),0)),MAX($M$15:OFFSET(M36,-1,0))+1,
                      INDEX($M$15:OFFSET(M36,-1,0),MATCH($A36,$A$15:OFFSET($A36,-1,0),0)))))</f>
        <v>1</v>
      </c>
      <c r="N36" s="167" t="str">
        <f ca="1">IF($D36&lt;&gt;"Serviço","",
         IF(AUTOEVENTO="Manual",
                IF($A36=0,"&lt;-- defina o número do agrupador",
                       OFFSET(EVENTOS!$D$15,$A36-$A$15,0)),
                OFFSET($F$15,$A36,0)))</f>
        <v>PROJETOS</v>
      </c>
      <c r="O36" s="168"/>
      <c r="Q36" s="168">
        <v>1523.56</v>
      </c>
      <c r="R36" s="169">
        <v>3047.12</v>
      </c>
      <c r="S36" s="169">
        <v>3047.14</v>
      </c>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3473.72</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6947.43</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6947.48</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v>
      </c>
      <c r="AN36" s="171">
        <f ca="1">IF(OR($D36&lt;&gt;"Serviço",AND(AUTOEVENTO="Manual",$M36=$A$15)),0,
         IF(OFFSET(CRONOPLE!$F$15,$M36-$A$15,AN$13)=0,10^12,OFFSET(CRONOPLE!$F$15,$M36-$A$15,AN$13)))</f>
        <v>2</v>
      </c>
      <c r="AO36" s="171">
        <f ca="1">IF(OR($D36&lt;&gt;"Serviço",AND(AUTOEVENTO="Manual",$M36=$A$15)),0,
         IF(OFFSET(CRONOPLE!$F$15,$M36-$A$15,AO$13)=0,10^12,OFFSET(CRONOPLE!$F$15,$M36-$A$15,AO$13)))</f>
        <v>3</v>
      </c>
      <c r="AP36" s="171">
        <f ca="1">IF(OR($D36&lt;&gt;"Serviço",AND(AUTOEVENTO="Manual",$M36=$A$15)),0,
         IF(OFFSET(CRONOPLE!$F$15,$M36-$A$15,AP$13)=0,10^12,OFFSET(CRONOPLE!$F$15,$M36-$A$15,AP$13)))</f>
        <v>4</v>
      </c>
      <c r="AQ36" s="171">
        <f ca="1">IF(OR($D36&lt;&gt;"Serviço",AND(AUTOEVENTO="Manual",$M36=$A$15)),0,
         IF(OFFSET(CRONOPLE!$F$15,$M36-$A$15,AQ$13)=0,10^12,OFFSET(CRONOPLE!$F$15,$M36-$A$15,AQ$13)))</f>
        <v>5</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ht="25.5" x14ac:dyDescent="0.2">
      <c r="A37" s="7">
        <f t="shared" ca="1" si="8"/>
        <v>1</v>
      </c>
      <c r="B37" s="7" t="str">
        <f ca="1">OFFSET(ORÇAMENTO!C$15,$L37,0)</f>
        <v>S</v>
      </c>
      <c r="C37" s="7" t="str">
        <f ca="1">OFFSET(ORÇAMENTO!L$15,$L37,0)</f>
        <v>F</v>
      </c>
      <c r="D37" s="116" t="str">
        <f ca="1">OFFSET(ORÇAMENTO!N$15,$L37,0)</f>
        <v>Serviço</v>
      </c>
      <c r="E37" s="117" t="str">
        <f ca="1">OFFSET(ORÇAMENTO!O$15,$L37,0)</f>
        <v>1.1.1.19.</v>
      </c>
      <c r="F37" s="163" t="str">
        <f ca="1">OFFSET(ORÇAMENTO!R$15,$L37,0)</f>
        <v>(Código não identificado nas referências)</v>
      </c>
      <c r="G37" s="164" t="str">
        <f ca="1">IF($D37&lt;&gt;"Serviço","",OFFSET(ORÇAMENTO!S$15,$L37,0))</f>
        <v>M2</v>
      </c>
      <c r="H37" s="122" cm="1">
        <f t="array" aca="1" ref="H37" ca="1">IF($D37&lt;&gt;"Serviço",0,IF(ACOMPANHAMENTO="BM",ROUND(OFFSET(ORÇAMENTO!AJ$15,$L37,0),15-13*ORÇAMENTO!$AF$7),IF(IFERROR(CÁLCULO.FrentesPreenchidas,0)=0,0,SUM(ROUND(OFFSET($P37,0,1,1,CÁLCULO.FrentesPreenchidas),15-13*ORÇAMENTO!$AF$7)))))</f>
        <v>2822.18</v>
      </c>
      <c r="I37" s="468" t="s">
        <v>1047</v>
      </c>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t="s">
        <v>1048</v>
      </c>
      <c r="L37" s="165">
        <f t="shared" ca="1" si="9"/>
        <v>22</v>
      </c>
      <c r="M37" s="166">
        <f ca="1">IF($D37&lt;&gt;"Serviço","",
          IF(AUTOEVENTO="manual",$A37,
                IF(ISERROR(MATCH($A37,$A$15:OFFSET($A37,-1,0),0)),MAX($M$15:OFFSET(M37,-1,0))+1,
                      INDEX($M$15:OFFSET(M37,-1,0),MATCH($A37,$A$15:OFFSET($A37,-1,0),0)))))</f>
        <v>1</v>
      </c>
      <c r="N37" s="167" t="str">
        <f ca="1">IF($D37&lt;&gt;"Serviço","",
         IF(AUTOEVENTO="Manual",
                IF($A37=0,"&lt;-- defina o número do agrupador",
                       OFFSET(EVENTOS!$D$15,$A37-$A$15,0)),
                OFFSET($F$15,$A37,0)))</f>
        <v>PROJETOS</v>
      </c>
      <c r="O37" s="168"/>
      <c r="Q37" s="168">
        <v>564.44000000000005</v>
      </c>
      <c r="R37" s="169">
        <v>1128.8699999999999</v>
      </c>
      <c r="S37" s="169">
        <v>1128.8699999999999</v>
      </c>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304.8</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609.59</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609.59</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1</v>
      </c>
      <c r="AN37" s="171">
        <f ca="1">IF(OR($D37&lt;&gt;"Serviço",AND(AUTOEVENTO="Manual",$M37=$A$15)),0,
         IF(OFFSET(CRONOPLE!$F$15,$M37-$A$15,AN$13)=0,10^12,OFFSET(CRONOPLE!$F$15,$M37-$A$15,AN$13)))</f>
        <v>2</v>
      </c>
      <c r="AO37" s="171">
        <f ca="1">IF(OR($D37&lt;&gt;"Serviço",AND(AUTOEVENTO="Manual",$M37=$A$15)),0,
         IF(OFFSET(CRONOPLE!$F$15,$M37-$A$15,AO$13)=0,10^12,OFFSET(CRONOPLE!$F$15,$M37-$A$15,AO$13)))</f>
        <v>3</v>
      </c>
      <c r="AP37" s="171">
        <f ca="1">IF(OR($D37&lt;&gt;"Serviço",AND(AUTOEVENTO="Manual",$M37=$A$15)),0,
         IF(OFFSET(CRONOPLE!$F$15,$M37-$A$15,AP$13)=0,10^12,OFFSET(CRONOPLE!$F$15,$M37-$A$15,AP$13)))</f>
        <v>4</v>
      </c>
      <c r="AQ37" s="171">
        <f ca="1">IF(OR($D37&lt;&gt;"Serviço",AND(AUTOEVENTO="Manual",$M37=$A$15)),0,
         IF(OFFSET(CRONOPLE!$F$15,$M37-$A$15,AQ$13)=0,10^12,OFFSET(CRONOPLE!$F$15,$M37-$A$15,AQ$13)))</f>
        <v>5</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ht="38.25" x14ac:dyDescent="0.2">
      <c r="A38" s="7">
        <f t="shared" ca="1" si="8"/>
        <v>1</v>
      </c>
      <c r="B38" s="7" t="str">
        <f ca="1">OFFSET(ORÇAMENTO!C$15,$L38,0)</f>
        <v>S</v>
      </c>
      <c r="C38" s="7" t="str">
        <f ca="1">OFFSET(ORÇAMENTO!L$15,$L38,0)</f>
        <v>F</v>
      </c>
      <c r="D38" s="116" t="str">
        <f ca="1">OFFSET(ORÇAMENTO!N$15,$L38,0)</f>
        <v>Serviço</v>
      </c>
      <c r="E38" s="117" t="str">
        <f ca="1">OFFSET(ORÇAMENTO!O$15,$L38,0)</f>
        <v>1.1.1.20.</v>
      </c>
      <c r="F38" s="163" t="str">
        <f ca="1">OFFSET(ORÇAMENTO!R$15,$L38,0)</f>
        <v>(Código não identificado nas referências)</v>
      </c>
      <c r="G38" s="164" t="str">
        <f ca="1">IF($D38&lt;&gt;"Serviço","",OFFSET(ORÇAMENTO!S$15,$L38,0))</f>
        <v>M2</v>
      </c>
      <c r="H38" s="122" cm="1">
        <f t="array" aca="1" ref="H38" ca="1">IF($D38&lt;&gt;"Serviço",0,IF(ACOMPANHAMENTO="BM",ROUND(OFFSET(ORÇAMENTO!AJ$15,$L38,0),15-13*ORÇAMENTO!$AF$7),IF(IFERROR(CÁLCULO.FrentesPreenchidas,0)=0,0,SUM(ROUND(OFFSET($P38,0,1,1,CÁLCULO.FrentesPreenchidas),15-13*ORÇAMENTO!$AF$7)))))</f>
        <v>7617.82</v>
      </c>
      <c r="I38" s="468" t="s">
        <v>1088</v>
      </c>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t="s">
        <v>1048</v>
      </c>
      <c r="L38" s="165">
        <f t="shared" ca="1" si="9"/>
        <v>23</v>
      </c>
      <c r="M38" s="166">
        <f ca="1">IF($D38&lt;&gt;"Serviço","",
          IF(AUTOEVENTO="manual",$A38,
                IF(ISERROR(MATCH($A38,$A$15:OFFSET($A38,-1,0),0)),MAX($M$15:OFFSET(M38,-1,0))+1,
                      INDEX($M$15:OFFSET(M38,-1,0),MATCH($A38,$A$15:OFFSET($A38,-1,0),0)))))</f>
        <v>1</v>
      </c>
      <c r="N38" s="167" t="str">
        <f ca="1">IF($D38&lt;&gt;"Serviço","",
         IF(AUTOEVENTO="Manual",
                IF($A38=0,"&lt;-- defina o número do agrupador",
                       OFFSET(EVENTOS!$D$15,$A38-$A$15,0)),
                OFFSET($F$15,$A38,0)))</f>
        <v>PROJETOS</v>
      </c>
      <c r="O38" s="168"/>
      <c r="Q38" s="168"/>
      <c r="R38" s="169"/>
      <c r="S38" s="169"/>
      <c r="T38" s="169">
        <v>3808.91</v>
      </c>
      <c r="U38" s="169">
        <v>3808.91</v>
      </c>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4151.71</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4151.71</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1</v>
      </c>
      <c r="AN38" s="171">
        <f ca="1">IF(OR($D38&lt;&gt;"Serviço",AND(AUTOEVENTO="Manual",$M38=$A$15)),0,
         IF(OFFSET(CRONOPLE!$F$15,$M38-$A$15,AN$13)=0,10^12,OFFSET(CRONOPLE!$F$15,$M38-$A$15,AN$13)))</f>
        <v>2</v>
      </c>
      <c r="AO38" s="171">
        <f ca="1">IF(OR($D38&lt;&gt;"Serviço",AND(AUTOEVENTO="Manual",$M38=$A$15)),0,
         IF(OFFSET(CRONOPLE!$F$15,$M38-$A$15,AO$13)=0,10^12,OFFSET(CRONOPLE!$F$15,$M38-$A$15,AO$13)))</f>
        <v>3</v>
      </c>
      <c r="AP38" s="171">
        <f ca="1">IF(OR($D38&lt;&gt;"Serviço",AND(AUTOEVENTO="Manual",$M38=$A$15)),0,
         IF(OFFSET(CRONOPLE!$F$15,$M38-$A$15,AP$13)=0,10^12,OFFSET(CRONOPLE!$F$15,$M38-$A$15,AP$13)))</f>
        <v>4</v>
      </c>
      <c r="AQ38" s="171">
        <f ca="1">IF(OR($D38&lt;&gt;"Serviço",AND(AUTOEVENTO="Manual",$M38=$A$15)),0,
         IF(OFFSET(CRONOPLE!$F$15,$M38-$A$15,AQ$13)=0,10^12,OFFSET(CRONOPLE!$F$15,$M38-$A$15,AQ$13)))</f>
        <v>5</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ht="12.75" x14ac:dyDescent="0.2">
      <c r="A39" s="7">
        <f t="shared" ca="1" si="8"/>
        <v>2</v>
      </c>
      <c r="B39" s="7">
        <f ca="1">OFFSET(ORÇAMENTO!C$15,$L39,0)</f>
        <v>2</v>
      </c>
      <c r="C39" s="7" t="str">
        <f ca="1">OFFSET(ORÇAMENTO!L$15,$L39,0)</f>
        <v>F</v>
      </c>
      <c r="D39" s="116" t="str">
        <f ca="1">OFFSET(ORÇAMENTO!N$15,$L39,0)</f>
        <v>Nível 2</v>
      </c>
      <c r="E39" s="117" t="str">
        <f ca="1">OFFSET(ORÇAMENTO!O$15,$L39,0)</f>
        <v>1.2.</v>
      </c>
      <c r="F39" s="163" t="str">
        <f ca="1">OFFSET(ORÇAMENTO!R$15,$L39,0)</f>
        <v>SERVIÇOS PRELIMINARES</v>
      </c>
      <c r="G39" s="164" t="str">
        <f ca="1">IF($D39&lt;&gt;"Serviço","",OFFSET(ORÇAMENTO!S$15,$L39,0))</f>
        <v/>
      </c>
      <c r="H39" s="122" cm="1">
        <f t="array" aca="1" ref="H39" ca="1">IF($D39&lt;&gt;"Serviço",0,IF(ACOMPANHAMENTO="BM",ROUND(OFFSET(ORÇAMENTO!AJ$15,$L39,0),15-13*ORÇAMENTO!$AF$7),IF(IFERROR(CÁLCULO.FrentesPreenchidas,0)=0,0,SUM(ROUND(OFFSET($P39,0,1,1,CÁLCULO.FrentesPreenchidas),15-13*ORÇAMENTO!$AF$7)))))</f>
        <v>0</v>
      </c>
      <c r="I39" s="468"/>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2" t="s">
        <v>1016</v>
      </c>
      <c r="L39" s="165">
        <f t="shared" ca="1" si="9"/>
        <v>24</v>
      </c>
      <c r="M39" s="166" t="str">
        <f ca="1">IF($D39&lt;&gt;"Serviço","",
          IF(AUTOEVENTO="manual",$A39,
                IF(ISERROR(MATCH($A39,$A$15:OFFSET($A39,-1,0),0)),MAX($M$15:OFFSET(M39,-1,0))+1,
                      INDEX($M$15:OFFSET(M39,-1,0),MATCH($A39,$A$15:OFFSET($A39,-1,0),0)))))</f>
        <v/>
      </c>
      <c r="N39" s="167" t="str">
        <f ca="1">IF($D39&lt;&gt;"Serviço","",
         IF(AUTOEVENTO="Manual",
                IF($A39=0,"&lt;-- defina o número do agrupador",
                       OFFSET(EVENTOS!$D$15,$A39-$A$15,0)),
                OFFSET($F$15,$A39,0)))</f>
        <v/>
      </c>
      <c r="O39" s="168"/>
      <c r="Q39" s="168"/>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0</v>
      </c>
      <c r="AN39" s="171">
        <f ca="1">IF(OR($D39&lt;&gt;"Serviço",AND(AUTOEVENTO="Manual",$M39=$A$15)),0,
         IF(OFFSET(CRONOPLE!$F$15,$M39-$A$15,AN$13)=0,10^12,OFFSET(CRONOPLE!$F$15,$M39-$A$15,AN$13)))</f>
        <v>0</v>
      </c>
      <c r="AO39" s="171">
        <f ca="1">IF(OR($D39&lt;&gt;"Serviço",AND(AUTOEVENTO="Manual",$M39=$A$15)),0,
         IF(OFFSET(CRONOPLE!$F$15,$M39-$A$15,AO$13)=0,10^12,OFFSET(CRONOPLE!$F$15,$M39-$A$15,AO$13)))</f>
        <v>0</v>
      </c>
      <c r="AP39" s="171">
        <f ca="1">IF(OR($D39&lt;&gt;"Serviço",AND(AUTOEVENTO="Manual",$M39=$A$15)),0,
         IF(OFFSET(CRONOPLE!$F$15,$M39-$A$15,AP$13)=0,10^12,OFFSET(CRONOPLE!$F$15,$M39-$A$15,AP$13)))</f>
        <v>0</v>
      </c>
      <c r="AQ39" s="171">
        <f ca="1">IF(OR($D39&lt;&gt;"Serviço",AND(AUTOEVENTO="Manual",$M39=$A$15)),0,
         IF(OFFSET(CRONOPLE!$F$15,$M39-$A$15,AQ$13)=0,10^12,OFFSET(CRONOPLE!$F$15,$M39-$A$15,AQ$13)))</f>
        <v>0</v>
      </c>
      <c r="AR39" s="171">
        <f ca="1">IF(OR($D39&lt;&gt;"Serviço",AND(AUTOEVENTO="Manual",$M39=$A$15)),0,
         IF(OFFSET(CRONOPLE!$F$15,$M39-$A$15,AR$13)=0,10^12,OFFSET(CRONOPLE!$F$15,$M39-$A$15,AR$13)))</f>
        <v>0</v>
      </c>
      <c r="AS39" s="171">
        <f ca="1">IF(OR($D39&lt;&gt;"Serviço",AND(AUTOEVENTO="Manual",$M39=$A$15)),0,
         IF(OFFSET(CRONOPLE!$F$15,$M39-$A$15,AS$13)=0,10^12,OFFSET(CRONOPLE!$F$15,$M39-$A$15,AS$13)))</f>
        <v>0</v>
      </c>
      <c r="AT39" s="171">
        <f ca="1">IF(OR($D39&lt;&gt;"Serviço",AND(AUTOEVENTO="Manual",$M39=$A$15)),0,
         IF(OFFSET(CRONOPLE!$F$15,$M39-$A$15,AT$13)=0,10^12,OFFSET(CRONOPLE!$F$15,$M39-$A$15,AT$13)))</f>
        <v>0</v>
      </c>
      <c r="AU39" s="171">
        <f ca="1">IF(OR($D39&lt;&gt;"Serviço",AND(AUTOEVENTO="Manual",$M39=$A$15)),0,
         IF(OFFSET(CRONOPLE!$F$15,$M39-$A$15,AU$13)=0,10^12,OFFSET(CRONOPLE!$F$15,$M39-$A$15,AU$13)))</f>
        <v>0</v>
      </c>
      <c r="AV39" s="171">
        <f ca="1">IF(OR($D39&lt;&gt;"Serviço",AND(AUTOEVENTO="Manual",$M39=$A$15)),0,
         IF(OFFSET(CRONOPLE!$F$15,$M39-$A$15,AV$13)=0,10^12,OFFSET(CRONOPLE!$F$15,$M39-$A$15,AV$13)))</f>
        <v>0</v>
      </c>
      <c r="AX39" s="172" cm="1">
        <f t="array" aca="1" ref="AX39" ca="1">IF(OR($D39&lt;&gt;"Serviço",AND(AUTOEVENTO="Manual",$M39=$A$15),$M39&gt;(ROW(PLE.lastrow)-ROW(PLE.firstrow))),0,
           IF(OFFSET(PLE!$G$15,$M39-$A$15,AX$13)="",10^12,OFFSET(PLE!$G$15,$M39-$A$15,AX$13)))</f>
        <v>0</v>
      </c>
      <c r="AY39" s="172" cm="1">
        <f t="array" aca="1" ref="AY39" ca="1">IF(OR($D39&lt;&gt;"Serviço",AND(AUTOEVENTO="Manual",$M39=$A$15),$M39&gt;(ROW(PLE.lastrow)-ROW(PLE.firstrow))),0,
           IF(OFFSET(PLE!$G$15,$M39-$A$15,AY$13)="",10^12,OFFSET(PLE!$G$15,$M39-$A$15,AY$13)))</f>
        <v>0</v>
      </c>
      <c r="AZ39" s="172" cm="1">
        <f t="array" aca="1" ref="AZ39" ca="1">IF(OR($D39&lt;&gt;"Serviço",AND(AUTOEVENTO="Manual",$M39=$A$15),$M39&gt;(ROW(PLE.lastrow)-ROW(PLE.firstrow))),0,
           IF(OFFSET(PLE!$G$15,$M39-$A$15,AZ$13)="",10^12,OFFSET(PLE!$G$15,$M39-$A$15,AZ$13)))</f>
        <v>0</v>
      </c>
      <c r="BA39" s="172" cm="1">
        <f t="array" aca="1" ref="BA39" ca="1">IF(OR($D39&lt;&gt;"Serviço",AND(AUTOEVENTO="Manual",$M39=$A$15),$M39&gt;(ROW(PLE.lastrow)-ROW(PLE.firstrow))),0,
           IF(OFFSET(PLE!$G$15,$M39-$A$15,BA$13)="",10^12,OFFSET(PLE!$G$15,$M39-$A$15,BA$13)))</f>
        <v>0</v>
      </c>
      <c r="BB39" s="172" cm="1">
        <f t="array" aca="1" ref="BB39" ca="1">IF(OR($D39&lt;&gt;"Serviço",AND(AUTOEVENTO="Manual",$M39=$A$15),$M39&gt;(ROW(PLE.lastrow)-ROW(PLE.firstrow))),0,
           IF(OFFSET(PLE!$G$15,$M39-$A$15,BB$13)="",10^12,OFFSET(PLE!$G$15,$M39-$A$15,BB$13)))</f>
        <v>0</v>
      </c>
      <c r="BC39" s="172" cm="1">
        <f t="array" aca="1" ref="BC39" ca="1">IF(OR($D39&lt;&gt;"Serviço",AND(AUTOEVENTO="Manual",$M39=$A$15),$M39&gt;(ROW(PLE.lastrow)-ROW(PLE.firstrow))),0,
           IF(OFFSET(PLE!$G$15,$M39-$A$15,BC$13)="",10^12,OFFSET(PLE!$G$15,$M39-$A$15,BC$13)))</f>
        <v>0</v>
      </c>
      <c r="BD39" s="172" cm="1">
        <f t="array" aca="1" ref="BD39" ca="1">IF(OR($D39&lt;&gt;"Serviço",AND(AUTOEVENTO="Manual",$M39=$A$15),$M39&gt;(ROW(PLE.lastrow)-ROW(PLE.firstrow))),0,
           IF(OFFSET(PLE!$G$15,$M39-$A$15,BD$13)="",10^12,OFFSET(PLE!$G$15,$M39-$A$15,BD$13)))</f>
        <v>0</v>
      </c>
      <c r="BE39" s="172" cm="1">
        <f t="array" aca="1" ref="BE39" ca="1">IF(OR($D39&lt;&gt;"Serviço",AND(AUTOEVENTO="Manual",$M39=$A$15),$M39&gt;(ROW(PLE.lastrow)-ROW(PLE.firstrow))),0,
           IF(OFFSET(PLE!$G$15,$M39-$A$15,BE$13)="",10^12,OFFSET(PLE!$G$15,$M39-$A$15,BE$13)))</f>
        <v>0</v>
      </c>
      <c r="BF39" s="172" cm="1">
        <f t="array" aca="1" ref="BF39" ca="1">IF(OR($D39&lt;&gt;"Serviço",AND(AUTOEVENTO="Manual",$M39=$A$15),$M39&gt;(ROW(PLE.lastrow)-ROW(PLE.firstrow))),0,
           IF(OFFSET(PLE!$G$15,$M39-$A$15,BF$13)="",10^12,OFFSET(PLE!$G$15,$M39-$A$15,BF$13)))</f>
        <v>0</v>
      </c>
      <c r="BG39" s="172" cm="1">
        <f t="array" aca="1" ref="BG39" ca="1">IF(OR($D39&lt;&gt;"Serviço",AND(AUTOEVENTO="Manual",$M39=$A$15),$M39&gt;(ROW(PLE.lastrow)-ROW(PLE.firstrow))),0,
           IF(OFFSET(PLE!$G$15,$M39-$A$15,BG$13)="",10^12,OFFSET(PLE!$G$15,$M39-$A$15,BG$13)))</f>
        <v>0</v>
      </c>
    </row>
    <row r="40" spans="1:59" ht="12.75" x14ac:dyDescent="0.2">
      <c r="A40" s="7">
        <f t="shared" ref="A40:A60" ca="1" si="10">IFERROR(IF(AUTOEVENTO="Manual",IF(K40&lt;&gt;"",MIN(VALUE(LEFT(K40,FIND(".",K40)-1)),COUNTA(EVENTOS.Lista)),0),IF(OR($B40&gt;AUTOEVENTO,$B40="S",$B40=0),SUBSTITUTE(OFFSET($A40,-1,0),IF($D40="Serviço",".",""),""),$L40&amp;".")),0)</f>
        <v>0</v>
      </c>
      <c r="B40" s="7">
        <f ca="1">OFFSET(ORÇAMENTO!C$15,$L40,0)</f>
        <v>3</v>
      </c>
      <c r="C40" s="7" t="str">
        <f ca="1">OFFSET(ORÇAMENTO!L$15,$L40,0)</f>
        <v>F</v>
      </c>
      <c r="D40" s="116" t="str">
        <f ca="1">OFFSET(ORÇAMENTO!N$15,$L40,0)</f>
        <v>Nível 3</v>
      </c>
      <c r="E40" s="117" t="str">
        <f ca="1">OFFSET(ORÇAMENTO!O$15,$L40,0)</f>
        <v>1.2.1.</v>
      </c>
      <c r="F40" s="163" t="str">
        <f ca="1">OFFSET(ORÇAMENTO!R$15,$L40,0)</f>
        <v>Limpeza e cercamento de área, instalação de canteiros e placa de obra</v>
      </c>
      <c r="G40" s="164" t="str">
        <f ca="1">IF($D40&lt;&gt;"Serviço","",OFFSET(ORÇAMENTO!S$15,$L40,0))</f>
        <v/>
      </c>
      <c r="H40" s="122" cm="1">
        <f t="array" aca="1" ref="H40" ca="1">IF($D40&lt;&gt;"Serviço",0,IF(ACOMPANHAMENTO="BM",ROUND(OFFSET(ORÇAMENTO!AJ$15,$L40,0),15-13*ORÇAMENTO!$AF$7),IF(IFERROR(CÁLCULO.FrentesPreenchidas,0)=0,0,SUM(ROUND(OFFSET($P40,0,1,1,CÁLCULO.FrentesPreenchidas),15-13*ORÇAMENTO!$AF$7)))))</f>
        <v>0</v>
      </c>
      <c r="I40" s="468"/>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2"/>
      <c r="L40" s="165">
        <f ca="1">OFFSET(L40,-1,0)+1</f>
        <v>25</v>
      </c>
      <c r="M40" s="166" t="str">
        <f ca="1">IF($D40&lt;&gt;"Serviço","",
          IF(AUTOEVENTO="manual",$A40,
                IF(ISERROR(MATCH($A40,$A$15:OFFSET($A40,-1,0),0)),MAX($M$15:OFFSET(M40,-1,0))+1,
                      INDEX($M$15:OFFSET(M40,-1,0),MATCH($A40,$A$15:OFFSET($A40,-1,0),0)))))</f>
        <v/>
      </c>
      <c r="N40" s="167" t="str">
        <f ca="1">IF($D40&lt;&gt;"Serviço","",
         IF(AUTOEVENTO="Manual",
                IF($A40=0,"&lt;-- defina o número do agrupador",
                       OFFSET(EVENTOS!$D$15,$A40-$A$15,0)),
                OFFSET($F$15,$A40,0)))</f>
        <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0</v>
      </c>
      <c r="AN40" s="171">
        <f ca="1">IF(OR($D40&lt;&gt;"Serviço",AND(AUTOEVENTO="Manual",$M40=$A$15)),0,
         IF(OFFSET(CRONOPLE!$F$15,$M40-$A$15,AN$13)=0,10^12,OFFSET(CRONOPLE!$F$15,$M40-$A$15,AN$13)))</f>
        <v>0</v>
      </c>
      <c r="AO40" s="171">
        <f ca="1">IF(OR($D40&lt;&gt;"Serviço",AND(AUTOEVENTO="Manual",$M40=$A$15)),0,
         IF(OFFSET(CRONOPLE!$F$15,$M40-$A$15,AO$13)=0,10^12,OFFSET(CRONOPLE!$F$15,$M40-$A$15,AO$13)))</f>
        <v>0</v>
      </c>
      <c r="AP40" s="171">
        <f ca="1">IF(OR($D40&lt;&gt;"Serviço",AND(AUTOEVENTO="Manual",$M40=$A$15)),0,
         IF(OFFSET(CRONOPLE!$F$15,$M40-$A$15,AP$13)=0,10^12,OFFSET(CRONOPLE!$F$15,$M40-$A$15,AP$13)))</f>
        <v>0</v>
      </c>
      <c r="AQ40" s="171">
        <f ca="1">IF(OR($D40&lt;&gt;"Serviço",AND(AUTOEVENTO="Manual",$M40=$A$15)),0,
         IF(OFFSET(CRONOPLE!$F$15,$M40-$A$15,AQ$13)=0,10^12,OFFSET(CRONOPLE!$F$15,$M40-$A$15,AQ$13)))</f>
        <v>0</v>
      </c>
      <c r="AR40" s="171">
        <f ca="1">IF(OR($D40&lt;&gt;"Serviço",AND(AUTOEVENTO="Manual",$M40=$A$15)),0,
         IF(OFFSET(CRONOPLE!$F$15,$M40-$A$15,AR$13)=0,10^12,OFFSET(CRONOPLE!$F$15,$M40-$A$15,AR$13)))</f>
        <v>0</v>
      </c>
      <c r="AS40" s="171">
        <f ca="1">IF(OR($D40&lt;&gt;"Serviço",AND(AUTOEVENTO="Manual",$M40=$A$15)),0,
         IF(OFFSET(CRONOPLE!$F$15,$M40-$A$15,AS$13)=0,10^12,OFFSET(CRONOPLE!$F$15,$M40-$A$15,AS$13)))</f>
        <v>0</v>
      </c>
      <c r="AT40" s="171">
        <f ca="1">IF(OR($D40&lt;&gt;"Serviço",AND(AUTOEVENTO="Manual",$M40=$A$15)),0,
         IF(OFFSET(CRONOPLE!$F$15,$M40-$A$15,AT$13)=0,10^12,OFFSET(CRONOPLE!$F$15,$M40-$A$15,AT$13)))</f>
        <v>0</v>
      </c>
      <c r="AU40" s="171">
        <f ca="1">IF(OR($D40&lt;&gt;"Serviço",AND(AUTOEVENTO="Manual",$M40=$A$15)),0,
         IF(OFFSET(CRONOPLE!$F$15,$M40-$A$15,AU$13)=0,10^12,OFFSET(CRONOPLE!$F$15,$M40-$A$15,AU$13)))</f>
        <v>0</v>
      </c>
      <c r="AV40" s="171">
        <f ca="1">IF(OR($D40&lt;&gt;"Serviço",AND(AUTOEVENTO="Manual",$M40=$A$15)),0,
         IF(OFFSET(CRONOPLE!$F$15,$M40-$A$15,AV$13)=0,10^12,OFFSET(CRONOPLE!$F$15,$M40-$A$15,AV$13)))</f>
        <v>0</v>
      </c>
      <c r="AX40" s="172" cm="1">
        <f t="array" aca="1" ref="AX40" ca="1">IF(OR($D40&lt;&gt;"Serviço",AND(AUTOEVENTO="Manual",$M40=$A$15),$M40&gt;(ROW(PLE.lastrow)-ROW(PLE.firstrow))),0,
           IF(OFFSET(PLE!$G$15,$M40-$A$15,AX$13)="",10^12,OFFSET(PLE!$G$15,$M40-$A$15,AX$13)))</f>
        <v>0</v>
      </c>
      <c r="AY40" s="172" cm="1">
        <f t="array" aca="1" ref="AY40" ca="1">IF(OR($D40&lt;&gt;"Serviço",AND(AUTOEVENTO="Manual",$M40=$A$15),$M40&gt;(ROW(PLE.lastrow)-ROW(PLE.firstrow))),0,
           IF(OFFSET(PLE!$G$15,$M40-$A$15,AY$13)="",10^12,OFFSET(PLE!$G$15,$M40-$A$15,AY$13)))</f>
        <v>0</v>
      </c>
      <c r="AZ40" s="172" cm="1">
        <f t="array" aca="1" ref="AZ40" ca="1">IF(OR($D40&lt;&gt;"Serviço",AND(AUTOEVENTO="Manual",$M40=$A$15),$M40&gt;(ROW(PLE.lastrow)-ROW(PLE.firstrow))),0,
           IF(OFFSET(PLE!$G$15,$M40-$A$15,AZ$13)="",10^12,OFFSET(PLE!$G$15,$M40-$A$15,AZ$13)))</f>
        <v>0</v>
      </c>
      <c r="BA40" s="172" cm="1">
        <f t="array" aca="1" ref="BA40" ca="1">IF(OR($D40&lt;&gt;"Serviço",AND(AUTOEVENTO="Manual",$M40=$A$15),$M40&gt;(ROW(PLE.lastrow)-ROW(PLE.firstrow))),0,
           IF(OFFSET(PLE!$G$15,$M40-$A$15,BA$13)="",10^12,OFFSET(PLE!$G$15,$M40-$A$15,BA$13)))</f>
        <v>0</v>
      </c>
      <c r="BB40" s="172" cm="1">
        <f t="array" aca="1" ref="BB40" ca="1">IF(OR($D40&lt;&gt;"Serviço",AND(AUTOEVENTO="Manual",$M40=$A$15),$M40&gt;(ROW(PLE.lastrow)-ROW(PLE.firstrow))),0,
           IF(OFFSET(PLE!$G$15,$M40-$A$15,BB$13)="",10^12,OFFSET(PLE!$G$15,$M40-$A$15,BB$13)))</f>
        <v>0</v>
      </c>
      <c r="BC40" s="172" cm="1">
        <f t="array" aca="1" ref="BC40" ca="1">IF(OR($D40&lt;&gt;"Serviço",AND(AUTOEVENTO="Manual",$M40=$A$15),$M40&gt;(ROW(PLE.lastrow)-ROW(PLE.firstrow))),0,
           IF(OFFSET(PLE!$G$15,$M40-$A$15,BC$13)="",10^12,OFFSET(PLE!$G$15,$M40-$A$15,BC$13)))</f>
        <v>0</v>
      </c>
      <c r="BD40" s="172" cm="1">
        <f t="array" aca="1" ref="BD40" ca="1">IF(OR($D40&lt;&gt;"Serviço",AND(AUTOEVENTO="Manual",$M40=$A$15),$M40&gt;(ROW(PLE.lastrow)-ROW(PLE.firstrow))),0,
           IF(OFFSET(PLE!$G$15,$M40-$A$15,BD$13)="",10^12,OFFSET(PLE!$G$15,$M40-$A$15,BD$13)))</f>
        <v>0</v>
      </c>
      <c r="BE40" s="172" cm="1">
        <f t="array" aca="1" ref="BE40" ca="1">IF(OR($D40&lt;&gt;"Serviço",AND(AUTOEVENTO="Manual",$M40=$A$15),$M40&gt;(ROW(PLE.lastrow)-ROW(PLE.firstrow))),0,
           IF(OFFSET(PLE!$G$15,$M40-$A$15,BE$13)="",10^12,OFFSET(PLE!$G$15,$M40-$A$15,BE$13)))</f>
        <v>0</v>
      </c>
      <c r="BF40" s="172" cm="1">
        <f t="array" aca="1" ref="BF40" ca="1">IF(OR($D40&lt;&gt;"Serviço",AND(AUTOEVENTO="Manual",$M40=$A$15),$M40&gt;(ROW(PLE.lastrow)-ROW(PLE.firstrow))),0,
           IF(OFFSET(PLE!$G$15,$M40-$A$15,BF$13)="",10^12,OFFSET(PLE!$G$15,$M40-$A$15,BF$13)))</f>
        <v>0</v>
      </c>
      <c r="BG40" s="172" cm="1">
        <f t="array" aca="1" ref="BG40" ca="1">IF(OR($D40&lt;&gt;"Serviço",AND(AUTOEVENTO="Manual",$M40=$A$15),$M40&gt;(ROW(PLE.lastrow)-ROW(PLE.firstrow))),0,
           IF(OFFSET(PLE!$G$15,$M40-$A$15,BG$13)="",10^12,OFFSET(PLE!$G$15,$M40-$A$15,BG$13)))</f>
        <v>0</v>
      </c>
    </row>
    <row r="41" spans="1:59" ht="38.25" x14ac:dyDescent="0.2">
      <c r="A41" s="7">
        <f t="shared" ca="1" si="10"/>
        <v>2</v>
      </c>
      <c r="B41" s="7" t="str">
        <f ca="1">OFFSET(ORÇAMENTO!C$15,$L41,0)</f>
        <v>S</v>
      </c>
      <c r="C41" s="7" t="str">
        <f ca="1">OFFSET(ORÇAMENTO!L$15,$L41,0)</f>
        <v>F</v>
      </c>
      <c r="D41" s="116" t="str">
        <f ca="1">OFFSET(ORÇAMENTO!N$15,$L41,0)</f>
        <v>Serviço</v>
      </c>
      <c r="E41" s="117" t="str">
        <f ca="1">OFFSET(ORÇAMENTO!O$15,$L41,0)</f>
        <v>1.2.1.1.</v>
      </c>
      <c r="F41" s="163" t="str">
        <f ca="1">OFFSET(ORÇAMENTO!R$15,$L41,0)</f>
        <v>(Código não identificado nas referências)</v>
      </c>
      <c r="G41" s="164" t="str">
        <f ca="1">IF($D41&lt;&gt;"Serviço","",OFFSET(ORÇAMENTO!S$15,$L41,0))</f>
        <v>-</v>
      </c>
      <c r="H41" s="122" cm="1">
        <f t="array" aca="1" ref="H41" ca="1">IF($D41&lt;&gt;"Serviço",0,IF(ACOMPANHAMENTO="BM",ROUND(OFFSET(ORÇAMENTO!AJ$15,$L41,0),15-13*ORÇAMENTO!$AF$7),IF(IFERROR(CÁLCULO.FrentesPreenchidas,0)=0,0,SUM(ROUND(OFFSET($P41,0,1,1,CÁLCULO.FrentesPreenchidas),15-13*ORÇAMENTO!$AF$7)))))</f>
        <v>15000</v>
      </c>
      <c r="I41" s="468" t="s">
        <v>1114</v>
      </c>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t="s">
        <v>1016</v>
      </c>
      <c r="L41" s="165">
        <f ca="1">OFFSET(L41,-1,0)+1</f>
        <v>26</v>
      </c>
      <c r="M41" s="166">
        <f ca="1">IF($D41&lt;&gt;"Serviço","",
          IF(AUTOEVENTO="manual",$A41,
                IF(ISERROR(MATCH($A41,$A$15:OFFSET($A41,-1,0),0)),MAX($M$15:OFFSET(M41,-1,0))+1,
                      INDEX($M$15:OFFSET(M41,-1,0),MATCH($A41,$A$15:OFFSET($A41,-1,0),0)))))</f>
        <v>2</v>
      </c>
      <c r="N41" s="167" t="str">
        <f ca="1">IF($D41&lt;&gt;"Serviço","",
         IF(AUTOEVENTO="Manual",
                IF($A41=0,"&lt;-- defina o número do agrupador",
                       OFFSET(EVENTOS!$D$15,$A41-$A$15,0)),
                OFFSET($F$15,$A41,0)))</f>
        <v>SERVIÇOS PRELIMINARES</v>
      </c>
      <c r="O41" s="168"/>
      <c r="Q41" s="168">
        <v>4500</v>
      </c>
      <c r="R41" s="169">
        <v>4500</v>
      </c>
      <c r="S41" s="169">
        <v>6000</v>
      </c>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4050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4050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5400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1</v>
      </c>
      <c r="AN41" s="171">
        <f ca="1">IF(OR($D41&lt;&gt;"Serviço",AND(AUTOEVENTO="Manual",$M41=$A$15)),0,
         IF(OFFSET(CRONOPLE!$F$15,$M41-$A$15,AN$13)=0,10^12,OFFSET(CRONOPLE!$F$15,$M41-$A$15,AN$13)))</f>
        <v>2</v>
      </c>
      <c r="AO41" s="171">
        <f ca="1">IF(OR($D41&lt;&gt;"Serviço",AND(AUTOEVENTO="Manual",$M41=$A$15)),0,
         IF(OFFSET(CRONOPLE!$F$15,$M41-$A$15,AO$13)=0,10^12,OFFSET(CRONOPLE!$F$15,$M41-$A$15,AO$13)))</f>
        <v>3</v>
      </c>
      <c r="AP41" s="171">
        <f ca="1">IF(OR($D41&lt;&gt;"Serviço",AND(AUTOEVENTO="Manual",$M41=$A$15)),0,
         IF(OFFSET(CRONOPLE!$F$15,$M41-$A$15,AP$13)=0,10^12,OFFSET(CRONOPLE!$F$15,$M41-$A$15,AP$13)))</f>
        <v>4</v>
      </c>
      <c r="AQ41" s="171">
        <f ca="1">IF(OR($D41&lt;&gt;"Serviço",AND(AUTOEVENTO="Manual",$M41=$A$15)),0,
         IF(OFFSET(CRONOPLE!$F$15,$M41-$A$15,AQ$13)=0,10^12,OFFSET(CRONOPLE!$F$15,$M41-$A$15,AQ$13)))</f>
        <v>5</v>
      </c>
      <c r="AR41" s="171">
        <f ca="1">IF(OR($D41&lt;&gt;"Serviço",AND(AUTOEVENTO="Manual",$M41=$A$15)),0,
         IF(OFFSET(CRONOPLE!$F$15,$M41-$A$15,AR$13)=0,10^12,OFFSET(CRONOPLE!$F$15,$M41-$A$15,AR$13)))</f>
        <v>1</v>
      </c>
      <c r="AS41" s="171">
        <f ca="1">IF(OR($D41&lt;&gt;"Serviço",AND(AUTOEVENTO="Manual",$M41=$A$15)),0,
         IF(OFFSET(CRONOPLE!$F$15,$M41-$A$15,AS$13)=0,10^12,OFFSET(CRONOPLE!$F$15,$M41-$A$15,AS$13)))</f>
        <v>2</v>
      </c>
      <c r="AT41" s="171">
        <f ca="1">IF(OR($D41&lt;&gt;"Serviço",AND(AUTOEVENTO="Manual",$M41=$A$15)),0,
         IF(OFFSET(CRONOPLE!$F$15,$M41-$A$15,AT$13)=0,10^12,OFFSET(CRONOPLE!$F$15,$M41-$A$15,AT$13)))</f>
        <v>3</v>
      </c>
      <c r="AU41" s="171">
        <f ca="1">IF(OR($D41&lt;&gt;"Serviço",AND(AUTOEVENTO="Manual",$M41=$A$15)),0,
         IF(OFFSET(CRONOPLE!$F$15,$M41-$A$15,AU$13)=0,10^12,OFFSET(CRONOPLE!$F$15,$M41-$A$15,AU$13)))</f>
        <v>4</v>
      </c>
      <c r="AV41" s="171">
        <f ca="1">IF(OR($D41&lt;&gt;"Serviço",AND(AUTOEVENTO="Manual",$M41=$A$15)),0,
         IF(OFFSET(CRONOPLE!$F$15,$M41-$A$15,AV$13)=0,10^12,OFFSET(CRONOPLE!$F$15,$M41-$A$15,AV$13)))</f>
        <v>5</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ht="25.5" x14ac:dyDescent="0.2">
      <c r="A42" s="7">
        <f t="shared" ca="1" si="10"/>
        <v>2</v>
      </c>
      <c r="B42" s="7" t="str">
        <f ca="1">OFFSET(ORÇAMENTO!C$15,$L42,0)</f>
        <v>S</v>
      </c>
      <c r="C42" s="7" t="str">
        <f ca="1">OFFSET(ORÇAMENTO!L$15,$L42,0)</f>
        <v>F</v>
      </c>
      <c r="D42" s="116" t="str">
        <f ca="1">OFFSET(ORÇAMENTO!N$15,$L42,0)</f>
        <v>Serviço</v>
      </c>
      <c r="E42" s="117" t="str">
        <f ca="1">OFFSET(ORÇAMENTO!O$15,$L42,0)</f>
        <v>1.2.1.2.</v>
      </c>
      <c r="F42" s="163" t="str">
        <f ca="1">OFFSET(ORÇAMENTO!R$15,$L42,0)</f>
        <v>(Código não identificado nas referências)</v>
      </c>
      <c r="G42" s="164" t="str">
        <f ca="1">IF($D42&lt;&gt;"Serviço","",OFFSET(ORÇAMENTO!S$15,$L42,0))</f>
        <v>-</v>
      </c>
      <c r="H42" s="122" cm="1">
        <f t="array" aca="1" ref="H42" ca="1">IF($D42&lt;&gt;"Serviço",0,IF(ACOMPANHAMENTO="BM",ROUND(OFFSET(ORÇAMENTO!AJ$15,$L42,0),15-13*ORÇAMENTO!$AF$7),IF(IFERROR(CÁLCULO.FrentesPreenchidas,0)=0,0,SUM(ROUND(OFFSET($P42,0,1,1,CÁLCULO.FrentesPreenchidas),15-13*ORÇAMENTO!$AF$7)))))</f>
        <v>6.5</v>
      </c>
      <c r="I42" s="468" t="s">
        <v>1070</v>
      </c>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2" t="s">
        <v>1016</v>
      </c>
      <c r="L42" s="165">
        <f ca="1">OFFSET(L42,-1,0)+1</f>
        <v>27</v>
      </c>
      <c r="M42" s="166">
        <f ca="1">IF($D42&lt;&gt;"Serviço","",
          IF(AUTOEVENTO="manual",$A42,
                IF(ISERROR(MATCH($A42,$A$15:OFFSET($A42,-1,0),0)),MAX($M$15:OFFSET(M42,-1,0))+1,
                      INDEX($M$15:OFFSET(M42,-1,0),MATCH($A42,$A$15:OFFSET($A42,-1,0),0)))))</f>
        <v>2</v>
      </c>
      <c r="N42" s="167" t="str">
        <f ca="1">IF($D42&lt;&gt;"Serviço","",
         IF(AUTOEVENTO="Manual",
                IF($A42=0,"&lt;-- defina o número do agrupador",
                       OFFSET(EVENTOS!$D$15,$A42-$A$15,0)),
                OFFSET($F$15,$A42,0)))</f>
        <v>SERVIÇOS PRELIMINARES</v>
      </c>
      <c r="O42" s="168"/>
      <c r="Q42" s="168">
        <v>3.25</v>
      </c>
      <c r="R42" s="169">
        <v>3.25</v>
      </c>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2056.21</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2056.21</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1</v>
      </c>
      <c r="AN42" s="171">
        <f ca="1">IF(OR($D42&lt;&gt;"Serviço",AND(AUTOEVENTO="Manual",$M42=$A$15)),0,
         IF(OFFSET(CRONOPLE!$F$15,$M42-$A$15,AN$13)=0,10^12,OFFSET(CRONOPLE!$F$15,$M42-$A$15,AN$13)))</f>
        <v>2</v>
      </c>
      <c r="AO42" s="171">
        <f ca="1">IF(OR($D42&lt;&gt;"Serviço",AND(AUTOEVENTO="Manual",$M42=$A$15)),0,
         IF(OFFSET(CRONOPLE!$F$15,$M42-$A$15,AO$13)=0,10^12,OFFSET(CRONOPLE!$F$15,$M42-$A$15,AO$13)))</f>
        <v>3</v>
      </c>
      <c r="AP42" s="171">
        <f ca="1">IF(OR($D42&lt;&gt;"Serviço",AND(AUTOEVENTO="Manual",$M42=$A$15)),0,
         IF(OFFSET(CRONOPLE!$F$15,$M42-$A$15,AP$13)=0,10^12,OFFSET(CRONOPLE!$F$15,$M42-$A$15,AP$13)))</f>
        <v>4</v>
      </c>
      <c r="AQ42" s="171">
        <f ca="1">IF(OR($D42&lt;&gt;"Serviço",AND(AUTOEVENTO="Manual",$M42=$A$15)),0,
         IF(OFFSET(CRONOPLE!$F$15,$M42-$A$15,AQ$13)=0,10^12,OFFSET(CRONOPLE!$F$15,$M42-$A$15,AQ$13)))</f>
        <v>5</v>
      </c>
      <c r="AR42" s="171">
        <f ca="1">IF(OR($D42&lt;&gt;"Serviço",AND(AUTOEVENTO="Manual",$M42=$A$15)),0,
         IF(OFFSET(CRONOPLE!$F$15,$M42-$A$15,AR$13)=0,10^12,OFFSET(CRONOPLE!$F$15,$M42-$A$15,AR$13)))</f>
        <v>1</v>
      </c>
      <c r="AS42" s="171">
        <f ca="1">IF(OR($D42&lt;&gt;"Serviço",AND(AUTOEVENTO="Manual",$M42=$A$15)),0,
         IF(OFFSET(CRONOPLE!$F$15,$M42-$A$15,AS$13)=0,10^12,OFFSET(CRONOPLE!$F$15,$M42-$A$15,AS$13)))</f>
        <v>2</v>
      </c>
      <c r="AT42" s="171">
        <f ca="1">IF(OR($D42&lt;&gt;"Serviço",AND(AUTOEVENTO="Manual",$M42=$A$15)),0,
         IF(OFFSET(CRONOPLE!$F$15,$M42-$A$15,AT$13)=0,10^12,OFFSET(CRONOPLE!$F$15,$M42-$A$15,AT$13)))</f>
        <v>3</v>
      </c>
      <c r="AU42" s="171">
        <f ca="1">IF(OR($D42&lt;&gt;"Serviço",AND(AUTOEVENTO="Manual",$M42=$A$15)),0,
         IF(OFFSET(CRONOPLE!$F$15,$M42-$A$15,AU$13)=0,10^12,OFFSET(CRONOPLE!$F$15,$M42-$A$15,AU$13)))</f>
        <v>4</v>
      </c>
      <c r="AV42" s="171">
        <f ca="1">IF(OR($D42&lt;&gt;"Serviço",AND(AUTOEVENTO="Manual",$M42=$A$15)),0,
         IF(OFFSET(CRONOPLE!$F$15,$M42-$A$15,AV$13)=0,10^12,OFFSET(CRONOPLE!$F$15,$M42-$A$15,AV$13)))</f>
        <v>5</v>
      </c>
      <c r="AX42" s="172" cm="1">
        <f t="array" aca="1" ref="AX42" ca="1">IF(OR($D42&lt;&gt;"Serviço",AND(AUTOEVENTO="Manual",$M42=$A$15),$M42&gt;(ROW(PLE.lastrow)-ROW(PLE.firstrow))),0,
           IF(OFFSET(PLE!$G$15,$M42-$A$15,AX$13)="",10^12,OFFSET(PLE!$G$15,$M42-$A$15,AX$13)))</f>
        <v>1000000000000</v>
      </c>
      <c r="AY42" s="172" cm="1">
        <f t="array" aca="1" ref="AY42" ca="1">IF(OR($D42&lt;&gt;"Serviço",AND(AUTOEVENTO="Manual",$M42=$A$15),$M42&gt;(ROW(PLE.lastrow)-ROW(PLE.firstrow))),0,
           IF(OFFSET(PLE!$G$15,$M42-$A$15,AY$13)="",10^12,OFFSET(PLE!$G$15,$M42-$A$15,AY$13)))</f>
        <v>1000000000000</v>
      </c>
      <c r="AZ42" s="172" cm="1">
        <f t="array" aca="1" ref="AZ42" ca="1">IF(OR($D42&lt;&gt;"Serviço",AND(AUTOEVENTO="Manual",$M42=$A$15),$M42&gt;(ROW(PLE.lastrow)-ROW(PLE.firstrow))),0,
           IF(OFFSET(PLE!$G$15,$M42-$A$15,AZ$13)="",10^12,OFFSET(PLE!$G$15,$M42-$A$15,AZ$13)))</f>
        <v>1000000000000</v>
      </c>
      <c r="BA42" s="172" cm="1">
        <f t="array" aca="1" ref="BA42" ca="1">IF(OR($D42&lt;&gt;"Serviço",AND(AUTOEVENTO="Manual",$M42=$A$15),$M42&gt;(ROW(PLE.lastrow)-ROW(PLE.firstrow))),0,
           IF(OFFSET(PLE!$G$15,$M42-$A$15,BA$13)="",10^12,OFFSET(PLE!$G$15,$M42-$A$15,BA$13)))</f>
        <v>1000000000000</v>
      </c>
      <c r="BB42" s="172" cm="1">
        <f t="array" aca="1" ref="BB42" ca="1">IF(OR($D42&lt;&gt;"Serviço",AND(AUTOEVENTO="Manual",$M42=$A$15),$M42&gt;(ROW(PLE.lastrow)-ROW(PLE.firstrow))),0,
           IF(OFFSET(PLE!$G$15,$M42-$A$15,BB$13)="",10^12,OFFSET(PLE!$G$15,$M42-$A$15,BB$13)))</f>
        <v>1000000000000</v>
      </c>
      <c r="BC42" s="172" cm="1">
        <f t="array" aca="1" ref="BC42" ca="1">IF(OR($D42&lt;&gt;"Serviço",AND(AUTOEVENTO="Manual",$M42=$A$15),$M42&gt;(ROW(PLE.lastrow)-ROW(PLE.firstrow))),0,
           IF(OFFSET(PLE!$G$15,$M42-$A$15,BC$13)="",10^12,OFFSET(PLE!$G$15,$M42-$A$15,BC$13)))</f>
        <v>1000000000000</v>
      </c>
      <c r="BD42" s="172" cm="1">
        <f t="array" aca="1" ref="BD42" ca="1">IF(OR($D42&lt;&gt;"Serviço",AND(AUTOEVENTO="Manual",$M42=$A$15),$M42&gt;(ROW(PLE.lastrow)-ROW(PLE.firstrow))),0,
           IF(OFFSET(PLE!$G$15,$M42-$A$15,BD$13)="",10^12,OFFSET(PLE!$G$15,$M42-$A$15,BD$13)))</f>
        <v>1000000000000</v>
      </c>
      <c r="BE42" s="172" cm="1">
        <f t="array" aca="1" ref="BE42" ca="1">IF(OR($D42&lt;&gt;"Serviço",AND(AUTOEVENTO="Manual",$M42=$A$15),$M42&gt;(ROW(PLE.lastrow)-ROW(PLE.firstrow))),0,
           IF(OFFSET(PLE!$G$15,$M42-$A$15,BE$13)="",10^12,OFFSET(PLE!$G$15,$M42-$A$15,BE$13)))</f>
        <v>1000000000000</v>
      </c>
      <c r="BF42" s="172" cm="1">
        <f t="array" aca="1" ref="BF42" ca="1">IF(OR($D42&lt;&gt;"Serviço",AND(AUTOEVENTO="Manual",$M42=$A$15),$M42&gt;(ROW(PLE.lastrow)-ROW(PLE.firstrow))),0,
           IF(OFFSET(PLE!$G$15,$M42-$A$15,BF$13)="",10^12,OFFSET(PLE!$G$15,$M42-$A$15,BF$13)))</f>
        <v>1000000000000</v>
      </c>
      <c r="BG42" s="172" cm="1">
        <f t="array" aca="1" ref="BG42" ca="1">IF(OR($D42&lt;&gt;"Serviço",AND(AUTOEVENTO="Manual",$M42=$A$15),$M42&gt;(ROW(PLE.lastrow)-ROW(PLE.firstrow))),0,
           IF(OFFSET(PLE!$G$15,$M42-$A$15,BG$13)="",10^12,OFFSET(PLE!$G$15,$M42-$A$15,BG$13)))</f>
        <v>1000000000000</v>
      </c>
    </row>
    <row r="43" spans="1:59" ht="25.5" x14ac:dyDescent="0.2">
      <c r="A43" s="7">
        <f t="shared" ca="1" si="10"/>
        <v>2</v>
      </c>
      <c r="B43" s="7" t="str">
        <f ca="1">OFFSET(ORÇAMENTO!C$15,$L43,0)</f>
        <v>S</v>
      </c>
      <c r="C43" s="7" t="str">
        <f ca="1">OFFSET(ORÇAMENTO!L$15,$L43,0)</f>
        <v>F</v>
      </c>
      <c r="D43" s="116" t="str">
        <f ca="1">OFFSET(ORÇAMENTO!N$15,$L43,0)</f>
        <v>Serviço</v>
      </c>
      <c r="E43" s="117" t="str">
        <f ca="1">OFFSET(ORÇAMENTO!O$15,$L43,0)</f>
        <v>1.2.1.3.</v>
      </c>
      <c r="F43" s="163" t="str">
        <f ca="1">OFFSET(ORÇAMENTO!R$15,$L43,0)</f>
        <v>(Código não identificado nas referências)</v>
      </c>
      <c r="G43" s="164" t="str">
        <f ca="1">IF($D43&lt;&gt;"Serviço","",OFFSET(ORÇAMENTO!S$15,$L43,0))</f>
        <v>-</v>
      </c>
      <c r="H43" s="122" cm="1">
        <f t="array" aca="1" ref="H43" ca="1">IF($D43&lt;&gt;"Serviço",0,IF(ACOMPANHAMENTO="BM",ROUND(OFFSET(ORÇAMENTO!AJ$15,$L43,0),15-13*ORÇAMENTO!$AF$7),IF(IFERROR(CÁLCULO.FrentesPreenchidas,0)=0,0,SUM(ROUND(OFFSET($P43,0,1,1,CÁLCULO.FrentesPreenchidas),15-13*ORÇAMENTO!$AF$7)))))</f>
        <v>490.09999999999997</v>
      </c>
      <c r="I43" s="468" t="s">
        <v>1115</v>
      </c>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2" t="s">
        <v>1016</v>
      </c>
      <c r="L43" s="165">
        <f ca="1">OFFSET(L43,-1,0)+1</f>
        <v>28</v>
      </c>
      <c r="M43" s="166">
        <f ca="1">IF($D43&lt;&gt;"Serviço","",
          IF(AUTOEVENTO="manual",$A43,
                IF(ISERROR(MATCH($A43,$A$15:OFFSET($A43,-1,0),0)),MAX($M$15:OFFSET(M43,-1,0))+1,
                      INDEX($M$15:OFFSET(M43,-1,0),MATCH($A43,$A$15:OFFSET($A43,-1,0),0)))))</f>
        <v>2</v>
      </c>
      <c r="N43" s="167" t="str">
        <f ca="1">IF($D43&lt;&gt;"Serviço","",
         IF(AUTOEVENTO="Manual",
                IF($A43=0,"&lt;-- defina o número do agrupador",
                       OFFSET(EVENTOS!$D$15,$A43-$A$15,0)),
                OFFSET($F$15,$A43,0)))</f>
        <v>SERVIÇOS PRELIMINARES</v>
      </c>
      <c r="O43" s="168"/>
      <c r="Q43" s="168">
        <v>49.010000000000005</v>
      </c>
      <c r="R43" s="169">
        <v>49.010000000000005</v>
      </c>
      <c r="S43" s="169">
        <v>49.010000000000005</v>
      </c>
      <c r="T43" s="169">
        <v>49.010000000000005</v>
      </c>
      <c r="U43" s="169">
        <v>49.010000000000005</v>
      </c>
      <c r="V43" s="169">
        <v>49.010000000000005</v>
      </c>
      <c r="W43" s="169">
        <v>49.010000000000005</v>
      </c>
      <c r="X43" s="169">
        <v>49.010000000000005</v>
      </c>
      <c r="Y43" s="169">
        <v>49.010000000000005</v>
      </c>
      <c r="Z43" s="170">
        <v>49.010000000000005</v>
      </c>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11065.48</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11065.48</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11065.48</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11065.48</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11065.48</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11065.48</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11065.48</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11065.48</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11065.48</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11065.48</v>
      </c>
      <c r="AM43" s="171">
        <f ca="1">IF(OR($D43&lt;&gt;"Serviço",AND(AUTOEVENTO="Manual",$M43=$A$15)),0,
         IF(OFFSET(CRONOPLE!$F$15,$M43-$A$15,AM$13)=0,10^12,OFFSET(CRONOPLE!$F$15,$M43-$A$15,AM$13)))</f>
        <v>1</v>
      </c>
      <c r="AN43" s="171">
        <f ca="1">IF(OR($D43&lt;&gt;"Serviço",AND(AUTOEVENTO="Manual",$M43=$A$15)),0,
         IF(OFFSET(CRONOPLE!$F$15,$M43-$A$15,AN$13)=0,10^12,OFFSET(CRONOPLE!$F$15,$M43-$A$15,AN$13)))</f>
        <v>2</v>
      </c>
      <c r="AO43" s="171">
        <f ca="1">IF(OR($D43&lt;&gt;"Serviço",AND(AUTOEVENTO="Manual",$M43=$A$15)),0,
         IF(OFFSET(CRONOPLE!$F$15,$M43-$A$15,AO$13)=0,10^12,OFFSET(CRONOPLE!$F$15,$M43-$A$15,AO$13)))</f>
        <v>3</v>
      </c>
      <c r="AP43" s="171">
        <f ca="1">IF(OR($D43&lt;&gt;"Serviço",AND(AUTOEVENTO="Manual",$M43=$A$15)),0,
         IF(OFFSET(CRONOPLE!$F$15,$M43-$A$15,AP$13)=0,10^12,OFFSET(CRONOPLE!$F$15,$M43-$A$15,AP$13)))</f>
        <v>4</v>
      </c>
      <c r="AQ43" s="171">
        <f ca="1">IF(OR($D43&lt;&gt;"Serviço",AND(AUTOEVENTO="Manual",$M43=$A$15)),0,
         IF(OFFSET(CRONOPLE!$F$15,$M43-$A$15,AQ$13)=0,10^12,OFFSET(CRONOPLE!$F$15,$M43-$A$15,AQ$13)))</f>
        <v>5</v>
      </c>
      <c r="AR43" s="171">
        <f ca="1">IF(OR($D43&lt;&gt;"Serviço",AND(AUTOEVENTO="Manual",$M43=$A$15)),0,
         IF(OFFSET(CRONOPLE!$F$15,$M43-$A$15,AR$13)=0,10^12,OFFSET(CRONOPLE!$F$15,$M43-$A$15,AR$13)))</f>
        <v>1</v>
      </c>
      <c r="AS43" s="171">
        <f ca="1">IF(OR($D43&lt;&gt;"Serviço",AND(AUTOEVENTO="Manual",$M43=$A$15)),0,
         IF(OFFSET(CRONOPLE!$F$15,$M43-$A$15,AS$13)=0,10^12,OFFSET(CRONOPLE!$F$15,$M43-$A$15,AS$13)))</f>
        <v>2</v>
      </c>
      <c r="AT43" s="171">
        <f ca="1">IF(OR($D43&lt;&gt;"Serviço",AND(AUTOEVENTO="Manual",$M43=$A$15)),0,
         IF(OFFSET(CRONOPLE!$F$15,$M43-$A$15,AT$13)=0,10^12,OFFSET(CRONOPLE!$F$15,$M43-$A$15,AT$13)))</f>
        <v>3</v>
      </c>
      <c r="AU43" s="171">
        <f ca="1">IF(OR($D43&lt;&gt;"Serviço",AND(AUTOEVENTO="Manual",$M43=$A$15)),0,
         IF(OFFSET(CRONOPLE!$F$15,$M43-$A$15,AU$13)=0,10^12,OFFSET(CRONOPLE!$F$15,$M43-$A$15,AU$13)))</f>
        <v>4</v>
      </c>
      <c r="AV43" s="171">
        <f ca="1">IF(OR($D43&lt;&gt;"Serviço",AND(AUTOEVENTO="Manual",$M43=$A$15)),0,
         IF(OFFSET(CRONOPLE!$F$15,$M43-$A$15,AV$13)=0,10^12,OFFSET(CRONOPLE!$F$15,$M43-$A$15,AV$13)))</f>
        <v>5</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ht="12.75" x14ac:dyDescent="0.2">
      <c r="A44" s="7">
        <f t="shared" ca="1" si="10"/>
        <v>0</v>
      </c>
      <c r="B44" s="7">
        <f ca="1">OFFSET(ORÇAMENTO!C$15,$L44,0)</f>
        <v>3</v>
      </c>
      <c r="C44" s="7" t="str">
        <f ca="1">OFFSET(ORÇAMENTO!L$15,$L44,0)</f>
        <v>F</v>
      </c>
      <c r="D44" s="116" t="str">
        <f ca="1">OFFSET(ORÇAMENTO!N$15,$L44,0)</f>
        <v>Nível 3</v>
      </c>
      <c r="E44" s="117" t="str">
        <f ca="1">OFFSET(ORÇAMENTO!O$15,$L44,0)</f>
        <v>1.2.2.</v>
      </c>
      <c r="F44" s="163" t="str">
        <f ca="1">OFFSET(ORÇAMENTO!R$15,$L44,0)</f>
        <v>Sondagem, Topografia, controle tecnológico</v>
      </c>
      <c r="G44" s="164" t="str">
        <f ca="1">IF($D44&lt;&gt;"Serviço","",OFFSET(ORÇAMENTO!S$15,$L44,0))</f>
        <v/>
      </c>
      <c r="H44" s="122" cm="1">
        <f t="array" aca="1" ref="H44" ca="1">IF($D44&lt;&gt;"Serviço",0,IF(ACOMPANHAMENTO="BM",ROUND(OFFSET(ORÇAMENTO!AJ$15,$L44,0),15-13*ORÇAMENTO!$AF$7),IF(IFERROR(CÁLCULO.FrentesPreenchidas,0)=0,0,SUM(ROUND(OFFSET($P44,0,1,1,CÁLCULO.FrentesPreenchidas),15-13*ORÇAMENTO!$AF$7)))))</f>
        <v>0</v>
      </c>
      <c r="I44" s="468"/>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2"/>
      <c r="L44" s="165">
        <f t="shared" ref="L44:L60" ca="1" si="11">OFFSET(L44,-1,0)+1</f>
        <v>29</v>
      </c>
      <c r="M44" s="166" t="str">
        <f ca="1">IF($D44&lt;&gt;"Serviço","",
          IF(AUTOEVENTO="manual",$A44,
                IF(ISERROR(MATCH($A44,$A$15:OFFSET($A44,-1,0),0)),MAX($M$15:OFFSET(M44,-1,0))+1,
                      INDEX($M$15:OFFSET(M44,-1,0),MATCH($A44,$A$15:OFFSET($A44,-1,0),0)))))</f>
        <v/>
      </c>
      <c r="N44" s="167" t="str">
        <f ca="1">IF($D44&lt;&gt;"Serviço","",
         IF(AUTOEVENTO="Manual",
                IF($A44=0,"&lt;-- defina o número do agrupador",
                       OFFSET(EVENTOS!$D$15,$A44-$A$15,0)),
                OFFSET($F$15,$A44,0)))</f>
        <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0</v>
      </c>
      <c r="AN44" s="171">
        <f ca="1">IF(OR($D44&lt;&gt;"Serviço",AND(AUTOEVENTO="Manual",$M44=$A$15)),0,
         IF(OFFSET(CRONOPLE!$F$15,$M44-$A$15,AN$13)=0,10^12,OFFSET(CRONOPLE!$F$15,$M44-$A$15,AN$13)))</f>
        <v>0</v>
      </c>
      <c r="AO44" s="171">
        <f ca="1">IF(OR($D44&lt;&gt;"Serviço",AND(AUTOEVENTO="Manual",$M44=$A$15)),0,
         IF(OFFSET(CRONOPLE!$F$15,$M44-$A$15,AO$13)=0,10^12,OFFSET(CRONOPLE!$F$15,$M44-$A$15,AO$13)))</f>
        <v>0</v>
      </c>
      <c r="AP44" s="171">
        <f ca="1">IF(OR($D44&lt;&gt;"Serviço",AND(AUTOEVENTO="Manual",$M44=$A$15)),0,
         IF(OFFSET(CRONOPLE!$F$15,$M44-$A$15,AP$13)=0,10^12,OFFSET(CRONOPLE!$F$15,$M44-$A$15,AP$13)))</f>
        <v>0</v>
      </c>
      <c r="AQ44" s="171">
        <f ca="1">IF(OR($D44&lt;&gt;"Serviço",AND(AUTOEVENTO="Manual",$M44=$A$15)),0,
         IF(OFFSET(CRONOPLE!$F$15,$M44-$A$15,AQ$13)=0,10^12,OFFSET(CRONOPLE!$F$15,$M44-$A$15,AQ$13)))</f>
        <v>0</v>
      </c>
      <c r="AR44" s="171">
        <f ca="1">IF(OR($D44&lt;&gt;"Serviço",AND(AUTOEVENTO="Manual",$M44=$A$15)),0,
         IF(OFFSET(CRONOPLE!$F$15,$M44-$A$15,AR$13)=0,10^12,OFFSET(CRONOPLE!$F$15,$M44-$A$15,AR$13)))</f>
        <v>0</v>
      </c>
      <c r="AS44" s="171">
        <f ca="1">IF(OR($D44&lt;&gt;"Serviço",AND(AUTOEVENTO="Manual",$M44=$A$15)),0,
         IF(OFFSET(CRONOPLE!$F$15,$M44-$A$15,AS$13)=0,10^12,OFFSET(CRONOPLE!$F$15,$M44-$A$15,AS$13)))</f>
        <v>0</v>
      </c>
      <c r="AT44" s="171">
        <f ca="1">IF(OR($D44&lt;&gt;"Serviço",AND(AUTOEVENTO="Manual",$M44=$A$15)),0,
         IF(OFFSET(CRONOPLE!$F$15,$M44-$A$15,AT$13)=0,10^12,OFFSET(CRONOPLE!$F$15,$M44-$A$15,AT$13)))</f>
        <v>0</v>
      </c>
      <c r="AU44" s="171">
        <f ca="1">IF(OR($D44&lt;&gt;"Serviço",AND(AUTOEVENTO="Manual",$M44=$A$15)),0,
         IF(OFFSET(CRONOPLE!$F$15,$M44-$A$15,AU$13)=0,10^12,OFFSET(CRONOPLE!$F$15,$M44-$A$15,AU$13)))</f>
        <v>0</v>
      </c>
      <c r="AV44" s="171">
        <f ca="1">IF(OR($D44&lt;&gt;"Serviço",AND(AUTOEVENTO="Manual",$M44=$A$15)),0,
         IF(OFFSET(CRONOPLE!$F$15,$M44-$A$15,AV$13)=0,10^12,OFFSET(CRONOPLE!$F$15,$M44-$A$15,AV$13)))</f>
        <v>0</v>
      </c>
      <c r="AX44" s="172" cm="1">
        <f t="array" aca="1" ref="AX44" ca="1">IF(OR($D44&lt;&gt;"Serviço",AND(AUTOEVENTO="Manual",$M44=$A$15),$M44&gt;(ROW(PLE.lastrow)-ROW(PLE.firstrow))),0,
           IF(OFFSET(PLE!$G$15,$M44-$A$15,AX$13)="",10^12,OFFSET(PLE!$G$15,$M44-$A$15,AX$13)))</f>
        <v>0</v>
      </c>
      <c r="AY44" s="172" cm="1">
        <f t="array" aca="1" ref="AY44" ca="1">IF(OR($D44&lt;&gt;"Serviço",AND(AUTOEVENTO="Manual",$M44=$A$15),$M44&gt;(ROW(PLE.lastrow)-ROW(PLE.firstrow))),0,
           IF(OFFSET(PLE!$G$15,$M44-$A$15,AY$13)="",10^12,OFFSET(PLE!$G$15,$M44-$A$15,AY$13)))</f>
        <v>0</v>
      </c>
      <c r="AZ44" s="172" cm="1">
        <f t="array" aca="1" ref="AZ44" ca="1">IF(OR($D44&lt;&gt;"Serviço",AND(AUTOEVENTO="Manual",$M44=$A$15),$M44&gt;(ROW(PLE.lastrow)-ROW(PLE.firstrow))),0,
           IF(OFFSET(PLE!$G$15,$M44-$A$15,AZ$13)="",10^12,OFFSET(PLE!$G$15,$M44-$A$15,AZ$13)))</f>
        <v>0</v>
      </c>
      <c r="BA44" s="172" cm="1">
        <f t="array" aca="1" ref="BA44" ca="1">IF(OR($D44&lt;&gt;"Serviço",AND(AUTOEVENTO="Manual",$M44=$A$15),$M44&gt;(ROW(PLE.lastrow)-ROW(PLE.firstrow))),0,
           IF(OFFSET(PLE!$G$15,$M44-$A$15,BA$13)="",10^12,OFFSET(PLE!$G$15,$M44-$A$15,BA$13)))</f>
        <v>0</v>
      </c>
      <c r="BB44" s="172" cm="1">
        <f t="array" aca="1" ref="BB44" ca="1">IF(OR($D44&lt;&gt;"Serviço",AND(AUTOEVENTO="Manual",$M44=$A$15),$M44&gt;(ROW(PLE.lastrow)-ROW(PLE.firstrow))),0,
           IF(OFFSET(PLE!$G$15,$M44-$A$15,BB$13)="",10^12,OFFSET(PLE!$G$15,$M44-$A$15,BB$13)))</f>
        <v>0</v>
      </c>
      <c r="BC44" s="172" cm="1">
        <f t="array" aca="1" ref="BC44" ca="1">IF(OR($D44&lt;&gt;"Serviço",AND(AUTOEVENTO="Manual",$M44=$A$15),$M44&gt;(ROW(PLE.lastrow)-ROW(PLE.firstrow))),0,
           IF(OFFSET(PLE!$G$15,$M44-$A$15,BC$13)="",10^12,OFFSET(PLE!$G$15,$M44-$A$15,BC$13)))</f>
        <v>0</v>
      </c>
      <c r="BD44" s="172" cm="1">
        <f t="array" aca="1" ref="BD44" ca="1">IF(OR($D44&lt;&gt;"Serviço",AND(AUTOEVENTO="Manual",$M44=$A$15),$M44&gt;(ROW(PLE.lastrow)-ROW(PLE.firstrow))),0,
           IF(OFFSET(PLE!$G$15,$M44-$A$15,BD$13)="",10^12,OFFSET(PLE!$G$15,$M44-$A$15,BD$13)))</f>
        <v>0</v>
      </c>
      <c r="BE44" s="172" cm="1">
        <f t="array" aca="1" ref="BE44" ca="1">IF(OR($D44&lt;&gt;"Serviço",AND(AUTOEVENTO="Manual",$M44=$A$15),$M44&gt;(ROW(PLE.lastrow)-ROW(PLE.firstrow))),0,
           IF(OFFSET(PLE!$G$15,$M44-$A$15,BE$13)="",10^12,OFFSET(PLE!$G$15,$M44-$A$15,BE$13)))</f>
        <v>0</v>
      </c>
      <c r="BF44" s="172" cm="1">
        <f t="array" aca="1" ref="BF44" ca="1">IF(OR($D44&lt;&gt;"Serviço",AND(AUTOEVENTO="Manual",$M44=$A$15),$M44&gt;(ROW(PLE.lastrow)-ROW(PLE.firstrow))),0,
           IF(OFFSET(PLE!$G$15,$M44-$A$15,BF$13)="",10^12,OFFSET(PLE!$G$15,$M44-$A$15,BF$13)))</f>
        <v>0</v>
      </c>
      <c r="BG44" s="172" cm="1">
        <f t="array" aca="1" ref="BG44" ca="1">IF(OR($D44&lt;&gt;"Serviço",AND(AUTOEVENTO="Manual",$M44=$A$15),$M44&gt;(ROW(PLE.lastrow)-ROW(PLE.firstrow))),0,
           IF(OFFSET(PLE!$G$15,$M44-$A$15,BG$13)="",10^12,OFFSET(PLE!$G$15,$M44-$A$15,BG$13)))</f>
        <v>0</v>
      </c>
    </row>
    <row r="45" spans="1:59" ht="38.25" x14ac:dyDescent="0.2">
      <c r="A45" s="7">
        <f t="shared" ca="1" si="10"/>
        <v>2</v>
      </c>
      <c r="B45" s="7" t="str">
        <f ca="1">OFFSET(ORÇAMENTO!C$15,$L45,0)</f>
        <v>S</v>
      </c>
      <c r="C45" s="7" t="str">
        <f ca="1">OFFSET(ORÇAMENTO!L$15,$L45,0)</f>
        <v>F</v>
      </c>
      <c r="D45" s="116" t="str">
        <f ca="1">OFFSET(ORÇAMENTO!N$15,$L45,0)</f>
        <v>Serviço</v>
      </c>
      <c r="E45" s="117" t="str">
        <f ca="1">OFFSET(ORÇAMENTO!O$15,$L45,0)</f>
        <v>1.2.2.1.</v>
      </c>
      <c r="F45" s="163" t="str">
        <f ca="1">OFFSET(ORÇAMENTO!R$15,$L45,0)</f>
        <v>(Código não identificado nas referências)</v>
      </c>
      <c r="G45" s="164" t="str">
        <f ca="1">IF($D45&lt;&gt;"Serviço","",OFFSET(ORÇAMENTO!S$15,$L45,0))</f>
        <v>UN</v>
      </c>
      <c r="H45" s="122" cm="1">
        <f t="array" aca="1" ref="H45" ca="1">IF($D45&lt;&gt;"Serviço",0,IF(ACOMPANHAMENTO="BM",ROUND(OFFSET(ORÇAMENTO!AJ$15,$L45,0),15-13*ORÇAMENTO!$AF$7),IF(IFERROR(CÁLCULO.FrentesPreenchidas,0)=0,0,SUM(ROUND(OFFSET($P45,0,1,1,CÁLCULO.FrentesPreenchidas),15-13*ORÇAMENTO!$AF$7)))))</f>
        <v>1</v>
      </c>
      <c r="I45" s="468" t="s">
        <v>1042</v>
      </c>
      <c r="J45" s="651"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2" t="s">
        <v>1079</v>
      </c>
      <c r="L45" s="165">
        <f t="shared" ca="1" si="11"/>
        <v>30</v>
      </c>
      <c r="M45" s="166">
        <f ca="1">IF($D45&lt;&gt;"Serviço","",
          IF(AUTOEVENTO="manual",$A45,
                IF(ISERROR(MATCH($A45,$A$15:OFFSET($A45,-1,0),0)),MAX($M$15:OFFSET(M45,-1,0))+1,
                      INDEX($M$15:OFFSET(M45,-1,0),MATCH($A45,$A$15:OFFSET($A45,-1,0),0)))))</f>
        <v>2</v>
      </c>
      <c r="N45" s="167" t="str">
        <f ca="1">IF($D45&lt;&gt;"Serviço","",
         IF(AUTOEVENTO="Manual",
                IF($A45=0,"&lt;-- defina o número do agrupador",
                       OFFSET(EVENTOS!$D$15,$A45-$A$15,0)),
                OFFSET($F$15,$A45,0)))</f>
        <v>SERVIÇOS PRELIMINARES</v>
      </c>
      <c r="O45" s="168"/>
      <c r="Q45" s="168">
        <v>0.5</v>
      </c>
      <c r="R45" s="169"/>
      <c r="S45" s="169">
        <v>0.5</v>
      </c>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571.54999999999995</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571.54999999999995</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1</v>
      </c>
      <c r="AN45" s="171">
        <f ca="1">IF(OR($D45&lt;&gt;"Serviço",AND(AUTOEVENTO="Manual",$M45=$A$15)),0,
         IF(OFFSET(CRONOPLE!$F$15,$M45-$A$15,AN$13)=0,10^12,OFFSET(CRONOPLE!$F$15,$M45-$A$15,AN$13)))</f>
        <v>2</v>
      </c>
      <c r="AO45" s="171">
        <f ca="1">IF(OR($D45&lt;&gt;"Serviço",AND(AUTOEVENTO="Manual",$M45=$A$15)),0,
         IF(OFFSET(CRONOPLE!$F$15,$M45-$A$15,AO$13)=0,10^12,OFFSET(CRONOPLE!$F$15,$M45-$A$15,AO$13)))</f>
        <v>3</v>
      </c>
      <c r="AP45" s="171">
        <f ca="1">IF(OR($D45&lt;&gt;"Serviço",AND(AUTOEVENTO="Manual",$M45=$A$15)),0,
         IF(OFFSET(CRONOPLE!$F$15,$M45-$A$15,AP$13)=0,10^12,OFFSET(CRONOPLE!$F$15,$M45-$A$15,AP$13)))</f>
        <v>4</v>
      </c>
      <c r="AQ45" s="171">
        <f ca="1">IF(OR($D45&lt;&gt;"Serviço",AND(AUTOEVENTO="Manual",$M45=$A$15)),0,
         IF(OFFSET(CRONOPLE!$F$15,$M45-$A$15,AQ$13)=0,10^12,OFFSET(CRONOPLE!$F$15,$M45-$A$15,AQ$13)))</f>
        <v>5</v>
      </c>
      <c r="AR45" s="171">
        <f ca="1">IF(OR($D45&lt;&gt;"Serviço",AND(AUTOEVENTO="Manual",$M45=$A$15)),0,
         IF(OFFSET(CRONOPLE!$F$15,$M45-$A$15,AR$13)=0,10^12,OFFSET(CRONOPLE!$F$15,$M45-$A$15,AR$13)))</f>
        <v>1</v>
      </c>
      <c r="AS45" s="171">
        <f ca="1">IF(OR($D45&lt;&gt;"Serviço",AND(AUTOEVENTO="Manual",$M45=$A$15)),0,
         IF(OFFSET(CRONOPLE!$F$15,$M45-$A$15,AS$13)=0,10^12,OFFSET(CRONOPLE!$F$15,$M45-$A$15,AS$13)))</f>
        <v>2</v>
      </c>
      <c r="AT45" s="171">
        <f ca="1">IF(OR($D45&lt;&gt;"Serviço",AND(AUTOEVENTO="Manual",$M45=$A$15)),0,
         IF(OFFSET(CRONOPLE!$F$15,$M45-$A$15,AT$13)=0,10^12,OFFSET(CRONOPLE!$F$15,$M45-$A$15,AT$13)))</f>
        <v>3</v>
      </c>
      <c r="AU45" s="171">
        <f ca="1">IF(OR($D45&lt;&gt;"Serviço",AND(AUTOEVENTO="Manual",$M45=$A$15)),0,
         IF(OFFSET(CRONOPLE!$F$15,$M45-$A$15,AU$13)=0,10^12,OFFSET(CRONOPLE!$F$15,$M45-$A$15,AU$13)))</f>
        <v>4</v>
      </c>
      <c r="AV45" s="171">
        <f ca="1">IF(OR($D45&lt;&gt;"Serviço",AND(AUTOEVENTO="Manual",$M45=$A$15)),0,
         IF(OFFSET(CRONOPLE!$F$15,$M45-$A$15,AV$13)=0,10^12,OFFSET(CRONOPLE!$F$15,$M45-$A$15,AV$13)))</f>
        <v>5</v>
      </c>
      <c r="AX45" s="172" cm="1">
        <f t="array" aca="1" ref="AX45" ca="1">IF(OR($D45&lt;&gt;"Serviço",AND(AUTOEVENTO="Manual",$M45=$A$15),$M45&gt;(ROW(PLE.lastrow)-ROW(PLE.firstrow))),0,
           IF(OFFSET(PLE!$G$15,$M45-$A$15,AX$13)="",10^12,OFFSET(PLE!$G$15,$M45-$A$15,AX$13)))</f>
        <v>1000000000000</v>
      </c>
      <c r="AY45" s="172" cm="1">
        <f t="array" aca="1" ref="AY45" ca="1">IF(OR($D45&lt;&gt;"Serviço",AND(AUTOEVENTO="Manual",$M45=$A$15),$M45&gt;(ROW(PLE.lastrow)-ROW(PLE.firstrow))),0,
           IF(OFFSET(PLE!$G$15,$M45-$A$15,AY$13)="",10^12,OFFSET(PLE!$G$15,$M45-$A$15,AY$13)))</f>
        <v>1000000000000</v>
      </c>
      <c r="AZ45" s="172" cm="1">
        <f t="array" aca="1" ref="AZ45" ca="1">IF(OR($D45&lt;&gt;"Serviço",AND(AUTOEVENTO="Manual",$M45=$A$15),$M45&gt;(ROW(PLE.lastrow)-ROW(PLE.firstrow))),0,
           IF(OFFSET(PLE!$G$15,$M45-$A$15,AZ$13)="",10^12,OFFSET(PLE!$G$15,$M45-$A$15,AZ$13)))</f>
        <v>1000000000000</v>
      </c>
      <c r="BA45" s="172" cm="1">
        <f t="array" aca="1" ref="BA45" ca="1">IF(OR($D45&lt;&gt;"Serviço",AND(AUTOEVENTO="Manual",$M45=$A$15),$M45&gt;(ROW(PLE.lastrow)-ROW(PLE.firstrow))),0,
           IF(OFFSET(PLE!$G$15,$M45-$A$15,BA$13)="",10^12,OFFSET(PLE!$G$15,$M45-$A$15,BA$13)))</f>
        <v>1000000000000</v>
      </c>
      <c r="BB45" s="172" cm="1">
        <f t="array" aca="1" ref="BB45" ca="1">IF(OR($D45&lt;&gt;"Serviço",AND(AUTOEVENTO="Manual",$M45=$A$15),$M45&gt;(ROW(PLE.lastrow)-ROW(PLE.firstrow))),0,
           IF(OFFSET(PLE!$G$15,$M45-$A$15,BB$13)="",10^12,OFFSET(PLE!$G$15,$M45-$A$15,BB$13)))</f>
        <v>1000000000000</v>
      </c>
      <c r="BC45" s="172" cm="1">
        <f t="array" aca="1" ref="BC45" ca="1">IF(OR($D45&lt;&gt;"Serviço",AND(AUTOEVENTO="Manual",$M45=$A$15),$M45&gt;(ROW(PLE.lastrow)-ROW(PLE.firstrow))),0,
           IF(OFFSET(PLE!$G$15,$M45-$A$15,BC$13)="",10^12,OFFSET(PLE!$G$15,$M45-$A$15,BC$13)))</f>
        <v>1000000000000</v>
      </c>
      <c r="BD45" s="172" cm="1">
        <f t="array" aca="1" ref="BD45" ca="1">IF(OR($D45&lt;&gt;"Serviço",AND(AUTOEVENTO="Manual",$M45=$A$15),$M45&gt;(ROW(PLE.lastrow)-ROW(PLE.firstrow))),0,
           IF(OFFSET(PLE!$G$15,$M45-$A$15,BD$13)="",10^12,OFFSET(PLE!$G$15,$M45-$A$15,BD$13)))</f>
        <v>1000000000000</v>
      </c>
      <c r="BE45" s="172" cm="1">
        <f t="array" aca="1" ref="BE45" ca="1">IF(OR($D45&lt;&gt;"Serviço",AND(AUTOEVENTO="Manual",$M45=$A$15),$M45&gt;(ROW(PLE.lastrow)-ROW(PLE.firstrow))),0,
           IF(OFFSET(PLE!$G$15,$M45-$A$15,BE$13)="",10^12,OFFSET(PLE!$G$15,$M45-$A$15,BE$13)))</f>
        <v>1000000000000</v>
      </c>
      <c r="BF45" s="172" cm="1">
        <f t="array" aca="1" ref="BF45" ca="1">IF(OR($D45&lt;&gt;"Serviço",AND(AUTOEVENTO="Manual",$M45=$A$15),$M45&gt;(ROW(PLE.lastrow)-ROW(PLE.firstrow))),0,
           IF(OFFSET(PLE!$G$15,$M45-$A$15,BF$13)="",10^12,OFFSET(PLE!$G$15,$M45-$A$15,BF$13)))</f>
        <v>1000000000000</v>
      </c>
      <c r="BG45" s="172" cm="1">
        <f t="array" aca="1" ref="BG45" ca="1">IF(OR($D45&lt;&gt;"Serviço",AND(AUTOEVENTO="Manual",$M45=$A$15),$M45&gt;(ROW(PLE.lastrow)-ROW(PLE.firstrow))),0,
           IF(OFFSET(PLE!$G$15,$M45-$A$15,BG$13)="",10^12,OFFSET(PLE!$G$15,$M45-$A$15,BG$13)))</f>
        <v>1000000000000</v>
      </c>
    </row>
    <row r="46" spans="1:59" ht="38.25" x14ac:dyDescent="0.2">
      <c r="A46" s="7">
        <f t="shared" ca="1" si="10"/>
        <v>2</v>
      </c>
      <c r="B46" s="7" t="str">
        <f ca="1">OFFSET(ORÇAMENTO!C$15,$L46,0)</f>
        <v>S</v>
      </c>
      <c r="C46" s="7" t="str">
        <f ca="1">OFFSET(ORÇAMENTO!L$15,$L46,0)</f>
        <v>F</v>
      </c>
      <c r="D46" s="116" t="str">
        <f ca="1">OFFSET(ORÇAMENTO!N$15,$L46,0)</f>
        <v>Serviço</v>
      </c>
      <c r="E46" s="117" t="str">
        <f ca="1">OFFSET(ORÇAMENTO!O$15,$L46,0)</f>
        <v>1.2.2.2.</v>
      </c>
      <c r="F46" s="163" t="str">
        <f ca="1">OFFSET(ORÇAMENTO!R$15,$L46,0)</f>
        <v>(Código não identificado nas referências)</v>
      </c>
      <c r="G46" s="164" t="str">
        <f ca="1">IF($D46&lt;&gt;"Serviço","",OFFSET(ORÇAMENTO!S$15,$L46,0))</f>
        <v>-</v>
      </c>
      <c r="H46" s="122" cm="1">
        <f t="array" aca="1" ref="H46" ca="1">IF($D46&lt;&gt;"Serviço",0,IF(ACOMPANHAMENTO="BM",ROUND(OFFSET(ORÇAMENTO!AJ$15,$L46,0),15-13*ORÇAMENTO!$AF$7),IF(IFERROR(CÁLCULO.FrentesPreenchidas,0)=0,0,SUM(ROUND(OFFSET($P46,0,1,1,CÁLCULO.FrentesPreenchidas),15-13*ORÇAMENTO!$AF$7)))))</f>
        <v>358</v>
      </c>
      <c r="I46" s="468" t="s">
        <v>1071</v>
      </c>
      <c r="J46" s="651"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2" t="s">
        <v>1079</v>
      </c>
      <c r="L46" s="165">
        <f t="shared" ca="1" si="11"/>
        <v>31</v>
      </c>
      <c r="M46" s="166">
        <f ca="1">IF($D46&lt;&gt;"Serviço","",
          IF(AUTOEVENTO="manual",$A46,
                IF(ISERROR(MATCH($A46,$A$15:OFFSET($A46,-1,0),0)),MAX($M$15:OFFSET(M46,-1,0))+1,
                      INDEX($M$15:OFFSET(M46,-1,0),MATCH($A46,$A$15:OFFSET($A46,-1,0),0)))))</f>
        <v>2</v>
      </c>
      <c r="N46" s="167" t="str">
        <f ca="1">IF($D46&lt;&gt;"Serviço","",
         IF(AUTOEVENTO="Manual",
                IF($A46=0,"&lt;-- defina o número do agrupador",
                       OFFSET(EVENTOS!$D$15,$A46-$A$15,0)),
                OFFSET($F$15,$A46,0)))</f>
        <v>SERVIÇOS PRELIMINARES</v>
      </c>
      <c r="O46" s="168"/>
      <c r="Q46" s="168">
        <v>179</v>
      </c>
      <c r="R46" s="169"/>
      <c r="S46" s="169">
        <v>179</v>
      </c>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501.2</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501.2</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1</v>
      </c>
      <c r="AN46" s="171">
        <f ca="1">IF(OR($D46&lt;&gt;"Serviço",AND(AUTOEVENTO="Manual",$M46=$A$15)),0,
         IF(OFFSET(CRONOPLE!$F$15,$M46-$A$15,AN$13)=0,10^12,OFFSET(CRONOPLE!$F$15,$M46-$A$15,AN$13)))</f>
        <v>2</v>
      </c>
      <c r="AO46" s="171">
        <f ca="1">IF(OR($D46&lt;&gt;"Serviço",AND(AUTOEVENTO="Manual",$M46=$A$15)),0,
         IF(OFFSET(CRONOPLE!$F$15,$M46-$A$15,AO$13)=0,10^12,OFFSET(CRONOPLE!$F$15,$M46-$A$15,AO$13)))</f>
        <v>3</v>
      </c>
      <c r="AP46" s="171">
        <f ca="1">IF(OR($D46&lt;&gt;"Serviço",AND(AUTOEVENTO="Manual",$M46=$A$15)),0,
         IF(OFFSET(CRONOPLE!$F$15,$M46-$A$15,AP$13)=0,10^12,OFFSET(CRONOPLE!$F$15,$M46-$A$15,AP$13)))</f>
        <v>4</v>
      </c>
      <c r="AQ46" s="171">
        <f ca="1">IF(OR($D46&lt;&gt;"Serviço",AND(AUTOEVENTO="Manual",$M46=$A$15)),0,
         IF(OFFSET(CRONOPLE!$F$15,$M46-$A$15,AQ$13)=0,10^12,OFFSET(CRONOPLE!$F$15,$M46-$A$15,AQ$13)))</f>
        <v>5</v>
      </c>
      <c r="AR46" s="171">
        <f ca="1">IF(OR($D46&lt;&gt;"Serviço",AND(AUTOEVENTO="Manual",$M46=$A$15)),0,
         IF(OFFSET(CRONOPLE!$F$15,$M46-$A$15,AR$13)=0,10^12,OFFSET(CRONOPLE!$F$15,$M46-$A$15,AR$13)))</f>
        <v>1</v>
      </c>
      <c r="AS46" s="171">
        <f ca="1">IF(OR($D46&lt;&gt;"Serviço",AND(AUTOEVENTO="Manual",$M46=$A$15)),0,
         IF(OFFSET(CRONOPLE!$F$15,$M46-$A$15,AS$13)=0,10^12,OFFSET(CRONOPLE!$F$15,$M46-$A$15,AS$13)))</f>
        <v>2</v>
      </c>
      <c r="AT46" s="171">
        <f ca="1">IF(OR($D46&lt;&gt;"Serviço",AND(AUTOEVENTO="Manual",$M46=$A$15)),0,
         IF(OFFSET(CRONOPLE!$F$15,$M46-$A$15,AT$13)=0,10^12,OFFSET(CRONOPLE!$F$15,$M46-$A$15,AT$13)))</f>
        <v>3</v>
      </c>
      <c r="AU46" s="171">
        <f ca="1">IF(OR($D46&lt;&gt;"Serviço",AND(AUTOEVENTO="Manual",$M46=$A$15)),0,
         IF(OFFSET(CRONOPLE!$F$15,$M46-$A$15,AU$13)=0,10^12,OFFSET(CRONOPLE!$F$15,$M46-$A$15,AU$13)))</f>
        <v>4</v>
      </c>
      <c r="AV46" s="171">
        <f ca="1">IF(OR($D46&lt;&gt;"Serviço",AND(AUTOEVENTO="Manual",$M46=$A$15)),0,
         IF(OFFSET(CRONOPLE!$F$15,$M46-$A$15,AV$13)=0,10^12,OFFSET(CRONOPLE!$F$15,$M46-$A$15,AV$13)))</f>
        <v>5</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ht="38.25" x14ac:dyDescent="0.2">
      <c r="A47" s="7">
        <f t="shared" ca="1" si="10"/>
        <v>2</v>
      </c>
      <c r="B47" s="7" t="str">
        <f ca="1">OFFSET(ORÇAMENTO!C$15,$L47,0)</f>
        <v>S</v>
      </c>
      <c r="C47" s="7" t="str">
        <f ca="1">OFFSET(ORÇAMENTO!L$15,$L47,0)</f>
        <v>F</v>
      </c>
      <c r="D47" s="116" t="str">
        <f ca="1">OFFSET(ORÇAMENTO!N$15,$L47,0)</f>
        <v>Serviço</v>
      </c>
      <c r="E47" s="117" t="str">
        <f ca="1">OFFSET(ORÇAMENTO!O$15,$L47,0)</f>
        <v>1.2.2.3.</v>
      </c>
      <c r="F47" s="163" t="str">
        <f ca="1">OFFSET(ORÇAMENTO!R$15,$L47,0)</f>
        <v>(Código não identificado nas referências)</v>
      </c>
      <c r="G47" s="164" t="str">
        <f ca="1">IF($D47&lt;&gt;"Serviço","",OFFSET(ORÇAMENTO!S$15,$L47,0))</f>
        <v>-</v>
      </c>
      <c r="H47" s="122" cm="1">
        <f t="array" aca="1" ref="H47" ca="1">IF($D47&lt;&gt;"Serviço",0,IF(ACOMPANHAMENTO="BM",ROUND(OFFSET(ORÇAMENTO!AJ$15,$L47,0),15-13*ORÇAMENTO!$AF$7),IF(IFERROR(CÁLCULO.FrentesPreenchidas,0)=0,0,SUM(ROUND(OFFSET($P47,0,1,1,CÁLCULO.FrentesPreenchidas),15-13*ORÇAMENTO!$AF$7)))))</f>
        <v>110</v>
      </c>
      <c r="I47" s="468" t="s">
        <v>1072</v>
      </c>
      <c r="J47" s="651"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2" t="s">
        <v>1079</v>
      </c>
      <c r="L47" s="165">
        <f t="shared" ca="1" si="11"/>
        <v>32</v>
      </c>
      <c r="M47" s="166">
        <f ca="1">IF($D47&lt;&gt;"Serviço","",
          IF(AUTOEVENTO="manual",$A47,
                IF(ISERROR(MATCH($A47,$A$15:OFFSET($A47,-1,0),0)),MAX($M$15:OFFSET(M47,-1,0))+1,
                      INDEX($M$15:OFFSET(M47,-1,0),MATCH($A47,$A$15:OFFSET($A47,-1,0),0)))))</f>
        <v>2</v>
      </c>
      <c r="N47" s="167" t="str">
        <f ca="1">IF($D47&lt;&gt;"Serviço","",
         IF(AUTOEVENTO="Manual",
                IF($A47=0,"&lt;-- defina o número do agrupador",
                       OFFSET(EVENTOS!$D$15,$A47-$A$15,0)),
                OFFSET($F$15,$A47,0)))</f>
        <v>SERVIÇOS PRELIMINARES</v>
      </c>
      <c r="O47" s="168"/>
      <c r="Q47" s="168">
        <v>33</v>
      </c>
      <c r="R47" s="169">
        <v>44</v>
      </c>
      <c r="S47" s="169">
        <v>33</v>
      </c>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3258.42</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4344.5600000000004</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3258.42</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1</v>
      </c>
      <c r="AN47" s="171">
        <f ca="1">IF(OR($D47&lt;&gt;"Serviço",AND(AUTOEVENTO="Manual",$M47=$A$15)),0,
         IF(OFFSET(CRONOPLE!$F$15,$M47-$A$15,AN$13)=0,10^12,OFFSET(CRONOPLE!$F$15,$M47-$A$15,AN$13)))</f>
        <v>2</v>
      </c>
      <c r="AO47" s="171">
        <f ca="1">IF(OR($D47&lt;&gt;"Serviço",AND(AUTOEVENTO="Manual",$M47=$A$15)),0,
         IF(OFFSET(CRONOPLE!$F$15,$M47-$A$15,AO$13)=0,10^12,OFFSET(CRONOPLE!$F$15,$M47-$A$15,AO$13)))</f>
        <v>3</v>
      </c>
      <c r="AP47" s="171">
        <f ca="1">IF(OR($D47&lt;&gt;"Serviço",AND(AUTOEVENTO="Manual",$M47=$A$15)),0,
         IF(OFFSET(CRONOPLE!$F$15,$M47-$A$15,AP$13)=0,10^12,OFFSET(CRONOPLE!$F$15,$M47-$A$15,AP$13)))</f>
        <v>4</v>
      </c>
      <c r="AQ47" s="171">
        <f ca="1">IF(OR($D47&lt;&gt;"Serviço",AND(AUTOEVENTO="Manual",$M47=$A$15)),0,
         IF(OFFSET(CRONOPLE!$F$15,$M47-$A$15,AQ$13)=0,10^12,OFFSET(CRONOPLE!$F$15,$M47-$A$15,AQ$13)))</f>
        <v>5</v>
      </c>
      <c r="AR47" s="171">
        <f ca="1">IF(OR($D47&lt;&gt;"Serviço",AND(AUTOEVENTO="Manual",$M47=$A$15)),0,
         IF(OFFSET(CRONOPLE!$F$15,$M47-$A$15,AR$13)=0,10^12,OFFSET(CRONOPLE!$F$15,$M47-$A$15,AR$13)))</f>
        <v>1</v>
      </c>
      <c r="AS47" s="171">
        <f ca="1">IF(OR($D47&lt;&gt;"Serviço",AND(AUTOEVENTO="Manual",$M47=$A$15)),0,
         IF(OFFSET(CRONOPLE!$F$15,$M47-$A$15,AS$13)=0,10^12,OFFSET(CRONOPLE!$F$15,$M47-$A$15,AS$13)))</f>
        <v>2</v>
      </c>
      <c r="AT47" s="171">
        <f ca="1">IF(OR($D47&lt;&gt;"Serviço",AND(AUTOEVENTO="Manual",$M47=$A$15)),0,
         IF(OFFSET(CRONOPLE!$F$15,$M47-$A$15,AT$13)=0,10^12,OFFSET(CRONOPLE!$F$15,$M47-$A$15,AT$13)))</f>
        <v>3</v>
      </c>
      <c r="AU47" s="171">
        <f ca="1">IF(OR($D47&lt;&gt;"Serviço",AND(AUTOEVENTO="Manual",$M47=$A$15)),0,
         IF(OFFSET(CRONOPLE!$F$15,$M47-$A$15,AU$13)=0,10^12,OFFSET(CRONOPLE!$F$15,$M47-$A$15,AU$13)))</f>
        <v>4</v>
      </c>
      <c r="AV47" s="171">
        <f ca="1">IF(OR($D47&lt;&gt;"Serviço",AND(AUTOEVENTO="Manual",$M47=$A$15)),0,
         IF(OFFSET(CRONOPLE!$F$15,$M47-$A$15,AV$13)=0,10^12,OFFSET(CRONOPLE!$F$15,$M47-$A$15,AV$13)))</f>
        <v>5</v>
      </c>
      <c r="AX47" s="172" cm="1">
        <f t="array" aca="1" ref="AX47" ca="1">IF(OR($D47&lt;&gt;"Serviço",AND(AUTOEVENTO="Manual",$M47=$A$15),$M47&gt;(ROW(PLE.lastrow)-ROW(PLE.firstrow))),0,
           IF(OFFSET(PLE!$G$15,$M47-$A$15,AX$13)="",10^12,OFFSET(PLE!$G$15,$M47-$A$15,AX$13)))</f>
        <v>1000000000000</v>
      </c>
      <c r="AY47" s="172" cm="1">
        <f t="array" aca="1" ref="AY47" ca="1">IF(OR($D47&lt;&gt;"Serviço",AND(AUTOEVENTO="Manual",$M47=$A$15),$M47&gt;(ROW(PLE.lastrow)-ROW(PLE.firstrow))),0,
           IF(OFFSET(PLE!$G$15,$M47-$A$15,AY$13)="",10^12,OFFSET(PLE!$G$15,$M47-$A$15,AY$13)))</f>
        <v>1000000000000</v>
      </c>
      <c r="AZ47" s="172" cm="1">
        <f t="array" aca="1" ref="AZ47" ca="1">IF(OR($D47&lt;&gt;"Serviço",AND(AUTOEVENTO="Manual",$M47=$A$15),$M47&gt;(ROW(PLE.lastrow)-ROW(PLE.firstrow))),0,
           IF(OFFSET(PLE!$G$15,$M47-$A$15,AZ$13)="",10^12,OFFSET(PLE!$G$15,$M47-$A$15,AZ$13)))</f>
        <v>1000000000000</v>
      </c>
      <c r="BA47" s="172" cm="1">
        <f t="array" aca="1" ref="BA47" ca="1">IF(OR($D47&lt;&gt;"Serviço",AND(AUTOEVENTO="Manual",$M47=$A$15),$M47&gt;(ROW(PLE.lastrow)-ROW(PLE.firstrow))),0,
           IF(OFFSET(PLE!$G$15,$M47-$A$15,BA$13)="",10^12,OFFSET(PLE!$G$15,$M47-$A$15,BA$13)))</f>
        <v>1000000000000</v>
      </c>
      <c r="BB47" s="172" cm="1">
        <f t="array" aca="1" ref="BB47" ca="1">IF(OR($D47&lt;&gt;"Serviço",AND(AUTOEVENTO="Manual",$M47=$A$15),$M47&gt;(ROW(PLE.lastrow)-ROW(PLE.firstrow))),0,
           IF(OFFSET(PLE!$G$15,$M47-$A$15,BB$13)="",10^12,OFFSET(PLE!$G$15,$M47-$A$15,BB$13)))</f>
        <v>1000000000000</v>
      </c>
      <c r="BC47" s="172" cm="1">
        <f t="array" aca="1" ref="BC47" ca="1">IF(OR($D47&lt;&gt;"Serviço",AND(AUTOEVENTO="Manual",$M47=$A$15),$M47&gt;(ROW(PLE.lastrow)-ROW(PLE.firstrow))),0,
           IF(OFFSET(PLE!$G$15,$M47-$A$15,BC$13)="",10^12,OFFSET(PLE!$G$15,$M47-$A$15,BC$13)))</f>
        <v>1000000000000</v>
      </c>
      <c r="BD47" s="172" cm="1">
        <f t="array" aca="1" ref="BD47" ca="1">IF(OR($D47&lt;&gt;"Serviço",AND(AUTOEVENTO="Manual",$M47=$A$15),$M47&gt;(ROW(PLE.lastrow)-ROW(PLE.firstrow))),0,
           IF(OFFSET(PLE!$G$15,$M47-$A$15,BD$13)="",10^12,OFFSET(PLE!$G$15,$M47-$A$15,BD$13)))</f>
        <v>1000000000000</v>
      </c>
      <c r="BE47" s="172" cm="1">
        <f t="array" aca="1" ref="BE47" ca="1">IF(OR($D47&lt;&gt;"Serviço",AND(AUTOEVENTO="Manual",$M47=$A$15),$M47&gt;(ROW(PLE.lastrow)-ROW(PLE.firstrow))),0,
           IF(OFFSET(PLE!$G$15,$M47-$A$15,BE$13)="",10^12,OFFSET(PLE!$G$15,$M47-$A$15,BE$13)))</f>
        <v>1000000000000</v>
      </c>
      <c r="BF47" s="172" cm="1">
        <f t="array" aca="1" ref="BF47" ca="1">IF(OR($D47&lt;&gt;"Serviço",AND(AUTOEVENTO="Manual",$M47=$A$15),$M47&gt;(ROW(PLE.lastrow)-ROW(PLE.firstrow))),0,
           IF(OFFSET(PLE!$G$15,$M47-$A$15,BF$13)="",10^12,OFFSET(PLE!$G$15,$M47-$A$15,BF$13)))</f>
        <v>1000000000000</v>
      </c>
      <c r="BG47" s="172" cm="1">
        <f t="array" aca="1" ref="BG47" ca="1">IF(OR($D47&lt;&gt;"Serviço",AND(AUTOEVENTO="Manual",$M47=$A$15),$M47&gt;(ROW(PLE.lastrow)-ROW(PLE.firstrow))),0,
           IF(OFFSET(PLE!$G$15,$M47-$A$15,BG$13)="",10^12,OFFSET(PLE!$G$15,$M47-$A$15,BG$13)))</f>
        <v>1000000000000</v>
      </c>
    </row>
    <row r="48" spans="1:59" ht="12.75" x14ac:dyDescent="0.2">
      <c r="A48" s="7">
        <f t="shared" ca="1" si="10"/>
        <v>2</v>
      </c>
      <c r="B48" s="7" t="str">
        <f ca="1">OFFSET(ORÇAMENTO!C$15,$L48,0)</f>
        <v>S</v>
      </c>
      <c r="C48" s="7" t="str">
        <f ca="1">OFFSET(ORÇAMENTO!L$15,$L48,0)</f>
        <v>F</v>
      </c>
      <c r="D48" s="116" t="str">
        <f ca="1">OFFSET(ORÇAMENTO!N$15,$L48,0)</f>
        <v>Serviço</v>
      </c>
      <c r="E48" s="117" t="str">
        <f ca="1">OFFSET(ORÇAMENTO!O$15,$L48,0)</f>
        <v>1.2.2.4.</v>
      </c>
      <c r="F48" s="163" t="str">
        <f ca="1">OFFSET(ORÇAMENTO!R$15,$L48,0)</f>
        <v>(Código não identificado nas referências)</v>
      </c>
      <c r="G48" s="164" t="str">
        <f ca="1">IF($D48&lt;&gt;"Serviço","",OFFSET(ORÇAMENTO!S$15,$L48,0))</f>
        <v>-</v>
      </c>
      <c r="H48" s="122" cm="1">
        <f t="array" aca="1" ref="H48" ca="1">IF($D48&lt;&gt;"Serviço",0,IF(ACOMPANHAMENTO="BM",ROUND(OFFSET(ORÇAMENTO!AJ$15,$L48,0),15-13*ORÇAMENTO!$AF$7),IF(IFERROR(CÁLCULO.FrentesPreenchidas,0)=0,0,SUM(ROUND(OFFSET($P48,0,1,1,CÁLCULO.FrentesPreenchidas),15-13*ORÇAMENTO!$AF$7)))))</f>
        <v>50</v>
      </c>
      <c r="I48" s="468" t="s">
        <v>1073</v>
      </c>
      <c r="J48" s="651"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2" t="s">
        <v>1079</v>
      </c>
      <c r="L48" s="165">
        <f t="shared" ca="1" si="11"/>
        <v>33</v>
      </c>
      <c r="M48" s="166">
        <f ca="1">IF($D48&lt;&gt;"Serviço","",
          IF(AUTOEVENTO="manual",$A48,
                IF(ISERROR(MATCH($A48,$A$15:OFFSET($A48,-1,0),0)),MAX($M$15:OFFSET(M48,-1,0))+1,
                      INDEX($M$15:OFFSET(M48,-1,0),MATCH($A48,$A$15:OFFSET($A48,-1,0),0)))))</f>
        <v>2</v>
      </c>
      <c r="N48" s="167" t="str">
        <f ca="1">IF($D48&lt;&gt;"Serviço","",
         IF(AUTOEVENTO="Manual",
                IF($A48=0,"&lt;-- defina o número do agrupador",
                       OFFSET(EVENTOS!$D$15,$A48-$A$15,0)),
                OFFSET($F$15,$A48,0)))</f>
        <v>SERVIÇOS PRELIMINARES</v>
      </c>
      <c r="O48" s="168"/>
      <c r="Q48" s="168"/>
      <c r="R48" s="169">
        <v>7.5</v>
      </c>
      <c r="S48" s="169">
        <v>7.5</v>
      </c>
      <c r="T48" s="169">
        <v>7.5</v>
      </c>
      <c r="U48" s="169">
        <v>7.5</v>
      </c>
      <c r="V48" s="169">
        <v>7.5</v>
      </c>
      <c r="W48" s="169">
        <v>7.5</v>
      </c>
      <c r="X48" s="169">
        <v>5</v>
      </c>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964.13</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964.13</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964.13</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964.13</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964.13</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964.13</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642.75</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1</v>
      </c>
      <c r="AN48" s="171">
        <f ca="1">IF(OR($D48&lt;&gt;"Serviço",AND(AUTOEVENTO="Manual",$M48=$A$15)),0,
         IF(OFFSET(CRONOPLE!$F$15,$M48-$A$15,AN$13)=0,10^12,OFFSET(CRONOPLE!$F$15,$M48-$A$15,AN$13)))</f>
        <v>2</v>
      </c>
      <c r="AO48" s="171">
        <f ca="1">IF(OR($D48&lt;&gt;"Serviço",AND(AUTOEVENTO="Manual",$M48=$A$15)),0,
         IF(OFFSET(CRONOPLE!$F$15,$M48-$A$15,AO$13)=0,10^12,OFFSET(CRONOPLE!$F$15,$M48-$A$15,AO$13)))</f>
        <v>3</v>
      </c>
      <c r="AP48" s="171">
        <f ca="1">IF(OR($D48&lt;&gt;"Serviço",AND(AUTOEVENTO="Manual",$M48=$A$15)),0,
         IF(OFFSET(CRONOPLE!$F$15,$M48-$A$15,AP$13)=0,10^12,OFFSET(CRONOPLE!$F$15,$M48-$A$15,AP$13)))</f>
        <v>4</v>
      </c>
      <c r="AQ48" s="171">
        <f ca="1">IF(OR($D48&lt;&gt;"Serviço",AND(AUTOEVENTO="Manual",$M48=$A$15)),0,
         IF(OFFSET(CRONOPLE!$F$15,$M48-$A$15,AQ$13)=0,10^12,OFFSET(CRONOPLE!$F$15,$M48-$A$15,AQ$13)))</f>
        <v>5</v>
      </c>
      <c r="AR48" s="171">
        <f ca="1">IF(OR($D48&lt;&gt;"Serviço",AND(AUTOEVENTO="Manual",$M48=$A$15)),0,
         IF(OFFSET(CRONOPLE!$F$15,$M48-$A$15,AR$13)=0,10^12,OFFSET(CRONOPLE!$F$15,$M48-$A$15,AR$13)))</f>
        <v>1</v>
      </c>
      <c r="AS48" s="171">
        <f ca="1">IF(OR($D48&lt;&gt;"Serviço",AND(AUTOEVENTO="Manual",$M48=$A$15)),0,
         IF(OFFSET(CRONOPLE!$F$15,$M48-$A$15,AS$13)=0,10^12,OFFSET(CRONOPLE!$F$15,$M48-$A$15,AS$13)))</f>
        <v>2</v>
      </c>
      <c r="AT48" s="171">
        <f ca="1">IF(OR($D48&lt;&gt;"Serviço",AND(AUTOEVENTO="Manual",$M48=$A$15)),0,
         IF(OFFSET(CRONOPLE!$F$15,$M48-$A$15,AT$13)=0,10^12,OFFSET(CRONOPLE!$F$15,$M48-$A$15,AT$13)))</f>
        <v>3</v>
      </c>
      <c r="AU48" s="171">
        <f ca="1">IF(OR($D48&lt;&gt;"Serviço",AND(AUTOEVENTO="Manual",$M48=$A$15)),0,
         IF(OFFSET(CRONOPLE!$F$15,$M48-$A$15,AU$13)=0,10^12,OFFSET(CRONOPLE!$F$15,$M48-$A$15,AU$13)))</f>
        <v>4</v>
      </c>
      <c r="AV48" s="171">
        <f ca="1">IF(OR($D48&lt;&gt;"Serviço",AND(AUTOEVENTO="Manual",$M48=$A$15)),0,
         IF(OFFSET(CRONOPLE!$F$15,$M48-$A$15,AV$13)=0,10^12,OFFSET(CRONOPLE!$F$15,$M48-$A$15,AV$13)))</f>
        <v>5</v>
      </c>
      <c r="AX48" s="172" cm="1">
        <f t="array" aca="1" ref="AX48" ca="1">IF(OR($D48&lt;&gt;"Serviço",AND(AUTOEVENTO="Manual",$M48=$A$15),$M48&gt;(ROW(PLE.lastrow)-ROW(PLE.firstrow))),0,
           IF(OFFSET(PLE!$G$15,$M48-$A$15,AX$13)="",10^12,OFFSET(PLE!$G$15,$M48-$A$15,AX$13)))</f>
        <v>1000000000000</v>
      </c>
      <c r="AY48" s="172" cm="1">
        <f t="array" aca="1" ref="AY48" ca="1">IF(OR($D48&lt;&gt;"Serviço",AND(AUTOEVENTO="Manual",$M48=$A$15),$M48&gt;(ROW(PLE.lastrow)-ROW(PLE.firstrow))),0,
           IF(OFFSET(PLE!$G$15,$M48-$A$15,AY$13)="",10^12,OFFSET(PLE!$G$15,$M48-$A$15,AY$13)))</f>
        <v>1000000000000</v>
      </c>
      <c r="AZ48" s="172" cm="1">
        <f t="array" aca="1" ref="AZ48" ca="1">IF(OR($D48&lt;&gt;"Serviço",AND(AUTOEVENTO="Manual",$M48=$A$15),$M48&gt;(ROW(PLE.lastrow)-ROW(PLE.firstrow))),0,
           IF(OFFSET(PLE!$G$15,$M48-$A$15,AZ$13)="",10^12,OFFSET(PLE!$G$15,$M48-$A$15,AZ$13)))</f>
        <v>1000000000000</v>
      </c>
      <c r="BA48" s="172" cm="1">
        <f t="array" aca="1" ref="BA48" ca="1">IF(OR($D48&lt;&gt;"Serviço",AND(AUTOEVENTO="Manual",$M48=$A$15),$M48&gt;(ROW(PLE.lastrow)-ROW(PLE.firstrow))),0,
           IF(OFFSET(PLE!$G$15,$M48-$A$15,BA$13)="",10^12,OFFSET(PLE!$G$15,$M48-$A$15,BA$13)))</f>
        <v>1000000000000</v>
      </c>
      <c r="BB48" s="172" cm="1">
        <f t="array" aca="1" ref="BB48" ca="1">IF(OR($D48&lt;&gt;"Serviço",AND(AUTOEVENTO="Manual",$M48=$A$15),$M48&gt;(ROW(PLE.lastrow)-ROW(PLE.firstrow))),0,
           IF(OFFSET(PLE!$G$15,$M48-$A$15,BB$13)="",10^12,OFFSET(PLE!$G$15,$M48-$A$15,BB$13)))</f>
        <v>1000000000000</v>
      </c>
      <c r="BC48" s="172" cm="1">
        <f t="array" aca="1" ref="BC48" ca="1">IF(OR($D48&lt;&gt;"Serviço",AND(AUTOEVENTO="Manual",$M48=$A$15),$M48&gt;(ROW(PLE.lastrow)-ROW(PLE.firstrow))),0,
           IF(OFFSET(PLE!$G$15,$M48-$A$15,BC$13)="",10^12,OFFSET(PLE!$G$15,$M48-$A$15,BC$13)))</f>
        <v>1000000000000</v>
      </c>
      <c r="BD48" s="172" cm="1">
        <f t="array" aca="1" ref="BD48" ca="1">IF(OR($D48&lt;&gt;"Serviço",AND(AUTOEVENTO="Manual",$M48=$A$15),$M48&gt;(ROW(PLE.lastrow)-ROW(PLE.firstrow))),0,
           IF(OFFSET(PLE!$G$15,$M48-$A$15,BD$13)="",10^12,OFFSET(PLE!$G$15,$M48-$A$15,BD$13)))</f>
        <v>1000000000000</v>
      </c>
      <c r="BE48" s="172" cm="1">
        <f t="array" aca="1" ref="BE48" ca="1">IF(OR($D48&lt;&gt;"Serviço",AND(AUTOEVENTO="Manual",$M48=$A$15),$M48&gt;(ROW(PLE.lastrow)-ROW(PLE.firstrow))),0,
           IF(OFFSET(PLE!$G$15,$M48-$A$15,BE$13)="",10^12,OFFSET(PLE!$G$15,$M48-$A$15,BE$13)))</f>
        <v>1000000000000</v>
      </c>
      <c r="BF48" s="172" cm="1">
        <f t="array" aca="1" ref="BF48" ca="1">IF(OR($D48&lt;&gt;"Serviço",AND(AUTOEVENTO="Manual",$M48=$A$15),$M48&gt;(ROW(PLE.lastrow)-ROW(PLE.firstrow))),0,
           IF(OFFSET(PLE!$G$15,$M48-$A$15,BF$13)="",10^12,OFFSET(PLE!$G$15,$M48-$A$15,BF$13)))</f>
        <v>1000000000000</v>
      </c>
      <c r="BG48" s="172" cm="1">
        <f t="array" aca="1" ref="BG48" ca="1">IF(OR($D48&lt;&gt;"Serviço",AND(AUTOEVENTO="Manual",$M48=$A$15),$M48&gt;(ROW(PLE.lastrow)-ROW(PLE.firstrow))),0,
           IF(OFFSET(PLE!$G$15,$M48-$A$15,BG$13)="",10^12,OFFSET(PLE!$G$15,$M48-$A$15,BG$13)))</f>
        <v>1000000000000</v>
      </c>
    </row>
    <row r="49" spans="1:59" ht="12.75" x14ac:dyDescent="0.2">
      <c r="A49" s="7">
        <f t="shared" ca="1" si="10"/>
        <v>2</v>
      </c>
      <c r="B49" s="7" t="str">
        <f ca="1">OFFSET(ORÇAMENTO!C$15,$L49,0)</f>
        <v>S</v>
      </c>
      <c r="C49" s="7" t="str">
        <f ca="1">OFFSET(ORÇAMENTO!L$15,$L49,0)</f>
        <v>F</v>
      </c>
      <c r="D49" s="116" t="str">
        <f ca="1">OFFSET(ORÇAMENTO!N$15,$L49,0)</f>
        <v>Serviço</v>
      </c>
      <c r="E49" s="117" t="str">
        <f ca="1">OFFSET(ORÇAMENTO!O$15,$L49,0)</f>
        <v>1.2.2.5.</v>
      </c>
      <c r="F49" s="163" t="str">
        <f ca="1">OFFSET(ORÇAMENTO!R$15,$L49,0)</f>
        <v>(Código não identificado nas referências)</v>
      </c>
      <c r="G49" s="164" t="str">
        <f ca="1">IF($D49&lt;&gt;"Serviço","",OFFSET(ORÇAMENTO!S$15,$L49,0))</f>
        <v>-</v>
      </c>
      <c r="H49" s="122" cm="1">
        <f t="array" aca="1" ref="H49" ca="1">IF($D49&lt;&gt;"Serviço",0,IF(ACOMPANHAMENTO="BM",ROUND(OFFSET(ORÇAMENTO!AJ$15,$L49,0),15-13*ORÇAMENTO!$AF$7),IF(IFERROR(CÁLCULO.FrentesPreenchidas,0)=0,0,SUM(ROUND(OFFSET($P49,0,1,1,CÁLCULO.FrentesPreenchidas),15-13*ORÇAMENTO!$AF$7)))))</f>
        <v>0.99999999999999989</v>
      </c>
      <c r="I49" s="468" t="s">
        <v>1074</v>
      </c>
      <c r="J49" s="651"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2" t="s">
        <v>1079</v>
      </c>
      <c r="L49" s="165">
        <f t="shared" ca="1" si="11"/>
        <v>34</v>
      </c>
      <c r="M49" s="166">
        <f ca="1">IF($D49&lt;&gt;"Serviço","",
          IF(AUTOEVENTO="manual",$A49,
                IF(ISERROR(MATCH($A49,$A$15:OFFSET($A49,-1,0),0)),MAX($M$15:OFFSET(M49,-1,0))+1,
                      INDEX($M$15:OFFSET(M49,-1,0),MATCH($A49,$A$15:OFFSET($A49,-1,0),0)))))</f>
        <v>2</v>
      </c>
      <c r="N49" s="167" t="str">
        <f ca="1">IF($D49&lt;&gt;"Serviço","",
         IF(AUTOEVENTO="Manual",
                IF($A49=0,"&lt;-- defina o número do agrupador",
                       OFFSET(EVENTOS!$D$15,$A49-$A$15,0)),
                OFFSET($F$15,$A49,0)))</f>
        <v>SERVIÇOS PRELIMINARES</v>
      </c>
      <c r="O49" s="168"/>
      <c r="Q49" s="168">
        <v>0.1</v>
      </c>
      <c r="R49" s="169">
        <v>0.1</v>
      </c>
      <c r="S49" s="169">
        <v>0.1</v>
      </c>
      <c r="T49" s="169">
        <v>0.1</v>
      </c>
      <c r="U49" s="169">
        <v>0.1</v>
      </c>
      <c r="V49" s="169">
        <v>0.1</v>
      </c>
      <c r="W49" s="169">
        <v>0.1</v>
      </c>
      <c r="X49" s="169">
        <v>0.1</v>
      </c>
      <c r="Y49" s="169">
        <v>0.1</v>
      </c>
      <c r="Z49" s="170">
        <v>0.1</v>
      </c>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1782.39</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1782.39</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1782.39</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1782.39</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1782.39</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1782.39</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1782.39</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1782.39</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1782.39</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1782.39</v>
      </c>
      <c r="AM49" s="171">
        <f ca="1">IF(OR($D49&lt;&gt;"Serviço",AND(AUTOEVENTO="Manual",$M49=$A$15)),0,
         IF(OFFSET(CRONOPLE!$F$15,$M49-$A$15,AM$13)=0,10^12,OFFSET(CRONOPLE!$F$15,$M49-$A$15,AM$13)))</f>
        <v>1</v>
      </c>
      <c r="AN49" s="171">
        <f ca="1">IF(OR($D49&lt;&gt;"Serviço",AND(AUTOEVENTO="Manual",$M49=$A$15)),0,
         IF(OFFSET(CRONOPLE!$F$15,$M49-$A$15,AN$13)=0,10^12,OFFSET(CRONOPLE!$F$15,$M49-$A$15,AN$13)))</f>
        <v>2</v>
      </c>
      <c r="AO49" s="171">
        <f ca="1">IF(OR($D49&lt;&gt;"Serviço",AND(AUTOEVENTO="Manual",$M49=$A$15)),0,
         IF(OFFSET(CRONOPLE!$F$15,$M49-$A$15,AO$13)=0,10^12,OFFSET(CRONOPLE!$F$15,$M49-$A$15,AO$13)))</f>
        <v>3</v>
      </c>
      <c r="AP49" s="171">
        <f ca="1">IF(OR($D49&lt;&gt;"Serviço",AND(AUTOEVENTO="Manual",$M49=$A$15)),0,
         IF(OFFSET(CRONOPLE!$F$15,$M49-$A$15,AP$13)=0,10^12,OFFSET(CRONOPLE!$F$15,$M49-$A$15,AP$13)))</f>
        <v>4</v>
      </c>
      <c r="AQ49" s="171">
        <f ca="1">IF(OR($D49&lt;&gt;"Serviço",AND(AUTOEVENTO="Manual",$M49=$A$15)),0,
         IF(OFFSET(CRONOPLE!$F$15,$M49-$A$15,AQ$13)=0,10^12,OFFSET(CRONOPLE!$F$15,$M49-$A$15,AQ$13)))</f>
        <v>5</v>
      </c>
      <c r="AR49" s="171">
        <f ca="1">IF(OR($D49&lt;&gt;"Serviço",AND(AUTOEVENTO="Manual",$M49=$A$15)),0,
         IF(OFFSET(CRONOPLE!$F$15,$M49-$A$15,AR$13)=0,10^12,OFFSET(CRONOPLE!$F$15,$M49-$A$15,AR$13)))</f>
        <v>1</v>
      </c>
      <c r="AS49" s="171">
        <f ca="1">IF(OR($D49&lt;&gt;"Serviço",AND(AUTOEVENTO="Manual",$M49=$A$15)),0,
         IF(OFFSET(CRONOPLE!$F$15,$M49-$A$15,AS$13)=0,10^12,OFFSET(CRONOPLE!$F$15,$M49-$A$15,AS$13)))</f>
        <v>2</v>
      </c>
      <c r="AT49" s="171">
        <f ca="1">IF(OR($D49&lt;&gt;"Serviço",AND(AUTOEVENTO="Manual",$M49=$A$15)),0,
         IF(OFFSET(CRONOPLE!$F$15,$M49-$A$15,AT$13)=0,10^12,OFFSET(CRONOPLE!$F$15,$M49-$A$15,AT$13)))</f>
        <v>3</v>
      </c>
      <c r="AU49" s="171">
        <f ca="1">IF(OR($D49&lt;&gt;"Serviço",AND(AUTOEVENTO="Manual",$M49=$A$15)),0,
         IF(OFFSET(CRONOPLE!$F$15,$M49-$A$15,AU$13)=0,10^12,OFFSET(CRONOPLE!$F$15,$M49-$A$15,AU$13)))</f>
        <v>4</v>
      </c>
      <c r="AV49" s="171">
        <f ca="1">IF(OR($D49&lt;&gt;"Serviço",AND(AUTOEVENTO="Manual",$M49=$A$15)),0,
         IF(OFFSET(CRONOPLE!$F$15,$M49-$A$15,AV$13)=0,10^12,OFFSET(CRONOPLE!$F$15,$M49-$A$15,AV$13)))</f>
        <v>5</v>
      </c>
      <c r="AX49" s="172" cm="1">
        <f t="array" aca="1" ref="AX49" ca="1">IF(OR($D49&lt;&gt;"Serviço",AND(AUTOEVENTO="Manual",$M49=$A$15),$M49&gt;(ROW(PLE.lastrow)-ROW(PLE.firstrow))),0,
           IF(OFFSET(PLE!$G$15,$M49-$A$15,AX$13)="",10^12,OFFSET(PLE!$G$15,$M49-$A$15,AX$13)))</f>
        <v>1000000000000</v>
      </c>
      <c r="AY49" s="172" cm="1">
        <f t="array" aca="1" ref="AY49" ca="1">IF(OR($D49&lt;&gt;"Serviço",AND(AUTOEVENTO="Manual",$M49=$A$15),$M49&gt;(ROW(PLE.lastrow)-ROW(PLE.firstrow))),0,
           IF(OFFSET(PLE!$G$15,$M49-$A$15,AY$13)="",10^12,OFFSET(PLE!$G$15,$M49-$A$15,AY$13)))</f>
        <v>1000000000000</v>
      </c>
      <c r="AZ49" s="172" cm="1">
        <f t="array" aca="1" ref="AZ49" ca="1">IF(OR($D49&lt;&gt;"Serviço",AND(AUTOEVENTO="Manual",$M49=$A$15),$M49&gt;(ROW(PLE.lastrow)-ROW(PLE.firstrow))),0,
           IF(OFFSET(PLE!$G$15,$M49-$A$15,AZ$13)="",10^12,OFFSET(PLE!$G$15,$M49-$A$15,AZ$13)))</f>
        <v>1000000000000</v>
      </c>
      <c r="BA49" s="172" cm="1">
        <f t="array" aca="1" ref="BA49" ca="1">IF(OR($D49&lt;&gt;"Serviço",AND(AUTOEVENTO="Manual",$M49=$A$15),$M49&gt;(ROW(PLE.lastrow)-ROW(PLE.firstrow))),0,
           IF(OFFSET(PLE!$G$15,$M49-$A$15,BA$13)="",10^12,OFFSET(PLE!$G$15,$M49-$A$15,BA$13)))</f>
        <v>1000000000000</v>
      </c>
      <c r="BB49" s="172" cm="1">
        <f t="array" aca="1" ref="BB49" ca="1">IF(OR($D49&lt;&gt;"Serviço",AND(AUTOEVENTO="Manual",$M49=$A$15),$M49&gt;(ROW(PLE.lastrow)-ROW(PLE.firstrow))),0,
           IF(OFFSET(PLE!$G$15,$M49-$A$15,BB$13)="",10^12,OFFSET(PLE!$G$15,$M49-$A$15,BB$13)))</f>
        <v>1000000000000</v>
      </c>
      <c r="BC49" s="172" cm="1">
        <f t="array" aca="1" ref="BC49" ca="1">IF(OR($D49&lt;&gt;"Serviço",AND(AUTOEVENTO="Manual",$M49=$A$15),$M49&gt;(ROW(PLE.lastrow)-ROW(PLE.firstrow))),0,
           IF(OFFSET(PLE!$G$15,$M49-$A$15,BC$13)="",10^12,OFFSET(PLE!$G$15,$M49-$A$15,BC$13)))</f>
        <v>1000000000000</v>
      </c>
      <c r="BD49" s="172" cm="1">
        <f t="array" aca="1" ref="BD49" ca="1">IF(OR($D49&lt;&gt;"Serviço",AND(AUTOEVENTO="Manual",$M49=$A$15),$M49&gt;(ROW(PLE.lastrow)-ROW(PLE.firstrow))),0,
           IF(OFFSET(PLE!$G$15,$M49-$A$15,BD$13)="",10^12,OFFSET(PLE!$G$15,$M49-$A$15,BD$13)))</f>
        <v>1000000000000</v>
      </c>
      <c r="BE49" s="172" cm="1">
        <f t="array" aca="1" ref="BE49" ca="1">IF(OR($D49&lt;&gt;"Serviço",AND(AUTOEVENTO="Manual",$M49=$A$15),$M49&gt;(ROW(PLE.lastrow)-ROW(PLE.firstrow))),0,
           IF(OFFSET(PLE!$G$15,$M49-$A$15,BE$13)="",10^12,OFFSET(PLE!$G$15,$M49-$A$15,BE$13)))</f>
        <v>1000000000000</v>
      </c>
      <c r="BF49" s="172" cm="1">
        <f t="array" aca="1" ref="BF49" ca="1">IF(OR($D49&lt;&gt;"Serviço",AND(AUTOEVENTO="Manual",$M49=$A$15),$M49&gt;(ROW(PLE.lastrow)-ROW(PLE.firstrow))),0,
           IF(OFFSET(PLE!$G$15,$M49-$A$15,BF$13)="",10^12,OFFSET(PLE!$G$15,$M49-$A$15,BF$13)))</f>
        <v>1000000000000</v>
      </c>
      <c r="BG49" s="172" cm="1">
        <f t="array" aca="1" ref="BG49" ca="1">IF(OR($D49&lt;&gt;"Serviço",AND(AUTOEVENTO="Manual",$M49=$A$15),$M49&gt;(ROW(PLE.lastrow)-ROW(PLE.firstrow))),0,
           IF(OFFSET(PLE!$G$15,$M49-$A$15,BG$13)="",10^12,OFFSET(PLE!$G$15,$M49-$A$15,BG$13)))</f>
        <v>1000000000000</v>
      </c>
    </row>
    <row r="50" spans="1:59" ht="12.75" x14ac:dyDescent="0.2">
      <c r="A50" s="7">
        <f t="shared" ca="1" si="10"/>
        <v>0</v>
      </c>
      <c r="B50" s="7">
        <f ca="1">OFFSET(ORÇAMENTO!C$15,$L50,0)</f>
        <v>3</v>
      </c>
      <c r="C50" s="7" t="str">
        <f ca="1">OFFSET(ORÇAMENTO!L$15,$L50,0)</f>
        <v>F</v>
      </c>
      <c r="D50" s="116" t="str">
        <f ca="1">OFFSET(ORÇAMENTO!N$15,$L50,0)</f>
        <v>Nível 3</v>
      </c>
      <c r="E50" s="117" t="str">
        <f ca="1">OFFSET(ORÇAMENTO!O$15,$L50,0)</f>
        <v>1.2.3.</v>
      </c>
      <c r="F50" s="163" t="str">
        <f ca="1">OFFSET(ORÇAMENTO!R$15,$L50,0)</f>
        <v>MOBILIZACAO E DESMOBILIZACAO DE CANTEIRO</v>
      </c>
      <c r="G50" s="164" t="str">
        <f ca="1">IF($D50&lt;&gt;"Serviço","",OFFSET(ORÇAMENTO!S$15,$L50,0))</f>
        <v/>
      </c>
      <c r="H50" s="122" cm="1">
        <f t="array" aca="1" ref="H50" ca="1">IF($D50&lt;&gt;"Serviço",0,IF(ACOMPANHAMENTO="BM",ROUND(OFFSET(ORÇAMENTO!AJ$15,$L50,0),15-13*ORÇAMENTO!$AF$7),IF(IFERROR(CÁLCULO.FrentesPreenchidas,0)=0,0,SUM(ROUND(OFFSET($P50,0,1,1,CÁLCULO.FrentesPreenchidas),15-13*ORÇAMENTO!$AF$7)))))</f>
        <v>0</v>
      </c>
      <c r="I50" s="468"/>
      <c r="J50" s="651"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2"/>
      <c r="L50" s="165">
        <f t="shared" ca="1" si="11"/>
        <v>35</v>
      </c>
      <c r="M50" s="166" t="str">
        <f ca="1">IF($D50&lt;&gt;"Serviço","",
          IF(AUTOEVENTO="manual",$A50,
                IF(ISERROR(MATCH($A50,$A$15:OFFSET($A50,-1,0),0)),MAX($M$15:OFFSET(M50,-1,0))+1,
                      INDEX($M$15:OFFSET(M50,-1,0),MATCH($A50,$A$15:OFFSET($A50,-1,0),0)))))</f>
        <v/>
      </c>
      <c r="N50" s="167" t="str">
        <f ca="1">IF($D50&lt;&gt;"Serviço","",
         IF(AUTOEVENTO="Manual",
                IF($A50=0,"&lt;-- defina o número do agrupador",
                       OFFSET(EVENTOS!$D$15,$A50-$A$15,0)),
                OFFSET($F$15,$A50,0)))</f>
        <v/>
      </c>
      <c r="O50" s="168"/>
      <c r="Q50" s="168"/>
      <c r="R50" s="169"/>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0</v>
      </c>
      <c r="AN50" s="171">
        <f ca="1">IF(OR($D50&lt;&gt;"Serviço",AND(AUTOEVENTO="Manual",$M50=$A$15)),0,
         IF(OFFSET(CRONOPLE!$F$15,$M50-$A$15,AN$13)=0,10^12,OFFSET(CRONOPLE!$F$15,$M50-$A$15,AN$13)))</f>
        <v>0</v>
      </c>
      <c r="AO50" s="171">
        <f ca="1">IF(OR($D50&lt;&gt;"Serviço",AND(AUTOEVENTO="Manual",$M50=$A$15)),0,
         IF(OFFSET(CRONOPLE!$F$15,$M50-$A$15,AO$13)=0,10^12,OFFSET(CRONOPLE!$F$15,$M50-$A$15,AO$13)))</f>
        <v>0</v>
      </c>
      <c r="AP50" s="171">
        <f ca="1">IF(OR($D50&lt;&gt;"Serviço",AND(AUTOEVENTO="Manual",$M50=$A$15)),0,
         IF(OFFSET(CRONOPLE!$F$15,$M50-$A$15,AP$13)=0,10^12,OFFSET(CRONOPLE!$F$15,$M50-$A$15,AP$13)))</f>
        <v>0</v>
      </c>
      <c r="AQ50" s="171">
        <f ca="1">IF(OR($D50&lt;&gt;"Serviço",AND(AUTOEVENTO="Manual",$M50=$A$15)),0,
         IF(OFFSET(CRONOPLE!$F$15,$M50-$A$15,AQ$13)=0,10^12,OFFSET(CRONOPLE!$F$15,$M50-$A$15,AQ$13)))</f>
        <v>0</v>
      </c>
      <c r="AR50" s="171">
        <f ca="1">IF(OR($D50&lt;&gt;"Serviço",AND(AUTOEVENTO="Manual",$M50=$A$15)),0,
         IF(OFFSET(CRONOPLE!$F$15,$M50-$A$15,AR$13)=0,10^12,OFFSET(CRONOPLE!$F$15,$M50-$A$15,AR$13)))</f>
        <v>0</v>
      </c>
      <c r="AS50" s="171">
        <f ca="1">IF(OR($D50&lt;&gt;"Serviço",AND(AUTOEVENTO="Manual",$M50=$A$15)),0,
         IF(OFFSET(CRONOPLE!$F$15,$M50-$A$15,AS$13)=0,10^12,OFFSET(CRONOPLE!$F$15,$M50-$A$15,AS$13)))</f>
        <v>0</v>
      </c>
      <c r="AT50" s="171">
        <f ca="1">IF(OR($D50&lt;&gt;"Serviço",AND(AUTOEVENTO="Manual",$M50=$A$15)),0,
         IF(OFFSET(CRONOPLE!$F$15,$M50-$A$15,AT$13)=0,10^12,OFFSET(CRONOPLE!$F$15,$M50-$A$15,AT$13)))</f>
        <v>0</v>
      </c>
      <c r="AU50" s="171">
        <f ca="1">IF(OR($D50&lt;&gt;"Serviço",AND(AUTOEVENTO="Manual",$M50=$A$15)),0,
         IF(OFFSET(CRONOPLE!$F$15,$M50-$A$15,AU$13)=0,10^12,OFFSET(CRONOPLE!$F$15,$M50-$A$15,AU$13)))</f>
        <v>0</v>
      </c>
      <c r="AV50" s="171">
        <f ca="1">IF(OR($D50&lt;&gt;"Serviço",AND(AUTOEVENTO="Manual",$M50=$A$15)),0,
         IF(OFFSET(CRONOPLE!$F$15,$M50-$A$15,AV$13)=0,10^12,OFFSET(CRONOPLE!$F$15,$M50-$A$15,AV$13)))</f>
        <v>0</v>
      </c>
      <c r="AX50" s="172" cm="1">
        <f t="array" aca="1" ref="AX50" ca="1">IF(OR($D50&lt;&gt;"Serviço",AND(AUTOEVENTO="Manual",$M50=$A$15),$M50&gt;(ROW(PLE.lastrow)-ROW(PLE.firstrow))),0,
           IF(OFFSET(PLE!$G$15,$M50-$A$15,AX$13)="",10^12,OFFSET(PLE!$G$15,$M50-$A$15,AX$13)))</f>
        <v>0</v>
      </c>
      <c r="AY50" s="172" cm="1">
        <f t="array" aca="1" ref="AY50" ca="1">IF(OR($D50&lt;&gt;"Serviço",AND(AUTOEVENTO="Manual",$M50=$A$15),$M50&gt;(ROW(PLE.lastrow)-ROW(PLE.firstrow))),0,
           IF(OFFSET(PLE!$G$15,$M50-$A$15,AY$13)="",10^12,OFFSET(PLE!$G$15,$M50-$A$15,AY$13)))</f>
        <v>0</v>
      </c>
      <c r="AZ50" s="172" cm="1">
        <f t="array" aca="1" ref="AZ50" ca="1">IF(OR($D50&lt;&gt;"Serviço",AND(AUTOEVENTO="Manual",$M50=$A$15),$M50&gt;(ROW(PLE.lastrow)-ROW(PLE.firstrow))),0,
           IF(OFFSET(PLE!$G$15,$M50-$A$15,AZ$13)="",10^12,OFFSET(PLE!$G$15,$M50-$A$15,AZ$13)))</f>
        <v>0</v>
      </c>
      <c r="BA50" s="172" cm="1">
        <f t="array" aca="1" ref="BA50" ca="1">IF(OR($D50&lt;&gt;"Serviço",AND(AUTOEVENTO="Manual",$M50=$A$15),$M50&gt;(ROW(PLE.lastrow)-ROW(PLE.firstrow))),0,
           IF(OFFSET(PLE!$G$15,$M50-$A$15,BA$13)="",10^12,OFFSET(PLE!$G$15,$M50-$A$15,BA$13)))</f>
        <v>0</v>
      </c>
      <c r="BB50" s="172" cm="1">
        <f t="array" aca="1" ref="BB50" ca="1">IF(OR($D50&lt;&gt;"Serviço",AND(AUTOEVENTO="Manual",$M50=$A$15),$M50&gt;(ROW(PLE.lastrow)-ROW(PLE.firstrow))),0,
           IF(OFFSET(PLE!$G$15,$M50-$A$15,BB$13)="",10^12,OFFSET(PLE!$G$15,$M50-$A$15,BB$13)))</f>
        <v>0</v>
      </c>
      <c r="BC50" s="172" cm="1">
        <f t="array" aca="1" ref="BC50" ca="1">IF(OR($D50&lt;&gt;"Serviço",AND(AUTOEVENTO="Manual",$M50=$A$15),$M50&gt;(ROW(PLE.lastrow)-ROW(PLE.firstrow))),0,
           IF(OFFSET(PLE!$G$15,$M50-$A$15,BC$13)="",10^12,OFFSET(PLE!$G$15,$M50-$A$15,BC$13)))</f>
        <v>0</v>
      </c>
      <c r="BD50" s="172" cm="1">
        <f t="array" aca="1" ref="BD50" ca="1">IF(OR($D50&lt;&gt;"Serviço",AND(AUTOEVENTO="Manual",$M50=$A$15),$M50&gt;(ROW(PLE.lastrow)-ROW(PLE.firstrow))),0,
           IF(OFFSET(PLE!$G$15,$M50-$A$15,BD$13)="",10^12,OFFSET(PLE!$G$15,$M50-$A$15,BD$13)))</f>
        <v>0</v>
      </c>
      <c r="BE50" s="172" cm="1">
        <f t="array" aca="1" ref="BE50" ca="1">IF(OR($D50&lt;&gt;"Serviço",AND(AUTOEVENTO="Manual",$M50=$A$15),$M50&gt;(ROW(PLE.lastrow)-ROW(PLE.firstrow))),0,
           IF(OFFSET(PLE!$G$15,$M50-$A$15,BE$13)="",10^12,OFFSET(PLE!$G$15,$M50-$A$15,BE$13)))</f>
        <v>0</v>
      </c>
      <c r="BF50" s="172" cm="1">
        <f t="array" aca="1" ref="BF50" ca="1">IF(OR($D50&lt;&gt;"Serviço",AND(AUTOEVENTO="Manual",$M50=$A$15),$M50&gt;(ROW(PLE.lastrow)-ROW(PLE.firstrow))),0,
           IF(OFFSET(PLE!$G$15,$M50-$A$15,BF$13)="",10^12,OFFSET(PLE!$G$15,$M50-$A$15,BF$13)))</f>
        <v>0</v>
      </c>
      <c r="BG50" s="172" cm="1">
        <f t="array" aca="1" ref="BG50" ca="1">IF(OR($D50&lt;&gt;"Serviço",AND(AUTOEVENTO="Manual",$M50=$A$15),$M50&gt;(ROW(PLE.lastrow)-ROW(PLE.firstrow))),0,
           IF(OFFSET(PLE!$G$15,$M50-$A$15,BG$13)="",10^12,OFFSET(PLE!$G$15,$M50-$A$15,BG$13)))</f>
        <v>0</v>
      </c>
    </row>
    <row r="51" spans="1:59" ht="38.25" x14ac:dyDescent="0.2">
      <c r="A51" s="7">
        <f t="shared" ca="1" si="10"/>
        <v>2</v>
      </c>
      <c r="B51" s="7" t="str">
        <f ca="1">OFFSET(ORÇAMENTO!C$15,$L51,0)</f>
        <v>S</v>
      </c>
      <c r="C51" s="7" t="str">
        <f ca="1">OFFSET(ORÇAMENTO!L$15,$L51,0)</f>
        <v>F</v>
      </c>
      <c r="D51" s="116" t="str">
        <f ca="1">OFFSET(ORÇAMENTO!N$15,$L51,0)</f>
        <v>Serviço</v>
      </c>
      <c r="E51" s="117" t="str">
        <f ca="1">OFFSET(ORÇAMENTO!O$15,$L51,0)</f>
        <v>1.2.3.1.</v>
      </c>
      <c r="F51" s="163" t="str">
        <f ca="1">OFFSET(ORÇAMENTO!R$15,$L51,0)</f>
        <v>(Código não identificado nas referências)</v>
      </c>
      <c r="G51" s="164" t="str">
        <f ca="1">IF($D51&lt;&gt;"Serviço","",OFFSET(ORÇAMENTO!S$15,$L51,0))</f>
        <v>-</v>
      </c>
      <c r="H51" s="122" cm="1">
        <f t="array" aca="1" ref="H51" ca="1">IF($D51&lt;&gt;"Serviço",0,IF(ACOMPANHAMENTO="BM",ROUND(OFFSET(ORÇAMENTO!AJ$15,$L51,0),15-13*ORÇAMENTO!$AF$7),IF(IFERROR(CÁLCULO.FrentesPreenchidas,0)=0,0,SUM(ROUND(OFFSET($P51,0,1,1,CÁLCULO.FrentesPreenchidas),15-13*ORÇAMENTO!$AF$7)))))</f>
        <v>600</v>
      </c>
      <c r="I51" s="468" t="s">
        <v>1075</v>
      </c>
      <c r="J51" s="651"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2" t="s">
        <v>1079</v>
      </c>
      <c r="L51" s="165">
        <f t="shared" ca="1" si="11"/>
        <v>36</v>
      </c>
      <c r="M51" s="166">
        <f ca="1">IF($D51&lt;&gt;"Serviço","",
          IF(AUTOEVENTO="manual",$A51,
                IF(ISERROR(MATCH($A51,$A$15:OFFSET($A51,-1,0),0)),MAX($M$15:OFFSET(M51,-1,0))+1,
                      INDEX($M$15:OFFSET(M51,-1,0),MATCH($A51,$A$15:OFFSET($A51,-1,0),0)))))</f>
        <v>2</v>
      </c>
      <c r="N51" s="167" t="str">
        <f ca="1">IF($D51&lt;&gt;"Serviço","",
         IF(AUTOEVENTO="Manual",
                IF($A51=0,"&lt;-- defina o número do agrupador",
                       OFFSET(EVENTOS!$D$15,$A51-$A$15,0)),
                OFFSET($F$15,$A51,0)))</f>
        <v>SERVIÇOS PRELIMINARES</v>
      </c>
      <c r="O51" s="168"/>
      <c r="Q51" s="168">
        <v>300</v>
      </c>
      <c r="R51" s="169"/>
      <c r="S51" s="169"/>
      <c r="T51" s="169"/>
      <c r="U51" s="169"/>
      <c r="V51" s="169"/>
      <c r="W51" s="169"/>
      <c r="X51" s="169"/>
      <c r="Y51" s="169"/>
      <c r="Z51" s="170">
        <v>300</v>
      </c>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1086</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1086</v>
      </c>
      <c r="AM51" s="171">
        <f ca="1">IF(OR($D51&lt;&gt;"Serviço",AND(AUTOEVENTO="Manual",$M51=$A$15)),0,
         IF(OFFSET(CRONOPLE!$F$15,$M51-$A$15,AM$13)=0,10^12,OFFSET(CRONOPLE!$F$15,$M51-$A$15,AM$13)))</f>
        <v>1</v>
      </c>
      <c r="AN51" s="171">
        <f ca="1">IF(OR($D51&lt;&gt;"Serviço",AND(AUTOEVENTO="Manual",$M51=$A$15)),0,
         IF(OFFSET(CRONOPLE!$F$15,$M51-$A$15,AN$13)=0,10^12,OFFSET(CRONOPLE!$F$15,$M51-$A$15,AN$13)))</f>
        <v>2</v>
      </c>
      <c r="AO51" s="171">
        <f ca="1">IF(OR($D51&lt;&gt;"Serviço",AND(AUTOEVENTO="Manual",$M51=$A$15)),0,
         IF(OFFSET(CRONOPLE!$F$15,$M51-$A$15,AO$13)=0,10^12,OFFSET(CRONOPLE!$F$15,$M51-$A$15,AO$13)))</f>
        <v>3</v>
      </c>
      <c r="AP51" s="171">
        <f ca="1">IF(OR($D51&lt;&gt;"Serviço",AND(AUTOEVENTO="Manual",$M51=$A$15)),0,
         IF(OFFSET(CRONOPLE!$F$15,$M51-$A$15,AP$13)=0,10^12,OFFSET(CRONOPLE!$F$15,$M51-$A$15,AP$13)))</f>
        <v>4</v>
      </c>
      <c r="AQ51" s="171">
        <f ca="1">IF(OR($D51&lt;&gt;"Serviço",AND(AUTOEVENTO="Manual",$M51=$A$15)),0,
         IF(OFFSET(CRONOPLE!$F$15,$M51-$A$15,AQ$13)=0,10^12,OFFSET(CRONOPLE!$F$15,$M51-$A$15,AQ$13)))</f>
        <v>5</v>
      </c>
      <c r="AR51" s="171">
        <f ca="1">IF(OR($D51&lt;&gt;"Serviço",AND(AUTOEVENTO="Manual",$M51=$A$15)),0,
         IF(OFFSET(CRONOPLE!$F$15,$M51-$A$15,AR$13)=0,10^12,OFFSET(CRONOPLE!$F$15,$M51-$A$15,AR$13)))</f>
        <v>1</v>
      </c>
      <c r="AS51" s="171">
        <f ca="1">IF(OR($D51&lt;&gt;"Serviço",AND(AUTOEVENTO="Manual",$M51=$A$15)),0,
         IF(OFFSET(CRONOPLE!$F$15,$M51-$A$15,AS$13)=0,10^12,OFFSET(CRONOPLE!$F$15,$M51-$A$15,AS$13)))</f>
        <v>2</v>
      </c>
      <c r="AT51" s="171">
        <f ca="1">IF(OR($D51&lt;&gt;"Serviço",AND(AUTOEVENTO="Manual",$M51=$A$15)),0,
         IF(OFFSET(CRONOPLE!$F$15,$M51-$A$15,AT$13)=0,10^12,OFFSET(CRONOPLE!$F$15,$M51-$A$15,AT$13)))</f>
        <v>3</v>
      </c>
      <c r="AU51" s="171">
        <f ca="1">IF(OR($D51&lt;&gt;"Serviço",AND(AUTOEVENTO="Manual",$M51=$A$15)),0,
         IF(OFFSET(CRONOPLE!$F$15,$M51-$A$15,AU$13)=0,10^12,OFFSET(CRONOPLE!$F$15,$M51-$A$15,AU$13)))</f>
        <v>4</v>
      </c>
      <c r="AV51" s="171">
        <f ca="1">IF(OR($D51&lt;&gt;"Serviço",AND(AUTOEVENTO="Manual",$M51=$A$15)),0,
         IF(OFFSET(CRONOPLE!$F$15,$M51-$A$15,AV$13)=0,10^12,OFFSET(CRONOPLE!$F$15,$M51-$A$15,AV$13)))</f>
        <v>5</v>
      </c>
      <c r="AX51" s="172" cm="1">
        <f t="array" aca="1" ref="AX51" ca="1">IF(OR($D51&lt;&gt;"Serviço",AND(AUTOEVENTO="Manual",$M51=$A$15),$M51&gt;(ROW(PLE.lastrow)-ROW(PLE.firstrow))),0,
           IF(OFFSET(PLE!$G$15,$M51-$A$15,AX$13)="",10^12,OFFSET(PLE!$G$15,$M51-$A$15,AX$13)))</f>
        <v>1000000000000</v>
      </c>
      <c r="AY51" s="172" cm="1">
        <f t="array" aca="1" ref="AY51" ca="1">IF(OR($D51&lt;&gt;"Serviço",AND(AUTOEVENTO="Manual",$M51=$A$15),$M51&gt;(ROW(PLE.lastrow)-ROW(PLE.firstrow))),0,
           IF(OFFSET(PLE!$G$15,$M51-$A$15,AY$13)="",10^12,OFFSET(PLE!$G$15,$M51-$A$15,AY$13)))</f>
        <v>1000000000000</v>
      </c>
      <c r="AZ51" s="172" cm="1">
        <f t="array" aca="1" ref="AZ51" ca="1">IF(OR($D51&lt;&gt;"Serviço",AND(AUTOEVENTO="Manual",$M51=$A$15),$M51&gt;(ROW(PLE.lastrow)-ROW(PLE.firstrow))),0,
           IF(OFFSET(PLE!$G$15,$M51-$A$15,AZ$13)="",10^12,OFFSET(PLE!$G$15,$M51-$A$15,AZ$13)))</f>
        <v>1000000000000</v>
      </c>
      <c r="BA51" s="172" cm="1">
        <f t="array" aca="1" ref="BA51" ca="1">IF(OR($D51&lt;&gt;"Serviço",AND(AUTOEVENTO="Manual",$M51=$A$15),$M51&gt;(ROW(PLE.lastrow)-ROW(PLE.firstrow))),0,
           IF(OFFSET(PLE!$G$15,$M51-$A$15,BA$13)="",10^12,OFFSET(PLE!$G$15,$M51-$A$15,BA$13)))</f>
        <v>1000000000000</v>
      </c>
      <c r="BB51" s="172" cm="1">
        <f t="array" aca="1" ref="BB51" ca="1">IF(OR($D51&lt;&gt;"Serviço",AND(AUTOEVENTO="Manual",$M51=$A$15),$M51&gt;(ROW(PLE.lastrow)-ROW(PLE.firstrow))),0,
           IF(OFFSET(PLE!$G$15,$M51-$A$15,BB$13)="",10^12,OFFSET(PLE!$G$15,$M51-$A$15,BB$13)))</f>
        <v>1000000000000</v>
      </c>
      <c r="BC51" s="172" cm="1">
        <f t="array" aca="1" ref="BC51" ca="1">IF(OR($D51&lt;&gt;"Serviço",AND(AUTOEVENTO="Manual",$M51=$A$15),$M51&gt;(ROW(PLE.lastrow)-ROW(PLE.firstrow))),0,
           IF(OFFSET(PLE!$G$15,$M51-$A$15,BC$13)="",10^12,OFFSET(PLE!$G$15,$M51-$A$15,BC$13)))</f>
        <v>1000000000000</v>
      </c>
      <c r="BD51" s="172" cm="1">
        <f t="array" aca="1" ref="BD51" ca="1">IF(OR($D51&lt;&gt;"Serviço",AND(AUTOEVENTO="Manual",$M51=$A$15),$M51&gt;(ROW(PLE.lastrow)-ROW(PLE.firstrow))),0,
           IF(OFFSET(PLE!$G$15,$M51-$A$15,BD$13)="",10^12,OFFSET(PLE!$G$15,$M51-$A$15,BD$13)))</f>
        <v>1000000000000</v>
      </c>
      <c r="BE51" s="172" cm="1">
        <f t="array" aca="1" ref="BE51" ca="1">IF(OR($D51&lt;&gt;"Serviço",AND(AUTOEVENTO="Manual",$M51=$A$15),$M51&gt;(ROW(PLE.lastrow)-ROW(PLE.firstrow))),0,
           IF(OFFSET(PLE!$G$15,$M51-$A$15,BE$13)="",10^12,OFFSET(PLE!$G$15,$M51-$A$15,BE$13)))</f>
        <v>1000000000000</v>
      </c>
      <c r="BF51" s="172" cm="1">
        <f t="array" aca="1" ref="BF51" ca="1">IF(OR($D51&lt;&gt;"Serviço",AND(AUTOEVENTO="Manual",$M51=$A$15),$M51&gt;(ROW(PLE.lastrow)-ROW(PLE.firstrow))),0,
           IF(OFFSET(PLE!$G$15,$M51-$A$15,BF$13)="",10^12,OFFSET(PLE!$G$15,$M51-$A$15,BF$13)))</f>
        <v>1000000000000</v>
      </c>
      <c r="BG51" s="172" cm="1">
        <f t="array" aca="1" ref="BG51" ca="1">IF(OR($D51&lt;&gt;"Serviço",AND(AUTOEVENTO="Manual",$M51=$A$15),$M51&gt;(ROW(PLE.lastrow)-ROW(PLE.firstrow))),0,
           IF(OFFSET(PLE!$G$15,$M51-$A$15,BG$13)="",10^12,OFFSET(PLE!$G$15,$M51-$A$15,BG$13)))</f>
        <v>1000000000000</v>
      </c>
    </row>
    <row r="52" spans="1:59" ht="51" x14ac:dyDescent="0.2">
      <c r="A52" s="7">
        <f t="shared" ca="1" si="10"/>
        <v>2</v>
      </c>
      <c r="B52" s="7" t="str">
        <f ca="1">OFFSET(ORÇAMENTO!C$15,$L52,0)</f>
        <v>S</v>
      </c>
      <c r="C52" s="7" t="str">
        <f ca="1">OFFSET(ORÇAMENTO!L$15,$L52,0)</f>
        <v>F</v>
      </c>
      <c r="D52" s="116" t="str">
        <f ca="1">OFFSET(ORÇAMENTO!N$15,$L52,0)</f>
        <v>Serviço</v>
      </c>
      <c r="E52" s="117" t="str">
        <f ca="1">OFFSET(ORÇAMENTO!O$15,$L52,0)</f>
        <v>1.2.3.2.</v>
      </c>
      <c r="F52" s="163" t="str">
        <f ca="1">OFFSET(ORÇAMENTO!R$15,$L52,0)</f>
        <v>(Código não identificado nas referências)</v>
      </c>
      <c r="G52" s="164" t="str">
        <f ca="1">IF($D52&lt;&gt;"Serviço","",OFFSET(ORÇAMENTO!S$15,$L52,0))</f>
        <v>-</v>
      </c>
      <c r="H52" s="122" cm="1">
        <f t="array" aca="1" ref="H52" ca="1">IF($D52&lt;&gt;"Serviço",0,IF(ACOMPANHAMENTO="BM",ROUND(OFFSET(ORÇAMENTO!AJ$15,$L52,0),15-13*ORÇAMENTO!$AF$7),IF(IFERROR(CÁLCULO.FrentesPreenchidas,0)=0,0,SUM(ROUND(OFFSET($P52,0,1,1,CÁLCULO.FrentesPreenchidas),15-13*ORÇAMENTO!$AF$7)))))</f>
        <v>2880</v>
      </c>
      <c r="I52" s="468" t="s">
        <v>1076</v>
      </c>
      <c r="J52" s="651"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2" t="s">
        <v>1079</v>
      </c>
      <c r="L52" s="165">
        <f t="shared" ca="1" si="11"/>
        <v>37</v>
      </c>
      <c r="M52" s="166">
        <f ca="1">IF($D52&lt;&gt;"Serviço","",
          IF(AUTOEVENTO="manual",$A52,
                IF(ISERROR(MATCH($A52,$A$15:OFFSET($A52,-1,0),0)),MAX($M$15:OFFSET(M52,-1,0))+1,
                      INDEX($M$15:OFFSET(M52,-1,0),MATCH($A52,$A$15:OFFSET($A52,-1,0),0)))))</f>
        <v>2</v>
      </c>
      <c r="N52" s="167" t="str">
        <f ca="1">IF($D52&lt;&gt;"Serviço","",
         IF(AUTOEVENTO="Manual",
                IF($A52=0,"&lt;-- defina o número do agrupador",
                       OFFSET(EVENTOS!$D$15,$A52-$A$15,0)),
                OFFSET($F$15,$A52,0)))</f>
        <v>SERVIÇOS PRELIMINARES</v>
      </c>
      <c r="O52" s="168"/>
      <c r="Q52" s="168">
        <v>1440</v>
      </c>
      <c r="R52" s="169"/>
      <c r="S52" s="169"/>
      <c r="T52" s="169"/>
      <c r="U52" s="169"/>
      <c r="V52" s="169"/>
      <c r="W52" s="169"/>
      <c r="X52" s="169"/>
      <c r="Y52" s="169"/>
      <c r="Z52" s="170">
        <v>1440</v>
      </c>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2073.6</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2073.6</v>
      </c>
      <c r="AM52" s="171">
        <f ca="1">IF(OR($D52&lt;&gt;"Serviço",AND(AUTOEVENTO="Manual",$M52=$A$15)),0,
         IF(OFFSET(CRONOPLE!$F$15,$M52-$A$15,AM$13)=0,10^12,OFFSET(CRONOPLE!$F$15,$M52-$A$15,AM$13)))</f>
        <v>1</v>
      </c>
      <c r="AN52" s="171">
        <f ca="1">IF(OR($D52&lt;&gt;"Serviço",AND(AUTOEVENTO="Manual",$M52=$A$15)),0,
         IF(OFFSET(CRONOPLE!$F$15,$M52-$A$15,AN$13)=0,10^12,OFFSET(CRONOPLE!$F$15,$M52-$A$15,AN$13)))</f>
        <v>2</v>
      </c>
      <c r="AO52" s="171">
        <f ca="1">IF(OR($D52&lt;&gt;"Serviço",AND(AUTOEVENTO="Manual",$M52=$A$15)),0,
         IF(OFFSET(CRONOPLE!$F$15,$M52-$A$15,AO$13)=0,10^12,OFFSET(CRONOPLE!$F$15,$M52-$A$15,AO$13)))</f>
        <v>3</v>
      </c>
      <c r="AP52" s="171">
        <f ca="1">IF(OR($D52&lt;&gt;"Serviço",AND(AUTOEVENTO="Manual",$M52=$A$15)),0,
         IF(OFFSET(CRONOPLE!$F$15,$M52-$A$15,AP$13)=0,10^12,OFFSET(CRONOPLE!$F$15,$M52-$A$15,AP$13)))</f>
        <v>4</v>
      </c>
      <c r="AQ52" s="171">
        <f ca="1">IF(OR($D52&lt;&gt;"Serviço",AND(AUTOEVENTO="Manual",$M52=$A$15)),0,
         IF(OFFSET(CRONOPLE!$F$15,$M52-$A$15,AQ$13)=0,10^12,OFFSET(CRONOPLE!$F$15,$M52-$A$15,AQ$13)))</f>
        <v>5</v>
      </c>
      <c r="AR52" s="171">
        <f ca="1">IF(OR($D52&lt;&gt;"Serviço",AND(AUTOEVENTO="Manual",$M52=$A$15)),0,
         IF(OFFSET(CRONOPLE!$F$15,$M52-$A$15,AR$13)=0,10^12,OFFSET(CRONOPLE!$F$15,$M52-$A$15,AR$13)))</f>
        <v>1</v>
      </c>
      <c r="AS52" s="171">
        <f ca="1">IF(OR($D52&lt;&gt;"Serviço",AND(AUTOEVENTO="Manual",$M52=$A$15)),0,
         IF(OFFSET(CRONOPLE!$F$15,$M52-$A$15,AS$13)=0,10^12,OFFSET(CRONOPLE!$F$15,$M52-$A$15,AS$13)))</f>
        <v>2</v>
      </c>
      <c r="AT52" s="171">
        <f ca="1">IF(OR($D52&lt;&gt;"Serviço",AND(AUTOEVENTO="Manual",$M52=$A$15)),0,
         IF(OFFSET(CRONOPLE!$F$15,$M52-$A$15,AT$13)=0,10^12,OFFSET(CRONOPLE!$F$15,$M52-$A$15,AT$13)))</f>
        <v>3</v>
      </c>
      <c r="AU52" s="171">
        <f ca="1">IF(OR($D52&lt;&gt;"Serviço",AND(AUTOEVENTO="Manual",$M52=$A$15)),0,
         IF(OFFSET(CRONOPLE!$F$15,$M52-$A$15,AU$13)=0,10^12,OFFSET(CRONOPLE!$F$15,$M52-$A$15,AU$13)))</f>
        <v>4</v>
      </c>
      <c r="AV52" s="171">
        <f ca="1">IF(OR($D52&lt;&gt;"Serviço",AND(AUTOEVENTO="Manual",$M52=$A$15)),0,
         IF(OFFSET(CRONOPLE!$F$15,$M52-$A$15,AV$13)=0,10^12,OFFSET(CRONOPLE!$F$15,$M52-$A$15,AV$13)))</f>
        <v>5</v>
      </c>
      <c r="AX52" s="172" cm="1">
        <f t="array" aca="1" ref="AX52" ca="1">IF(OR($D52&lt;&gt;"Serviço",AND(AUTOEVENTO="Manual",$M52=$A$15),$M52&gt;(ROW(PLE.lastrow)-ROW(PLE.firstrow))),0,
           IF(OFFSET(PLE!$G$15,$M52-$A$15,AX$13)="",10^12,OFFSET(PLE!$G$15,$M52-$A$15,AX$13)))</f>
        <v>1000000000000</v>
      </c>
      <c r="AY52" s="172" cm="1">
        <f t="array" aca="1" ref="AY52" ca="1">IF(OR($D52&lt;&gt;"Serviço",AND(AUTOEVENTO="Manual",$M52=$A$15),$M52&gt;(ROW(PLE.lastrow)-ROW(PLE.firstrow))),0,
           IF(OFFSET(PLE!$G$15,$M52-$A$15,AY$13)="",10^12,OFFSET(PLE!$G$15,$M52-$A$15,AY$13)))</f>
        <v>1000000000000</v>
      </c>
      <c r="AZ52" s="172" cm="1">
        <f t="array" aca="1" ref="AZ52" ca="1">IF(OR($D52&lt;&gt;"Serviço",AND(AUTOEVENTO="Manual",$M52=$A$15),$M52&gt;(ROW(PLE.lastrow)-ROW(PLE.firstrow))),0,
           IF(OFFSET(PLE!$G$15,$M52-$A$15,AZ$13)="",10^12,OFFSET(PLE!$G$15,$M52-$A$15,AZ$13)))</f>
        <v>1000000000000</v>
      </c>
      <c r="BA52" s="172" cm="1">
        <f t="array" aca="1" ref="BA52" ca="1">IF(OR($D52&lt;&gt;"Serviço",AND(AUTOEVENTO="Manual",$M52=$A$15),$M52&gt;(ROW(PLE.lastrow)-ROW(PLE.firstrow))),0,
           IF(OFFSET(PLE!$G$15,$M52-$A$15,BA$13)="",10^12,OFFSET(PLE!$G$15,$M52-$A$15,BA$13)))</f>
        <v>1000000000000</v>
      </c>
      <c r="BB52" s="172" cm="1">
        <f t="array" aca="1" ref="BB52" ca="1">IF(OR($D52&lt;&gt;"Serviço",AND(AUTOEVENTO="Manual",$M52=$A$15),$M52&gt;(ROW(PLE.lastrow)-ROW(PLE.firstrow))),0,
           IF(OFFSET(PLE!$G$15,$M52-$A$15,BB$13)="",10^12,OFFSET(PLE!$G$15,$M52-$A$15,BB$13)))</f>
        <v>1000000000000</v>
      </c>
      <c r="BC52" s="172" cm="1">
        <f t="array" aca="1" ref="BC52" ca="1">IF(OR($D52&lt;&gt;"Serviço",AND(AUTOEVENTO="Manual",$M52=$A$15),$M52&gt;(ROW(PLE.lastrow)-ROW(PLE.firstrow))),0,
           IF(OFFSET(PLE!$G$15,$M52-$A$15,BC$13)="",10^12,OFFSET(PLE!$G$15,$M52-$A$15,BC$13)))</f>
        <v>1000000000000</v>
      </c>
      <c r="BD52" s="172" cm="1">
        <f t="array" aca="1" ref="BD52" ca="1">IF(OR($D52&lt;&gt;"Serviço",AND(AUTOEVENTO="Manual",$M52=$A$15),$M52&gt;(ROW(PLE.lastrow)-ROW(PLE.firstrow))),0,
           IF(OFFSET(PLE!$G$15,$M52-$A$15,BD$13)="",10^12,OFFSET(PLE!$G$15,$M52-$A$15,BD$13)))</f>
        <v>1000000000000</v>
      </c>
      <c r="BE52" s="172" cm="1">
        <f t="array" aca="1" ref="BE52" ca="1">IF(OR($D52&lt;&gt;"Serviço",AND(AUTOEVENTO="Manual",$M52=$A$15),$M52&gt;(ROW(PLE.lastrow)-ROW(PLE.firstrow))),0,
           IF(OFFSET(PLE!$G$15,$M52-$A$15,BE$13)="",10^12,OFFSET(PLE!$G$15,$M52-$A$15,BE$13)))</f>
        <v>1000000000000</v>
      </c>
      <c r="BF52" s="172" cm="1">
        <f t="array" aca="1" ref="BF52" ca="1">IF(OR($D52&lt;&gt;"Serviço",AND(AUTOEVENTO="Manual",$M52=$A$15),$M52&gt;(ROW(PLE.lastrow)-ROW(PLE.firstrow))),0,
           IF(OFFSET(PLE!$G$15,$M52-$A$15,BF$13)="",10^12,OFFSET(PLE!$G$15,$M52-$A$15,BF$13)))</f>
        <v>1000000000000</v>
      </c>
      <c r="BG52" s="172" cm="1">
        <f t="array" aca="1" ref="BG52" ca="1">IF(OR($D52&lt;&gt;"Serviço",AND(AUTOEVENTO="Manual",$M52=$A$15),$M52&gt;(ROW(PLE.lastrow)-ROW(PLE.firstrow))),0,
           IF(OFFSET(PLE!$G$15,$M52-$A$15,BG$13)="",10^12,OFFSET(PLE!$G$15,$M52-$A$15,BG$13)))</f>
        <v>1000000000000</v>
      </c>
    </row>
    <row r="53" spans="1:59" ht="38.25" x14ac:dyDescent="0.2">
      <c r="A53" s="7">
        <f t="shared" ca="1" si="10"/>
        <v>2</v>
      </c>
      <c r="B53" s="7" t="str">
        <f ca="1">OFFSET(ORÇAMENTO!C$15,$L53,0)</f>
        <v>S</v>
      </c>
      <c r="C53" s="7" t="str">
        <f ca="1">OFFSET(ORÇAMENTO!L$15,$L53,0)</f>
        <v>F</v>
      </c>
      <c r="D53" s="116" t="str">
        <f ca="1">OFFSET(ORÇAMENTO!N$15,$L53,0)</f>
        <v>Serviço</v>
      </c>
      <c r="E53" s="117" t="str">
        <f ca="1">OFFSET(ORÇAMENTO!O$15,$L53,0)</f>
        <v>1.2.3.3.</v>
      </c>
      <c r="F53" s="163" t="str">
        <f ca="1">OFFSET(ORÇAMENTO!R$15,$L53,0)</f>
        <v>(Código não identificado nas referências)</v>
      </c>
      <c r="G53" s="164" t="str">
        <f ca="1">IF($D53&lt;&gt;"Serviço","",OFFSET(ORÇAMENTO!S$15,$L53,0))</f>
        <v>-</v>
      </c>
      <c r="H53" s="122" cm="1">
        <f t="array" aca="1" ref="H53" ca="1">IF($D53&lt;&gt;"Serviço",0,IF(ACOMPANHAMENTO="BM",ROUND(OFFSET(ORÇAMENTO!AJ$15,$L53,0),15-13*ORÇAMENTO!$AF$7),IF(IFERROR(CÁLCULO.FrentesPreenchidas,0)=0,0,SUM(ROUND(OFFSET($P53,0,1,1,CÁLCULO.FrentesPreenchidas),15-13*ORÇAMENTO!$AF$7)))))</f>
        <v>86</v>
      </c>
      <c r="I53" s="468" t="s">
        <v>1077</v>
      </c>
      <c r="J53" s="651"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2" t="s">
        <v>1079</v>
      </c>
      <c r="L53" s="165">
        <f t="shared" ca="1" si="11"/>
        <v>38</v>
      </c>
      <c r="M53" s="166">
        <f ca="1">IF($D53&lt;&gt;"Serviço","",
          IF(AUTOEVENTO="manual",$A53,
                IF(ISERROR(MATCH($A53,$A$15:OFFSET($A53,-1,0),0)),MAX($M$15:OFFSET(M53,-1,0))+1,
                      INDEX($M$15:OFFSET(M53,-1,0),MATCH($A53,$A$15:OFFSET($A53,-1,0),0)))))</f>
        <v>2</v>
      </c>
      <c r="N53" s="167" t="str">
        <f ca="1">IF($D53&lt;&gt;"Serviço","",
         IF(AUTOEVENTO="Manual",
                IF($A53=0,"&lt;-- defina o número do agrupador",
                       OFFSET(EVENTOS!$D$15,$A53-$A$15,0)),
                OFFSET($F$15,$A53,0)))</f>
        <v>SERVIÇOS PRELIMINARES</v>
      </c>
      <c r="O53" s="168"/>
      <c r="Q53" s="168">
        <v>43</v>
      </c>
      <c r="R53" s="169"/>
      <c r="S53" s="169"/>
      <c r="T53" s="169"/>
      <c r="U53" s="169"/>
      <c r="V53" s="169"/>
      <c r="W53" s="169"/>
      <c r="X53" s="169"/>
      <c r="Y53" s="169"/>
      <c r="Z53" s="170">
        <v>43</v>
      </c>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196.08</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196.08</v>
      </c>
      <c r="AM53" s="171">
        <f ca="1">IF(OR($D53&lt;&gt;"Serviço",AND(AUTOEVENTO="Manual",$M53=$A$15)),0,
         IF(OFFSET(CRONOPLE!$F$15,$M53-$A$15,AM$13)=0,10^12,OFFSET(CRONOPLE!$F$15,$M53-$A$15,AM$13)))</f>
        <v>1</v>
      </c>
      <c r="AN53" s="171">
        <f ca="1">IF(OR($D53&lt;&gt;"Serviço",AND(AUTOEVENTO="Manual",$M53=$A$15)),0,
         IF(OFFSET(CRONOPLE!$F$15,$M53-$A$15,AN$13)=0,10^12,OFFSET(CRONOPLE!$F$15,$M53-$A$15,AN$13)))</f>
        <v>2</v>
      </c>
      <c r="AO53" s="171">
        <f ca="1">IF(OR($D53&lt;&gt;"Serviço",AND(AUTOEVENTO="Manual",$M53=$A$15)),0,
         IF(OFFSET(CRONOPLE!$F$15,$M53-$A$15,AO$13)=0,10^12,OFFSET(CRONOPLE!$F$15,$M53-$A$15,AO$13)))</f>
        <v>3</v>
      </c>
      <c r="AP53" s="171">
        <f ca="1">IF(OR($D53&lt;&gt;"Serviço",AND(AUTOEVENTO="Manual",$M53=$A$15)),0,
         IF(OFFSET(CRONOPLE!$F$15,$M53-$A$15,AP$13)=0,10^12,OFFSET(CRONOPLE!$F$15,$M53-$A$15,AP$13)))</f>
        <v>4</v>
      </c>
      <c r="AQ53" s="171">
        <f ca="1">IF(OR($D53&lt;&gt;"Serviço",AND(AUTOEVENTO="Manual",$M53=$A$15)),0,
         IF(OFFSET(CRONOPLE!$F$15,$M53-$A$15,AQ$13)=0,10^12,OFFSET(CRONOPLE!$F$15,$M53-$A$15,AQ$13)))</f>
        <v>5</v>
      </c>
      <c r="AR53" s="171">
        <f ca="1">IF(OR($D53&lt;&gt;"Serviço",AND(AUTOEVENTO="Manual",$M53=$A$15)),0,
         IF(OFFSET(CRONOPLE!$F$15,$M53-$A$15,AR$13)=0,10^12,OFFSET(CRONOPLE!$F$15,$M53-$A$15,AR$13)))</f>
        <v>1</v>
      </c>
      <c r="AS53" s="171">
        <f ca="1">IF(OR($D53&lt;&gt;"Serviço",AND(AUTOEVENTO="Manual",$M53=$A$15)),0,
         IF(OFFSET(CRONOPLE!$F$15,$M53-$A$15,AS$13)=0,10^12,OFFSET(CRONOPLE!$F$15,$M53-$A$15,AS$13)))</f>
        <v>2</v>
      </c>
      <c r="AT53" s="171">
        <f ca="1">IF(OR($D53&lt;&gt;"Serviço",AND(AUTOEVENTO="Manual",$M53=$A$15)),0,
         IF(OFFSET(CRONOPLE!$F$15,$M53-$A$15,AT$13)=0,10^12,OFFSET(CRONOPLE!$F$15,$M53-$A$15,AT$13)))</f>
        <v>3</v>
      </c>
      <c r="AU53" s="171">
        <f ca="1">IF(OR($D53&lt;&gt;"Serviço",AND(AUTOEVENTO="Manual",$M53=$A$15)),0,
         IF(OFFSET(CRONOPLE!$F$15,$M53-$A$15,AU$13)=0,10^12,OFFSET(CRONOPLE!$F$15,$M53-$A$15,AU$13)))</f>
        <v>4</v>
      </c>
      <c r="AV53" s="171">
        <f ca="1">IF(OR($D53&lt;&gt;"Serviço",AND(AUTOEVENTO="Manual",$M53=$A$15)),0,
         IF(OFFSET(CRONOPLE!$F$15,$M53-$A$15,AV$13)=0,10^12,OFFSET(CRONOPLE!$F$15,$M53-$A$15,AV$13)))</f>
        <v>5</v>
      </c>
      <c r="AX53" s="172" cm="1">
        <f t="array" aca="1" ref="AX53" ca="1">IF(OR($D53&lt;&gt;"Serviço",AND(AUTOEVENTO="Manual",$M53=$A$15),$M53&gt;(ROW(PLE.lastrow)-ROW(PLE.firstrow))),0,
           IF(OFFSET(PLE!$G$15,$M53-$A$15,AX$13)="",10^12,OFFSET(PLE!$G$15,$M53-$A$15,AX$13)))</f>
        <v>1000000000000</v>
      </c>
      <c r="AY53" s="172" cm="1">
        <f t="array" aca="1" ref="AY53" ca="1">IF(OR($D53&lt;&gt;"Serviço",AND(AUTOEVENTO="Manual",$M53=$A$15),$M53&gt;(ROW(PLE.lastrow)-ROW(PLE.firstrow))),0,
           IF(OFFSET(PLE!$G$15,$M53-$A$15,AY$13)="",10^12,OFFSET(PLE!$G$15,$M53-$A$15,AY$13)))</f>
        <v>1000000000000</v>
      </c>
      <c r="AZ53" s="172" cm="1">
        <f t="array" aca="1" ref="AZ53" ca="1">IF(OR($D53&lt;&gt;"Serviço",AND(AUTOEVENTO="Manual",$M53=$A$15),$M53&gt;(ROW(PLE.lastrow)-ROW(PLE.firstrow))),0,
           IF(OFFSET(PLE!$G$15,$M53-$A$15,AZ$13)="",10^12,OFFSET(PLE!$G$15,$M53-$A$15,AZ$13)))</f>
        <v>1000000000000</v>
      </c>
      <c r="BA53" s="172" cm="1">
        <f t="array" aca="1" ref="BA53" ca="1">IF(OR($D53&lt;&gt;"Serviço",AND(AUTOEVENTO="Manual",$M53=$A$15),$M53&gt;(ROW(PLE.lastrow)-ROW(PLE.firstrow))),0,
           IF(OFFSET(PLE!$G$15,$M53-$A$15,BA$13)="",10^12,OFFSET(PLE!$G$15,$M53-$A$15,BA$13)))</f>
        <v>1000000000000</v>
      </c>
      <c r="BB53" s="172" cm="1">
        <f t="array" aca="1" ref="BB53" ca="1">IF(OR($D53&lt;&gt;"Serviço",AND(AUTOEVENTO="Manual",$M53=$A$15),$M53&gt;(ROW(PLE.lastrow)-ROW(PLE.firstrow))),0,
           IF(OFFSET(PLE!$G$15,$M53-$A$15,BB$13)="",10^12,OFFSET(PLE!$G$15,$M53-$A$15,BB$13)))</f>
        <v>1000000000000</v>
      </c>
      <c r="BC53" s="172" cm="1">
        <f t="array" aca="1" ref="BC53" ca="1">IF(OR($D53&lt;&gt;"Serviço",AND(AUTOEVENTO="Manual",$M53=$A$15),$M53&gt;(ROW(PLE.lastrow)-ROW(PLE.firstrow))),0,
           IF(OFFSET(PLE!$G$15,$M53-$A$15,BC$13)="",10^12,OFFSET(PLE!$G$15,$M53-$A$15,BC$13)))</f>
        <v>1000000000000</v>
      </c>
      <c r="BD53" s="172" cm="1">
        <f t="array" aca="1" ref="BD53" ca="1">IF(OR($D53&lt;&gt;"Serviço",AND(AUTOEVENTO="Manual",$M53=$A$15),$M53&gt;(ROW(PLE.lastrow)-ROW(PLE.firstrow))),0,
           IF(OFFSET(PLE!$G$15,$M53-$A$15,BD$13)="",10^12,OFFSET(PLE!$G$15,$M53-$A$15,BD$13)))</f>
        <v>1000000000000</v>
      </c>
      <c r="BE53" s="172" cm="1">
        <f t="array" aca="1" ref="BE53" ca="1">IF(OR($D53&lt;&gt;"Serviço",AND(AUTOEVENTO="Manual",$M53=$A$15),$M53&gt;(ROW(PLE.lastrow)-ROW(PLE.firstrow))),0,
           IF(OFFSET(PLE!$G$15,$M53-$A$15,BE$13)="",10^12,OFFSET(PLE!$G$15,$M53-$A$15,BE$13)))</f>
        <v>1000000000000</v>
      </c>
      <c r="BF53" s="172" cm="1">
        <f t="array" aca="1" ref="BF53" ca="1">IF(OR($D53&lt;&gt;"Serviço",AND(AUTOEVENTO="Manual",$M53=$A$15),$M53&gt;(ROW(PLE.lastrow)-ROW(PLE.firstrow))),0,
           IF(OFFSET(PLE!$G$15,$M53-$A$15,BF$13)="",10^12,OFFSET(PLE!$G$15,$M53-$A$15,BF$13)))</f>
        <v>1000000000000</v>
      </c>
      <c r="BG53" s="172" cm="1">
        <f t="array" aca="1" ref="BG53" ca="1">IF(OR($D53&lt;&gt;"Serviço",AND(AUTOEVENTO="Manual",$M53=$A$15),$M53&gt;(ROW(PLE.lastrow)-ROW(PLE.firstrow))),0,
           IF(OFFSET(PLE!$G$15,$M53-$A$15,BG$13)="",10^12,OFFSET(PLE!$G$15,$M53-$A$15,BG$13)))</f>
        <v>1000000000000</v>
      </c>
    </row>
    <row r="54" spans="1:59" ht="12.75" x14ac:dyDescent="0.2">
      <c r="A54" s="7">
        <f t="shared" ca="1" si="10"/>
        <v>2</v>
      </c>
      <c r="B54" s="7" t="str">
        <f ca="1">OFFSET(ORÇAMENTO!C$15,$L54,0)</f>
        <v>S</v>
      </c>
      <c r="C54" s="7" t="str">
        <f ca="1">OFFSET(ORÇAMENTO!L$15,$L54,0)</f>
        <v>F</v>
      </c>
      <c r="D54" s="116" t="str">
        <f ca="1">OFFSET(ORÇAMENTO!N$15,$L54,0)</f>
        <v>Serviço</v>
      </c>
      <c r="E54" s="117" t="str">
        <f ca="1">OFFSET(ORÇAMENTO!O$15,$L54,0)</f>
        <v>1.2.3.4.</v>
      </c>
      <c r="F54" s="163" t="str">
        <f ca="1">OFFSET(ORÇAMENTO!R$15,$L54,0)</f>
        <v>(Código não identificado nas referências)</v>
      </c>
      <c r="G54" s="164" t="str">
        <f ca="1">IF($D54&lt;&gt;"Serviço","",OFFSET(ORÇAMENTO!S$15,$L54,0))</f>
        <v>-</v>
      </c>
      <c r="H54" s="122" cm="1">
        <f t="array" aca="1" ref="H54" ca="1">IF($D54&lt;&gt;"Serviço",0,IF(ACOMPANHAMENTO="BM",ROUND(OFFSET(ORÇAMENTO!AJ$15,$L54,0),15-13*ORÇAMENTO!$AF$7),IF(IFERROR(CÁLCULO.FrentesPreenchidas,0)=0,0,SUM(ROUND(OFFSET($P54,0,1,1,CÁLCULO.FrentesPreenchidas),15-13*ORÇAMENTO!$AF$7)))))</f>
        <v>16</v>
      </c>
      <c r="I54" s="468" t="s">
        <v>1078</v>
      </c>
      <c r="J54" s="651"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2" t="s">
        <v>1079</v>
      </c>
      <c r="L54" s="165">
        <f t="shared" ca="1" si="11"/>
        <v>39</v>
      </c>
      <c r="M54" s="166">
        <f ca="1">IF($D54&lt;&gt;"Serviço","",
          IF(AUTOEVENTO="manual",$A54,
                IF(ISERROR(MATCH($A54,$A$15:OFFSET($A54,-1,0),0)),MAX($M$15:OFFSET(M54,-1,0))+1,
                      INDEX($M$15:OFFSET(M54,-1,0),MATCH($A54,$A$15:OFFSET($A54,-1,0),0)))))</f>
        <v>2</v>
      </c>
      <c r="N54" s="167" t="str">
        <f ca="1">IF($D54&lt;&gt;"Serviço","",
         IF(AUTOEVENTO="Manual",
                IF($A54=0,"&lt;-- defina o número do agrupador",
                       OFFSET(EVENTOS!$D$15,$A54-$A$15,0)),
                OFFSET($F$15,$A54,0)))</f>
        <v>SERVIÇOS PRELIMINARES</v>
      </c>
      <c r="O54" s="168"/>
      <c r="Q54" s="168">
        <v>8</v>
      </c>
      <c r="R54" s="169"/>
      <c r="S54" s="169"/>
      <c r="T54" s="169"/>
      <c r="U54" s="169"/>
      <c r="V54" s="169"/>
      <c r="W54" s="169"/>
      <c r="X54" s="169"/>
      <c r="Y54" s="169"/>
      <c r="Z54" s="170">
        <v>8</v>
      </c>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226.16</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226.16</v>
      </c>
      <c r="AM54" s="171">
        <f ca="1">IF(OR($D54&lt;&gt;"Serviço",AND(AUTOEVENTO="Manual",$M54=$A$15)),0,
         IF(OFFSET(CRONOPLE!$F$15,$M54-$A$15,AM$13)=0,10^12,OFFSET(CRONOPLE!$F$15,$M54-$A$15,AM$13)))</f>
        <v>1</v>
      </c>
      <c r="AN54" s="171">
        <f ca="1">IF(OR($D54&lt;&gt;"Serviço",AND(AUTOEVENTO="Manual",$M54=$A$15)),0,
         IF(OFFSET(CRONOPLE!$F$15,$M54-$A$15,AN$13)=0,10^12,OFFSET(CRONOPLE!$F$15,$M54-$A$15,AN$13)))</f>
        <v>2</v>
      </c>
      <c r="AO54" s="171">
        <f ca="1">IF(OR($D54&lt;&gt;"Serviço",AND(AUTOEVENTO="Manual",$M54=$A$15)),0,
         IF(OFFSET(CRONOPLE!$F$15,$M54-$A$15,AO$13)=0,10^12,OFFSET(CRONOPLE!$F$15,$M54-$A$15,AO$13)))</f>
        <v>3</v>
      </c>
      <c r="AP54" s="171">
        <f ca="1">IF(OR($D54&lt;&gt;"Serviço",AND(AUTOEVENTO="Manual",$M54=$A$15)),0,
         IF(OFFSET(CRONOPLE!$F$15,$M54-$A$15,AP$13)=0,10^12,OFFSET(CRONOPLE!$F$15,$M54-$A$15,AP$13)))</f>
        <v>4</v>
      </c>
      <c r="AQ54" s="171">
        <f ca="1">IF(OR($D54&lt;&gt;"Serviço",AND(AUTOEVENTO="Manual",$M54=$A$15)),0,
         IF(OFFSET(CRONOPLE!$F$15,$M54-$A$15,AQ$13)=0,10^12,OFFSET(CRONOPLE!$F$15,$M54-$A$15,AQ$13)))</f>
        <v>5</v>
      </c>
      <c r="AR54" s="171">
        <f ca="1">IF(OR($D54&lt;&gt;"Serviço",AND(AUTOEVENTO="Manual",$M54=$A$15)),0,
         IF(OFFSET(CRONOPLE!$F$15,$M54-$A$15,AR$13)=0,10^12,OFFSET(CRONOPLE!$F$15,$M54-$A$15,AR$13)))</f>
        <v>1</v>
      </c>
      <c r="AS54" s="171">
        <f ca="1">IF(OR($D54&lt;&gt;"Serviço",AND(AUTOEVENTO="Manual",$M54=$A$15)),0,
         IF(OFFSET(CRONOPLE!$F$15,$M54-$A$15,AS$13)=0,10^12,OFFSET(CRONOPLE!$F$15,$M54-$A$15,AS$13)))</f>
        <v>2</v>
      </c>
      <c r="AT54" s="171">
        <f ca="1">IF(OR($D54&lt;&gt;"Serviço",AND(AUTOEVENTO="Manual",$M54=$A$15)),0,
         IF(OFFSET(CRONOPLE!$F$15,$M54-$A$15,AT$13)=0,10^12,OFFSET(CRONOPLE!$F$15,$M54-$A$15,AT$13)))</f>
        <v>3</v>
      </c>
      <c r="AU54" s="171">
        <f ca="1">IF(OR($D54&lt;&gt;"Serviço",AND(AUTOEVENTO="Manual",$M54=$A$15)),0,
         IF(OFFSET(CRONOPLE!$F$15,$M54-$A$15,AU$13)=0,10^12,OFFSET(CRONOPLE!$F$15,$M54-$A$15,AU$13)))</f>
        <v>4</v>
      </c>
      <c r="AV54" s="171">
        <f ca="1">IF(OR($D54&lt;&gt;"Serviço",AND(AUTOEVENTO="Manual",$M54=$A$15)),0,
         IF(OFFSET(CRONOPLE!$F$15,$M54-$A$15,AV$13)=0,10^12,OFFSET(CRONOPLE!$F$15,$M54-$A$15,AV$13)))</f>
        <v>5</v>
      </c>
      <c r="AX54" s="172" cm="1">
        <f t="array" aca="1" ref="AX54" ca="1">IF(OR($D54&lt;&gt;"Serviço",AND(AUTOEVENTO="Manual",$M54=$A$15),$M54&gt;(ROW(PLE.lastrow)-ROW(PLE.firstrow))),0,
           IF(OFFSET(PLE!$G$15,$M54-$A$15,AX$13)="",10^12,OFFSET(PLE!$G$15,$M54-$A$15,AX$13)))</f>
        <v>1000000000000</v>
      </c>
      <c r="AY54" s="172" cm="1">
        <f t="array" aca="1" ref="AY54" ca="1">IF(OR($D54&lt;&gt;"Serviço",AND(AUTOEVENTO="Manual",$M54=$A$15),$M54&gt;(ROW(PLE.lastrow)-ROW(PLE.firstrow))),0,
           IF(OFFSET(PLE!$G$15,$M54-$A$15,AY$13)="",10^12,OFFSET(PLE!$G$15,$M54-$A$15,AY$13)))</f>
        <v>1000000000000</v>
      </c>
      <c r="AZ54" s="172" cm="1">
        <f t="array" aca="1" ref="AZ54" ca="1">IF(OR($D54&lt;&gt;"Serviço",AND(AUTOEVENTO="Manual",$M54=$A$15),$M54&gt;(ROW(PLE.lastrow)-ROW(PLE.firstrow))),0,
           IF(OFFSET(PLE!$G$15,$M54-$A$15,AZ$13)="",10^12,OFFSET(PLE!$G$15,$M54-$A$15,AZ$13)))</f>
        <v>1000000000000</v>
      </c>
      <c r="BA54" s="172" cm="1">
        <f t="array" aca="1" ref="BA54" ca="1">IF(OR($D54&lt;&gt;"Serviço",AND(AUTOEVENTO="Manual",$M54=$A$15),$M54&gt;(ROW(PLE.lastrow)-ROW(PLE.firstrow))),0,
           IF(OFFSET(PLE!$G$15,$M54-$A$15,BA$13)="",10^12,OFFSET(PLE!$G$15,$M54-$A$15,BA$13)))</f>
        <v>1000000000000</v>
      </c>
      <c r="BB54" s="172" cm="1">
        <f t="array" aca="1" ref="BB54" ca="1">IF(OR($D54&lt;&gt;"Serviço",AND(AUTOEVENTO="Manual",$M54=$A$15),$M54&gt;(ROW(PLE.lastrow)-ROW(PLE.firstrow))),0,
           IF(OFFSET(PLE!$G$15,$M54-$A$15,BB$13)="",10^12,OFFSET(PLE!$G$15,$M54-$A$15,BB$13)))</f>
        <v>1000000000000</v>
      </c>
      <c r="BC54" s="172" cm="1">
        <f t="array" aca="1" ref="BC54" ca="1">IF(OR($D54&lt;&gt;"Serviço",AND(AUTOEVENTO="Manual",$M54=$A$15),$M54&gt;(ROW(PLE.lastrow)-ROW(PLE.firstrow))),0,
           IF(OFFSET(PLE!$G$15,$M54-$A$15,BC$13)="",10^12,OFFSET(PLE!$G$15,$M54-$A$15,BC$13)))</f>
        <v>1000000000000</v>
      </c>
      <c r="BD54" s="172" cm="1">
        <f t="array" aca="1" ref="BD54" ca="1">IF(OR($D54&lt;&gt;"Serviço",AND(AUTOEVENTO="Manual",$M54=$A$15),$M54&gt;(ROW(PLE.lastrow)-ROW(PLE.firstrow))),0,
           IF(OFFSET(PLE!$G$15,$M54-$A$15,BD$13)="",10^12,OFFSET(PLE!$G$15,$M54-$A$15,BD$13)))</f>
        <v>1000000000000</v>
      </c>
      <c r="BE54" s="172" cm="1">
        <f t="array" aca="1" ref="BE54" ca="1">IF(OR($D54&lt;&gt;"Serviço",AND(AUTOEVENTO="Manual",$M54=$A$15),$M54&gt;(ROW(PLE.lastrow)-ROW(PLE.firstrow))),0,
           IF(OFFSET(PLE!$G$15,$M54-$A$15,BE$13)="",10^12,OFFSET(PLE!$G$15,$M54-$A$15,BE$13)))</f>
        <v>1000000000000</v>
      </c>
      <c r="BF54" s="172" cm="1">
        <f t="array" aca="1" ref="BF54" ca="1">IF(OR($D54&lt;&gt;"Serviço",AND(AUTOEVENTO="Manual",$M54=$A$15),$M54&gt;(ROW(PLE.lastrow)-ROW(PLE.firstrow))),0,
           IF(OFFSET(PLE!$G$15,$M54-$A$15,BF$13)="",10^12,OFFSET(PLE!$G$15,$M54-$A$15,BF$13)))</f>
        <v>1000000000000</v>
      </c>
      <c r="BG54" s="172" cm="1">
        <f t="array" aca="1" ref="BG54" ca="1">IF(OR($D54&lt;&gt;"Serviço",AND(AUTOEVENTO="Manual",$M54=$A$15),$M54&gt;(ROW(PLE.lastrow)-ROW(PLE.firstrow))),0,
           IF(OFFSET(PLE!$G$15,$M54-$A$15,BG$13)="",10^12,OFFSET(PLE!$G$15,$M54-$A$15,BG$13)))</f>
        <v>1000000000000</v>
      </c>
    </row>
    <row r="55" spans="1:59" ht="12.75" x14ac:dyDescent="0.2">
      <c r="A55" s="7">
        <f t="shared" ca="1" si="10"/>
        <v>0</v>
      </c>
      <c r="B55" s="7">
        <f ca="1">OFFSET(ORÇAMENTO!C$15,$L55,0)</f>
        <v>3</v>
      </c>
      <c r="C55" s="7" t="str">
        <f ca="1">OFFSET(ORÇAMENTO!L$15,$L55,0)</f>
        <v>F</v>
      </c>
      <c r="D55" s="116" t="str">
        <f ca="1">OFFSET(ORÇAMENTO!N$15,$L55,0)</f>
        <v>Nível 3</v>
      </c>
      <c r="E55" s="117" t="str">
        <f ca="1">OFFSET(ORÇAMENTO!O$15,$L55,0)</f>
        <v>1.2.4.</v>
      </c>
      <c r="F55" s="163" t="str">
        <f ca="1">OFFSET(ORÇAMENTO!R$15,$L55,0)</f>
        <v>CANTEIRO</v>
      </c>
      <c r="G55" s="164" t="str">
        <f ca="1">IF($D55&lt;&gt;"Serviço","",OFFSET(ORÇAMENTO!S$15,$L55,0))</f>
        <v/>
      </c>
      <c r="H55" s="122" cm="1">
        <f t="array" aca="1" ref="H55" ca="1">IF($D55&lt;&gt;"Serviço",0,IF(ACOMPANHAMENTO="BM",ROUND(OFFSET(ORÇAMENTO!AJ$15,$L55,0),15-13*ORÇAMENTO!$AF$7),IF(IFERROR(CÁLCULO.FrentesPreenchidas,0)=0,0,SUM(ROUND(OFFSET($P55,0,1,1,CÁLCULO.FrentesPreenchidas),15-13*ORÇAMENTO!$AF$7)))))</f>
        <v>0</v>
      </c>
      <c r="I55" s="468"/>
      <c r="J55" s="651"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2"/>
      <c r="L55" s="165">
        <f t="shared" ca="1" si="11"/>
        <v>40</v>
      </c>
      <c r="M55" s="166" t="str">
        <f ca="1">IF($D55&lt;&gt;"Serviço","",
          IF(AUTOEVENTO="manual",$A55,
                IF(ISERROR(MATCH($A55,$A$15:OFFSET($A55,-1,0),0)),MAX($M$15:OFFSET(M55,-1,0))+1,
                      INDEX($M$15:OFFSET(M55,-1,0),MATCH($A55,$A$15:OFFSET($A55,-1,0),0)))))</f>
        <v/>
      </c>
      <c r="N55" s="167" t="str">
        <f ca="1">IF($D55&lt;&gt;"Serviço","",
         IF(AUTOEVENTO="Manual",
                IF($A55=0,"&lt;-- defina o número do agrupador",
                       OFFSET(EVENTOS!$D$15,$A55-$A$15,0)),
                OFFSET($F$15,$A55,0)))</f>
        <v/>
      </c>
      <c r="O55" s="168"/>
      <c r="Q55" s="168"/>
      <c r="R55" s="169"/>
      <c r="S55" s="169"/>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0</v>
      </c>
      <c r="AN55" s="171">
        <f ca="1">IF(OR($D55&lt;&gt;"Serviço",AND(AUTOEVENTO="Manual",$M55=$A$15)),0,
         IF(OFFSET(CRONOPLE!$F$15,$M55-$A$15,AN$13)=0,10^12,OFFSET(CRONOPLE!$F$15,$M55-$A$15,AN$13)))</f>
        <v>0</v>
      </c>
      <c r="AO55" s="171">
        <f ca="1">IF(OR($D55&lt;&gt;"Serviço",AND(AUTOEVENTO="Manual",$M55=$A$15)),0,
         IF(OFFSET(CRONOPLE!$F$15,$M55-$A$15,AO$13)=0,10^12,OFFSET(CRONOPLE!$F$15,$M55-$A$15,AO$13)))</f>
        <v>0</v>
      </c>
      <c r="AP55" s="171">
        <f ca="1">IF(OR($D55&lt;&gt;"Serviço",AND(AUTOEVENTO="Manual",$M55=$A$15)),0,
         IF(OFFSET(CRONOPLE!$F$15,$M55-$A$15,AP$13)=0,10^12,OFFSET(CRONOPLE!$F$15,$M55-$A$15,AP$13)))</f>
        <v>0</v>
      </c>
      <c r="AQ55" s="171">
        <f ca="1">IF(OR($D55&lt;&gt;"Serviço",AND(AUTOEVENTO="Manual",$M55=$A$15)),0,
         IF(OFFSET(CRONOPLE!$F$15,$M55-$A$15,AQ$13)=0,10^12,OFFSET(CRONOPLE!$F$15,$M55-$A$15,AQ$13)))</f>
        <v>0</v>
      </c>
      <c r="AR55" s="171">
        <f ca="1">IF(OR($D55&lt;&gt;"Serviço",AND(AUTOEVENTO="Manual",$M55=$A$15)),0,
         IF(OFFSET(CRONOPLE!$F$15,$M55-$A$15,AR$13)=0,10^12,OFFSET(CRONOPLE!$F$15,$M55-$A$15,AR$13)))</f>
        <v>0</v>
      </c>
      <c r="AS55" s="171">
        <f ca="1">IF(OR($D55&lt;&gt;"Serviço",AND(AUTOEVENTO="Manual",$M55=$A$15)),0,
         IF(OFFSET(CRONOPLE!$F$15,$M55-$A$15,AS$13)=0,10^12,OFFSET(CRONOPLE!$F$15,$M55-$A$15,AS$13)))</f>
        <v>0</v>
      </c>
      <c r="AT55" s="171">
        <f ca="1">IF(OR($D55&lt;&gt;"Serviço",AND(AUTOEVENTO="Manual",$M55=$A$15)),0,
         IF(OFFSET(CRONOPLE!$F$15,$M55-$A$15,AT$13)=0,10^12,OFFSET(CRONOPLE!$F$15,$M55-$A$15,AT$13)))</f>
        <v>0</v>
      </c>
      <c r="AU55" s="171">
        <f ca="1">IF(OR($D55&lt;&gt;"Serviço",AND(AUTOEVENTO="Manual",$M55=$A$15)),0,
         IF(OFFSET(CRONOPLE!$F$15,$M55-$A$15,AU$13)=0,10^12,OFFSET(CRONOPLE!$F$15,$M55-$A$15,AU$13)))</f>
        <v>0</v>
      </c>
      <c r="AV55" s="171">
        <f ca="1">IF(OR($D55&lt;&gt;"Serviço",AND(AUTOEVENTO="Manual",$M55=$A$15)),0,
         IF(OFFSET(CRONOPLE!$F$15,$M55-$A$15,AV$13)=0,10^12,OFFSET(CRONOPLE!$F$15,$M55-$A$15,AV$13)))</f>
        <v>0</v>
      </c>
      <c r="AX55" s="172" cm="1">
        <f t="array" aca="1" ref="AX55" ca="1">IF(OR($D55&lt;&gt;"Serviço",AND(AUTOEVENTO="Manual",$M55=$A$15),$M55&gt;(ROW(PLE.lastrow)-ROW(PLE.firstrow))),0,
           IF(OFFSET(PLE!$G$15,$M55-$A$15,AX$13)="",10^12,OFFSET(PLE!$G$15,$M55-$A$15,AX$13)))</f>
        <v>0</v>
      </c>
      <c r="AY55" s="172" cm="1">
        <f t="array" aca="1" ref="AY55" ca="1">IF(OR($D55&lt;&gt;"Serviço",AND(AUTOEVENTO="Manual",$M55=$A$15),$M55&gt;(ROW(PLE.lastrow)-ROW(PLE.firstrow))),0,
           IF(OFFSET(PLE!$G$15,$M55-$A$15,AY$13)="",10^12,OFFSET(PLE!$G$15,$M55-$A$15,AY$13)))</f>
        <v>0</v>
      </c>
      <c r="AZ55" s="172" cm="1">
        <f t="array" aca="1" ref="AZ55" ca="1">IF(OR($D55&lt;&gt;"Serviço",AND(AUTOEVENTO="Manual",$M55=$A$15),$M55&gt;(ROW(PLE.lastrow)-ROW(PLE.firstrow))),0,
           IF(OFFSET(PLE!$G$15,$M55-$A$15,AZ$13)="",10^12,OFFSET(PLE!$G$15,$M55-$A$15,AZ$13)))</f>
        <v>0</v>
      </c>
      <c r="BA55" s="172" cm="1">
        <f t="array" aca="1" ref="BA55" ca="1">IF(OR($D55&lt;&gt;"Serviço",AND(AUTOEVENTO="Manual",$M55=$A$15),$M55&gt;(ROW(PLE.lastrow)-ROW(PLE.firstrow))),0,
           IF(OFFSET(PLE!$G$15,$M55-$A$15,BA$13)="",10^12,OFFSET(PLE!$G$15,$M55-$A$15,BA$13)))</f>
        <v>0</v>
      </c>
      <c r="BB55" s="172" cm="1">
        <f t="array" aca="1" ref="BB55" ca="1">IF(OR($D55&lt;&gt;"Serviço",AND(AUTOEVENTO="Manual",$M55=$A$15),$M55&gt;(ROW(PLE.lastrow)-ROW(PLE.firstrow))),0,
           IF(OFFSET(PLE!$G$15,$M55-$A$15,BB$13)="",10^12,OFFSET(PLE!$G$15,$M55-$A$15,BB$13)))</f>
        <v>0</v>
      </c>
      <c r="BC55" s="172" cm="1">
        <f t="array" aca="1" ref="BC55" ca="1">IF(OR($D55&lt;&gt;"Serviço",AND(AUTOEVENTO="Manual",$M55=$A$15),$M55&gt;(ROW(PLE.lastrow)-ROW(PLE.firstrow))),0,
           IF(OFFSET(PLE!$G$15,$M55-$A$15,BC$13)="",10^12,OFFSET(PLE!$G$15,$M55-$A$15,BC$13)))</f>
        <v>0</v>
      </c>
      <c r="BD55" s="172" cm="1">
        <f t="array" aca="1" ref="BD55" ca="1">IF(OR($D55&lt;&gt;"Serviço",AND(AUTOEVENTO="Manual",$M55=$A$15),$M55&gt;(ROW(PLE.lastrow)-ROW(PLE.firstrow))),0,
           IF(OFFSET(PLE!$G$15,$M55-$A$15,BD$13)="",10^12,OFFSET(PLE!$G$15,$M55-$A$15,BD$13)))</f>
        <v>0</v>
      </c>
      <c r="BE55" s="172" cm="1">
        <f t="array" aca="1" ref="BE55" ca="1">IF(OR($D55&lt;&gt;"Serviço",AND(AUTOEVENTO="Manual",$M55=$A$15),$M55&gt;(ROW(PLE.lastrow)-ROW(PLE.firstrow))),0,
           IF(OFFSET(PLE!$G$15,$M55-$A$15,BE$13)="",10^12,OFFSET(PLE!$G$15,$M55-$A$15,BE$13)))</f>
        <v>0</v>
      </c>
      <c r="BF55" s="172" cm="1">
        <f t="array" aca="1" ref="BF55" ca="1">IF(OR($D55&lt;&gt;"Serviço",AND(AUTOEVENTO="Manual",$M55=$A$15),$M55&gt;(ROW(PLE.lastrow)-ROW(PLE.firstrow))),0,
           IF(OFFSET(PLE!$G$15,$M55-$A$15,BF$13)="",10^12,OFFSET(PLE!$G$15,$M55-$A$15,BF$13)))</f>
        <v>0</v>
      </c>
      <c r="BG55" s="172" cm="1">
        <f t="array" aca="1" ref="BG55" ca="1">IF(OR($D55&lt;&gt;"Serviço",AND(AUTOEVENTO="Manual",$M55=$A$15),$M55&gt;(ROW(PLE.lastrow)-ROW(PLE.firstrow))),0,
           IF(OFFSET(PLE!$G$15,$M55-$A$15,BG$13)="",10^12,OFFSET(PLE!$G$15,$M55-$A$15,BG$13)))</f>
        <v>0</v>
      </c>
    </row>
    <row r="56" spans="1:59" ht="51" x14ac:dyDescent="0.2">
      <c r="A56" s="7">
        <f t="shared" ca="1" si="10"/>
        <v>2</v>
      </c>
      <c r="B56" s="7" t="str">
        <f ca="1">OFFSET(ORÇAMENTO!C$15,$L56,0)</f>
        <v>S</v>
      </c>
      <c r="C56" s="7" t="str">
        <f ca="1">OFFSET(ORÇAMENTO!L$15,$L56,0)</f>
        <v>F</v>
      </c>
      <c r="D56" s="116" t="str">
        <f ca="1">OFFSET(ORÇAMENTO!N$15,$L56,0)</f>
        <v>Serviço</v>
      </c>
      <c r="E56" s="117" t="str">
        <f ca="1">OFFSET(ORÇAMENTO!O$15,$L56,0)</f>
        <v>1.2.4.1.</v>
      </c>
      <c r="F56" s="163" t="str">
        <f ca="1">OFFSET(ORÇAMENTO!R$15,$L56,0)</f>
        <v>(Código não identificado nas referências)</v>
      </c>
      <c r="G56" s="164" t="str">
        <f ca="1">IF($D56&lt;&gt;"Serviço","",OFFSET(ORÇAMENTO!S$15,$L56,0))</f>
        <v>UN</v>
      </c>
      <c r="H56" s="122" cm="1">
        <f t="array" aca="1" ref="H56" ca="1">IF($D56&lt;&gt;"Serviço",0,IF(ACOMPANHAMENTO="BM",ROUND(OFFSET(ORÇAMENTO!AJ$15,$L56,0),15-13*ORÇAMENTO!$AF$7),IF(IFERROR(CÁLCULO.FrentesPreenchidas,0)=0,0,SUM(ROUND(OFFSET($P56,0,1,1,CÁLCULO.FrentesPreenchidas),15-13*ORÇAMENTO!$AF$7)))))</f>
        <v>1</v>
      </c>
      <c r="I56" s="468" t="s">
        <v>1042</v>
      </c>
      <c r="J56" s="651"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2" t="s">
        <v>1079</v>
      </c>
      <c r="L56" s="165">
        <f t="shared" ca="1" si="11"/>
        <v>41</v>
      </c>
      <c r="M56" s="166">
        <f ca="1">IF($D56&lt;&gt;"Serviço","",
          IF(AUTOEVENTO="manual",$A56,
                IF(ISERROR(MATCH($A56,$A$15:OFFSET($A56,-1,0),0)),MAX($M$15:OFFSET(M56,-1,0))+1,
                      INDEX($M$15:OFFSET(M56,-1,0),MATCH($A56,$A$15:OFFSET($A56,-1,0),0)))))</f>
        <v>2</v>
      </c>
      <c r="N56" s="167" t="str">
        <f ca="1">IF($D56&lt;&gt;"Serviço","",
         IF(AUTOEVENTO="Manual",
                IF($A56=0,"&lt;-- defina o número do agrupador",
                       OFFSET(EVENTOS!$D$15,$A56-$A$15,0)),
                OFFSET($F$15,$A56,0)))</f>
        <v>SERVIÇOS PRELIMINARES</v>
      </c>
      <c r="O56" s="168"/>
      <c r="Q56" s="168">
        <v>0.5</v>
      </c>
      <c r="R56" s="169">
        <v>0.5</v>
      </c>
      <c r="S56" s="169"/>
      <c r="T56" s="169"/>
      <c r="U56" s="169"/>
      <c r="V56" s="169"/>
      <c r="W56" s="169"/>
      <c r="X56" s="169"/>
      <c r="Y56" s="169"/>
      <c r="Z56" s="170"/>
      <c r="AB56" s="453">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9326.68</v>
      </c>
      <c r="AC56" s="453">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9326.68</v>
      </c>
      <c r="AD56" s="453">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3">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3">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3">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3">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3">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1">
        <f ca="1">IF(OR($D56&lt;&gt;"Serviço",AND(AUTOEVENTO="Manual",$M56=$A$15)),0,
         IF(OFFSET(CRONOPLE!$F$15,$M56-$A$15,AM$13)=0,10^12,OFFSET(CRONOPLE!$F$15,$M56-$A$15,AM$13)))</f>
        <v>1</v>
      </c>
      <c r="AN56" s="171">
        <f ca="1">IF(OR($D56&lt;&gt;"Serviço",AND(AUTOEVENTO="Manual",$M56=$A$15)),0,
         IF(OFFSET(CRONOPLE!$F$15,$M56-$A$15,AN$13)=0,10^12,OFFSET(CRONOPLE!$F$15,$M56-$A$15,AN$13)))</f>
        <v>2</v>
      </c>
      <c r="AO56" s="171">
        <f ca="1">IF(OR($D56&lt;&gt;"Serviço",AND(AUTOEVENTO="Manual",$M56=$A$15)),0,
         IF(OFFSET(CRONOPLE!$F$15,$M56-$A$15,AO$13)=0,10^12,OFFSET(CRONOPLE!$F$15,$M56-$A$15,AO$13)))</f>
        <v>3</v>
      </c>
      <c r="AP56" s="171">
        <f ca="1">IF(OR($D56&lt;&gt;"Serviço",AND(AUTOEVENTO="Manual",$M56=$A$15)),0,
         IF(OFFSET(CRONOPLE!$F$15,$M56-$A$15,AP$13)=0,10^12,OFFSET(CRONOPLE!$F$15,$M56-$A$15,AP$13)))</f>
        <v>4</v>
      </c>
      <c r="AQ56" s="171">
        <f ca="1">IF(OR($D56&lt;&gt;"Serviço",AND(AUTOEVENTO="Manual",$M56=$A$15)),0,
         IF(OFFSET(CRONOPLE!$F$15,$M56-$A$15,AQ$13)=0,10^12,OFFSET(CRONOPLE!$F$15,$M56-$A$15,AQ$13)))</f>
        <v>5</v>
      </c>
      <c r="AR56" s="171">
        <f ca="1">IF(OR($D56&lt;&gt;"Serviço",AND(AUTOEVENTO="Manual",$M56=$A$15)),0,
         IF(OFFSET(CRONOPLE!$F$15,$M56-$A$15,AR$13)=0,10^12,OFFSET(CRONOPLE!$F$15,$M56-$A$15,AR$13)))</f>
        <v>1</v>
      </c>
      <c r="AS56" s="171">
        <f ca="1">IF(OR($D56&lt;&gt;"Serviço",AND(AUTOEVENTO="Manual",$M56=$A$15)),0,
         IF(OFFSET(CRONOPLE!$F$15,$M56-$A$15,AS$13)=0,10^12,OFFSET(CRONOPLE!$F$15,$M56-$A$15,AS$13)))</f>
        <v>2</v>
      </c>
      <c r="AT56" s="171">
        <f ca="1">IF(OR($D56&lt;&gt;"Serviço",AND(AUTOEVENTO="Manual",$M56=$A$15)),0,
         IF(OFFSET(CRONOPLE!$F$15,$M56-$A$15,AT$13)=0,10^12,OFFSET(CRONOPLE!$F$15,$M56-$A$15,AT$13)))</f>
        <v>3</v>
      </c>
      <c r="AU56" s="171">
        <f ca="1">IF(OR($D56&lt;&gt;"Serviço",AND(AUTOEVENTO="Manual",$M56=$A$15)),0,
         IF(OFFSET(CRONOPLE!$F$15,$M56-$A$15,AU$13)=0,10^12,OFFSET(CRONOPLE!$F$15,$M56-$A$15,AU$13)))</f>
        <v>4</v>
      </c>
      <c r="AV56" s="171">
        <f ca="1">IF(OR($D56&lt;&gt;"Serviço",AND(AUTOEVENTO="Manual",$M56=$A$15)),0,
         IF(OFFSET(CRONOPLE!$F$15,$M56-$A$15,AV$13)=0,10^12,OFFSET(CRONOPLE!$F$15,$M56-$A$15,AV$13)))</f>
        <v>5</v>
      </c>
      <c r="AX56" s="172" cm="1">
        <f t="array" aca="1" ref="AX56" ca="1">IF(OR($D56&lt;&gt;"Serviço",AND(AUTOEVENTO="Manual",$M56=$A$15),$M56&gt;(ROW(PLE.lastrow)-ROW(PLE.firstrow))),0,
           IF(OFFSET(PLE!$G$15,$M56-$A$15,AX$13)="",10^12,OFFSET(PLE!$G$15,$M56-$A$15,AX$13)))</f>
        <v>1000000000000</v>
      </c>
      <c r="AY56" s="172" cm="1">
        <f t="array" aca="1" ref="AY56" ca="1">IF(OR($D56&lt;&gt;"Serviço",AND(AUTOEVENTO="Manual",$M56=$A$15),$M56&gt;(ROW(PLE.lastrow)-ROW(PLE.firstrow))),0,
           IF(OFFSET(PLE!$G$15,$M56-$A$15,AY$13)="",10^12,OFFSET(PLE!$G$15,$M56-$A$15,AY$13)))</f>
        <v>1000000000000</v>
      </c>
      <c r="AZ56" s="172" cm="1">
        <f t="array" aca="1" ref="AZ56" ca="1">IF(OR($D56&lt;&gt;"Serviço",AND(AUTOEVENTO="Manual",$M56=$A$15),$M56&gt;(ROW(PLE.lastrow)-ROW(PLE.firstrow))),0,
           IF(OFFSET(PLE!$G$15,$M56-$A$15,AZ$13)="",10^12,OFFSET(PLE!$G$15,$M56-$A$15,AZ$13)))</f>
        <v>1000000000000</v>
      </c>
      <c r="BA56" s="172" cm="1">
        <f t="array" aca="1" ref="BA56" ca="1">IF(OR($D56&lt;&gt;"Serviço",AND(AUTOEVENTO="Manual",$M56=$A$15),$M56&gt;(ROW(PLE.lastrow)-ROW(PLE.firstrow))),0,
           IF(OFFSET(PLE!$G$15,$M56-$A$15,BA$13)="",10^12,OFFSET(PLE!$G$15,$M56-$A$15,BA$13)))</f>
        <v>1000000000000</v>
      </c>
      <c r="BB56" s="172" cm="1">
        <f t="array" aca="1" ref="BB56" ca="1">IF(OR($D56&lt;&gt;"Serviço",AND(AUTOEVENTO="Manual",$M56=$A$15),$M56&gt;(ROW(PLE.lastrow)-ROW(PLE.firstrow))),0,
           IF(OFFSET(PLE!$G$15,$M56-$A$15,BB$13)="",10^12,OFFSET(PLE!$G$15,$M56-$A$15,BB$13)))</f>
        <v>1000000000000</v>
      </c>
      <c r="BC56" s="172" cm="1">
        <f t="array" aca="1" ref="BC56" ca="1">IF(OR($D56&lt;&gt;"Serviço",AND(AUTOEVENTO="Manual",$M56=$A$15),$M56&gt;(ROW(PLE.lastrow)-ROW(PLE.firstrow))),0,
           IF(OFFSET(PLE!$G$15,$M56-$A$15,BC$13)="",10^12,OFFSET(PLE!$G$15,$M56-$A$15,BC$13)))</f>
        <v>1000000000000</v>
      </c>
      <c r="BD56" s="172" cm="1">
        <f t="array" aca="1" ref="BD56" ca="1">IF(OR($D56&lt;&gt;"Serviço",AND(AUTOEVENTO="Manual",$M56=$A$15),$M56&gt;(ROW(PLE.lastrow)-ROW(PLE.firstrow))),0,
           IF(OFFSET(PLE!$G$15,$M56-$A$15,BD$13)="",10^12,OFFSET(PLE!$G$15,$M56-$A$15,BD$13)))</f>
        <v>1000000000000</v>
      </c>
      <c r="BE56" s="172" cm="1">
        <f t="array" aca="1" ref="BE56" ca="1">IF(OR($D56&lt;&gt;"Serviço",AND(AUTOEVENTO="Manual",$M56=$A$15),$M56&gt;(ROW(PLE.lastrow)-ROW(PLE.firstrow))),0,
           IF(OFFSET(PLE!$G$15,$M56-$A$15,BE$13)="",10^12,OFFSET(PLE!$G$15,$M56-$A$15,BE$13)))</f>
        <v>1000000000000</v>
      </c>
      <c r="BF56" s="172" cm="1">
        <f t="array" aca="1" ref="BF56" ca="1">IF(OR($D56&lt;&gt;"Serviço",AND(AUTOEVENTO="Manual",$M56=$A$15),$M56&gt;(ROW(PLE.lastrow)-ROW(PLE.firstrow))),0,
           IF(OFFSET(PLE!$G$15,$M56-$A$15,BF$13)="",10^12,OFFSET(PLE!$G$15,$M56-$A$15,BF$13)))</f>
        <v>1000000000000</v>
      </c>
      <c r="BG56" s="172" cm="1">
        <f t="array" aca="1" ref="BG56" ca="1">IF(OR($D56&lt;&gt;"Serviço",AND(AUTOEVENTO="Manual",$M56=$A$15),$M56&gt;(ROW(PLE.lastrow)-ROW(PLE.firstrow))),0,
           IF(OFFSET(PLE!$G$15,$M56-$A$15,BG$13)="",10^12,OFFSET(PLE!$G$15,$M56-$A$15,BG$13)))</f>
        <v>1000000000000</v>
      </c>
    </row>
    <row r="57" spans="1:59" ht="51" x14ac:dyDescent="0.2">
      <c r="A57" s="7">
        <f t="shared" ca="1" si="10"/>
        <v>2</v>
      </c>
      <c r="B57" s="7" t="str">
        <f ca="1">OFFSET(ORÇAMENTO!C$15,$L57,0)</f>
        <v>S</v>
      </c>
      <c r="C57" s="7" t="str">
        <f ca="1">OFFSET(ORÇAMENTO!L$15,$L57,0)</f>
        <v>F</v>
      </c>
      <c r="D57" s="116" t="str">
        <f ca="1">OFFSET(ORÇAMENTO!N$15,$L57,0)</f>
        <v>Serviço</v>
      </c>
      <c r="E57" s="117" t="str">
        <f ca="1">OFFSET(ORÇAMENTO!O$15,$L57,0)</f>
        <v>1.2.4.2.</v>
      </c>
      <c r="F57" s="163" t="str">
        <f ca="1">OFFSET(ORÇAMENTO!R$15,$L57,0)</f>
        <v>(Código não identificado nas referências)</v>
      </c>
      <c r="G57" s="164" t="str">
        <f ca="1">IF($D57&lt;&gt;"Serviço","",OFFSET(ORÇAMENTO!S$15,$L57,0))</f>
        <v>UN</v>
      </c>
      <c r="H57" s="122" cm="1">
        <f t="array" aca="1" ref="H57" ca="1">IF($D57&lt;&gt;"Serviço",0,IF(ACOMPANHAMENTO="BM",ROUND(OFFSET(ORÇAMENTO!AJ$15,$L57,0),15-13*ORÇAMENTO!$AF$7),IF(IFERROR(CÁLCULO.FrentesPreenchidas,0)=0,0,SUM(ROUND(OFFSET($P57,0,1,1,CÁLCULO.FrentesPreenchidas),15-13*ORÇAMENTO!$AF$7)))))</f>
        <v>1</v>
      </c>
      <c r="I57" s="468" t="s">
        <v>1042</v>
      </c>
      <c r="J57" s="651"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2" t="s">
        <v>1079</v>
      </c>
      <c r="L57" s="165">
        <f t="shared" ca="1" si="11"/>
        <v>42</v>
      </c>
      <c r="M57" s="166">
        <f ca="1">IF($D57&lt;&gt;"Serviço","",
          IF(AUTOEVENTO="manual",$A57,
                IF(ISERROR(MATCH($A57,$A$15:OFFSET($A57,-1,0),0)),MAX($M$15:OFFSET(M57,-1,0))+1,
                      INDEX($M$15:OFFSET(M57,-1,0),MATCH($A57,$A$15:OFFSET($A57,-1,0),0)))))</f>
        <v>2</v>
      </c>
      <c r="N57" s="167" t="str">
        <f ca="1">IF($D57&lt;&gt;"Serviço","",
         IF(AUTOEVENTO="Manual",
                IF($A57=0,"&lt;-- defina o número do agrupador",
                       OFFSET(EVENTOS!$D$15,$A57-$A$15,0)),
                OFFSET($F$15,$A57,0)))</f>
        <v>SERVIÇOS PRELIMINARES</v>
      </c>
      <c r="O57" s="168"/>
      <c r="Q57" s="168">
        <v>0.5</v>
      </c>
      <c r="R57" s="169">
        <v>0.5</v>
      </c>
      <c r="S57" s="169"/>
      <c r="T57" s="169"/>
      <c r="U57" s="169"/>
      <c r="V57" s="169"/>
      <c r="W57" s="169"/>
      <c r="X57" s="169"/>
      <c r="Y57" s="169"/>
      <c r="Z57" s="170"/>
      <c r="AB57" s="453">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7575.92</v>
      </c>
      <c r="AC57" s="453">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7575.92</v>
      </c>
      <c r="AD57" s="453">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3">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3">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3">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3">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3">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1">
        <f ca="1">IF(OR($D57&lt;&gt;"Serviço",AND(AUTOEVENTO="Manual",$M57=$A$15)),0,
         IF(OFFSET(CRONOPLE!$F$15,$M57-$A$15,AM$13)=0,10^12,OFFSET(CRONOPLE!$F$15,$M57-$A$15,AM$13)))</f>
        <v>1</v>
      </c>
      <c r="AN57" s="171">
        <f ca="1">IF(OR($D57&lt;&gt;"Serviço",AND(AUTOEVENTO="Manual",$M57=$A$15)),0,
         IF(OFFSET(CRONOPLE!$F$15,$M57-$A$15,AN$13)=0,10^12,OFFSET(CRONOPLE!$F$15,$M57-$A$15,AN$13)))</f>
        <v>2</v>
      </c>
      <c r="AO57" s="171">
        <f ca="1">IF(OR($D57&lt;&gt;"Serviço",AND(AUTOEVENTO="Manual",$M57=$A$15)),0,
         IF(OFFSET(CRONOPLE!$F$15,$M57-$A$15,AO$13)=0,10^12,OFFSET(CRONOPLE!$F$15,$M57-$A$15,AO$13)))</f>
        <v>3</v>
      </c>
      <c r="AP57" s="171">
        <f ca="1">IF(OR($D57&lt;&gt;"Serviço",AND(AUTOEVENTO="Manual",$M57=$A$15)),0,
         IF(OFFSET(CRONOPLE!$F$15,$M57-$A$15,AP$13)=0,10^12,OFFSET(CRONOPLE!$F$15,$M57-$A$15,AP$13)))</f>
        <v>4</v>
      </c>
      <c r="AQ57" s="171">
        <f ca="1">IF(OR($D57&lt;&gt;"Serviço",AND(AUTOEVENTO="Manual",$M57=$A$15)),0,
         IF(OFFSET(CRONOPLE!$F$15,$M57-$A$15,AQ$13)=0,10^12,OFFSET(CRONOPLE!$F$15,$M57-$A$15,AQ$13)))</f>
        <v>5</v>
      </c>
      <c r="AR57" s="171">
        <f ca="1">IF(OR($D57&lt;&gt;"Serviço",AND(AUTOEVENTO="Manual",$M57=$A$15)),0,
         IF(OFFSET(CRONOPLE!$F$15,$M57-$A$15,AR$13)=0,10^12,OFFSET(CRONOPLE!$F$15,$M57-$A$15,AR$13)))</f>
        <v>1</v>
      </c>
      <c r="AS57" s="171">
        <f ca="1">IF(OR($D57&lt;&gt;"Serviço",AND(AUTOEVENTO="Manual",$M57=$A$15)),0,
         IF(OFFSET(CRONOPLE!$F$15,$M57-$A$15,AS$13)=0,10^12,OFFSET(CRONOPLE!$F$15,$M57-$A$15,AS$13)))</f>
        <v>2</v>
      </c>
      <c r="AT57" s="171">
        <f ca="1">IF(OR($D57&lt;&gt;"Serviço",AND(AUTOEVENTO="Manual",$M57=$A$15)),0,
         IF(OFFSET(CRONOPLE!$F$15,$M57-$A$15,AT$13)=0,10^12,OFFSET(CRONOPLE!$F$15,$M57-$A$15,AT$13)))</f>
        <v>3</v>
      </c>
      <c r="AU57" s="171">
        <f ca="1">IF(OR($D57&lt;&gt;"Serviço",AND(AUTOEVENTO="Manual",$M57=$A$15)),0,
         IF(OFFSET(CRONOPLE!$F$15,$M57-$A$15,AU$13)=0,10^12,OFFSET(CRONOPLE!$F$15,$M57-$A$15,AU$13)))</f>
        <v>4</v>
      </c>
      <c r="AV57" s="171">
        <f ca="1">IF(OR($D57&lt;&gt;"Serviço",AND(AUTOEVENTO="Manual",$M57=$A$15)),0,
         IF(OFFSET(CRONOPLE!$F$15,$M57-$A$15,AV$13)=0,10^12,OFFSET(CRONOPLE!$F$15,$M57-$A$15,AV$13)))</f>
        <v>5</v>
      </c>
      <c r="AX57" s="172" cm="1">
        <f t="array" aca="1" ref="AX57" ca="1">IF(OR($D57&lt;&gt;"Serviço",AND(AUTOEVENTO="Manual",$M57=$A$15),$M57&gt;(ROW(PLE.lastrow)-ROW(PLE.firstrow))),0,
           IF(OFFSET(PLE!$G$15,$M57-$A$15,AX$13)="",10^12,OFFSET(PLE!$G$15,$M57-$A$15,AX$13)))</f>
        <v>1000000000000</v>
      </c>
      <c r="AY57" s="172" cm="1">
        <f t="array" aca="1" ref="AY57" ca="1">IF(OR($D57&lt;&gt;"Serviço",AND(AUTOEVENTO="Manual",$M57=$A$15),$M57&gt;(ROW(PLE.lastrow)-ROW(PLE.firstrow))),0,
           IF(OFFSET(PLE!$G$15,$M57-$A$15,AY$13)="",10^12,OFFSET(PLE!$G$15,$M57-$A$15,AY$13)))</f>
        <v>1000000000000</v>
      </c>
      <c r="AZ57" s="172" cm="1">
        <f t="array" aca="1" ref="AZ57" ca="1">IF(OR($D57&lt;&gt;"Serviço",AND(AUTOEVENTO="Manual",$M57=$A$15),$M57&gt;(ROW(PLE.lastrow)-ROW(PLE.firstrow))),0,
           IF(OFFSET(PLE!$G$15,$M57-$A$15,AZ$13)="",10^12,OFFSET(PLE!$G$15,$M57-$A$15,AZ$13)))</f>
        <v>1000000000000</v>
      </c>
      <c r="BA57" s="172" cm="1">
        <f t="array" aca="1" ref="BA57" ca="1">IF(OR($D57&lt;&gt;"Serviço",AND(AUTOEVENTO="Manual",$M57=$A$15),$M57&gt;(ROW(PLE.lastrow)-ROW(PLE.firstrow))),0,
           IF(OFFSET(PLE!$G$15,$M57-$A$15,BA$13)="",10^12,OFFSET(PLE!$G$15,$M57-$A$15,BA$13)))</f>
        <v>1000000000000</v>
      </c>
      <c r="BB57" s="172" cm="1">
        <f t="array" aca="1" ref="BB57" ca="1">IF(OR($D57&lt;&gt;"Serviço",AND(AUTOEVENTO="Manual",$M57=$A$15),$M57&gt;(ROW(PLE.lastrow)-ROW(PLE.firstrow))),0,
           IF(OFFSET(PLE!$G$15,$M57-$A$15,BB$13)="",10^12,OFFSET(PLE!$G$15,$M57-$A$15,BB$13)))</f>
        <v>1000000000000</v>
      </c>
      <c r="BC57" s="172" cm="1">
        <f t="array" aca="1" ref="BC57" ca="1">IF(OR($D57&lt;&gt;"Serviço",AND(AUTOEVENTO="Manual",$M57=$A$15),$M57&gt;(ROW(PLE.lastrow)-ROW(PLE.firstrow))),0,
           IF(OFFSET(PLE!$G$15,$M57-$A$15,BC$13)="",10^12,OFFSET(PLE!$G$15,$M57-$A$15,BC$13)))</f>
        <v>1000000000000</v>
      </c>
      <c r="BD57" s="172" cm="1">
        <f t="array" aca="1" ref="BD57" ca="1">IF(OR($D57&lt;&gt;"Serviço",AND(AUTOEVENTO="Manual",$M57=$A$15),$M57&gt;(ROW(PLE.lastrow)-ROW(PLE.firstrow))),0,
           IF(OFFSET(PLE!$G$15,$M57-$A$15,BD$13)="",10^12,OFFSET(PLE!$G$15,$M57-$A$15,BD$13)))</f>
        <v>1000000000000</v>
      </c>
      <c r="BE57" s="172" cm="1">
        <f t="array" aca="1" ref="BE57" ca="1">IF(OR($D57&lt;&gt;"Serviço",AND(AUTOEVENTO="Manual",$M57=$A$15),$M57&gt;(ROW(PLE.lastrow)-ROW(PLE.firstrow))),0,
           IF(OFFSET(PLE!$G$15,$M57-$A$15,BE$13)="",10^12,OFFSET(PLE!$G$15,$M57-$A$15,BE$13)))</f>
        <v>1000000000000</v>
      </c>
      <c r="BF57" s="172" cm="1">
        <f t="array" aca="1" ref="BF57" ca="1">IF(OR($D57&lt;&gt;"Serviço",AND(AUTOEVENTO="Manual",$M57=$A$15),$M57&gt;(ROW(PLE.lastrow)-ROW(PLE.firstrow))),0,
           IF(OFFSET(PLE!$G$15,$M57-$A$15,BF$13)="",10^12,OFFSET(PLE!$G$15,$M57-$A$15,BF$13)))</f>
        <v>1000000000000</v>
      </c>
      <c r="BG57" s="172" cm="1">
        <f t="array" aca="1" ref="BG57" ca="1">IF(OR($D57&lt;&gt;"Serviço",AND(AUTOEVENTO="Manual",$M57=$A$15),$M57&gt;(ROW(PLE.lastrow)-ROW(PLE.firstrow))),0,
           IF(OFFSET(PLE!$G$15,$M57-$A$15,BG$13)="",10^12,OFFSET(PLE!$G$15,$M57-$A$15,BG$13)))</f>
        <v>1000000000000</v>
      </c>
    </row>
    <row r="58" spans="1:59" ht="38.25" x14ac:dyDescent="0.2">
      <c r="A58" s="7">
        <f t="shared" ca="1" si="10"/>
        <v>2</v>
      </c>
      <c r="B58" s="7" t="str">
        <f ca="1">OFFSET(ORÇAMENTO!C$15,$L58,0)</f>
        <v>S</v>
      </c>
      <c r="C58" s="7" t="str">
        <f ca="1">OFFSET(ORÇAMENTO!L$15,$L58,0)</f>
        <v>F</v>
      </c>
      <c r="D58" s="116" t="str">
        <f ca="1">OFFSET(ORÇAMENTO!N$15,$L58,0)</f>
        <v>Serviço</v>
      </c>
      <c r="E58" s="117" t="str">
        <f ca="1">OFFSET(ORÇAMENTO!O$15,$L58,0)</f>
        <v>1.2.4.3.</v>
      </c>
      <c r="F58" s="163" t="str">
        <f ca="1">OFFSET(ORÇAMENTO!R$15,$L58,0)</f>
        <v>(Código não identificado nas referências)</v>
      </c>
      <c r="G58" s="164" t="str">
        <f ca="1">IF($D58&lt;&gt;"Serviço","",OFFSET(ORÇAMENTO!S$15,$L58,0))</f>
        <v>UN</v>
      </c>
      <c r="H58" s="122" cm="1">
        <f t="array" aca="1" ref="H58" ca="1">IF($D58&lt;&gt;"Serviço",0,IF(ACOMPANHAMENTO="BM",ROUND(OFFSET(ORÇAMENTO!AJ$15,$L58,0),15-13*ORÇAMENTO!$AF$7),IF(IFERROR(CÁLCULO.FrentesPreenchidas,0)=0,0,SUM(ROUND(OFFSET($P58,0,1,1,CÁLCULO.FrentesPreenchidas),15-13*ORÇAMENTO!$AF$7)))))</f>
        <v>1</v>
      </c>
      <c r="I58" s="468" t="s">
        <v>1042</v>
      </c>
      <c r="J58" s="651"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
      </c>
      <c r="K58" s="652" t="s">
        <v>1079</v>
      </c>
      <c r="L58" s="165">
        <f t="shared" ca="1" si="11"/>
        <v>43</v>
      </c>
      <c r="M58" s="166">
        <f ca="1">IF($D58&lt;&gt;"Serviço","",
          IF(AUTOEVENTO="manual",$A58,
                IF(ISERROR(MATCH($A58,$A$15:OFFSET($A58,-1,0),0)),MAX($M$15:OFFSET(M58,-1,0))+1,
                      INDEX($M$15:OFFSET(M58,-1,0),MATCH($A58,$A$15:OFFSET($A58,-1,0),0)))))</f>
        <v>2</v>
      </c>
      <c r="N58" s="167" t="str">
        <f ca="1">IF($D58&lt;&gt;"Serviço","",
         IF(AUTOEVENTO="Manual",
                IF($A58=0,"&lt;-- defina o número do agrupador",
                       OFFSET(EVENTOS!$D$15,$A58-$A$15,0)),
                OFFSET($F$15,$A58,0)))</f>
        <v>SERVIÇOS PRELIMINARES</v>
      </c>
      <c r="O58" s="168"/>
      <c r="Q58" s="168">
        <v>0.5</v>
      </c>
      <c r="R58" s="169">
        <v>0.5</v>
      </c>
      <c r="S58" s="169"/>
      <c r="T58" s="169"/>
      <c r="U58" s="169"/>
      <c r="V58" s="169"/>
      <c r="W58" s="169"/>
      <c r="X58" s="169"/>
      <c r="Y58" s="169"/>
      <c r="Z58" s="170"/>
      <c r="AB58" s="453">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8020.65</v>
      </c>
      <c r="AC58" s="453">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8020.65</v>
      </c>
      <c r="AD58" s="453">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3">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3">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3">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3">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3">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1">
        <f ca="1">IF(OR($D58&lt;&gt;"Serviço",AND(AUTOEVENTO="Manual",$M58=$A$15)),0,
         IF(OFFSET(CRONOPLE!$F$15,$M58-$A$15,AM$13)=0,10^12,OFFSET(CRONOPLE!$F$15,$M58-$A$15,AM$13)))</f>
        <v>1</v>
      </c>
      <c r="AN58" s="171">
        <f ca="1">IF(OR($D58&lt;&gt;"Serviço",AND(AUTOEVENTO="Manual",$M58=$A$15)),0,
         IF(OFFSET(CRONOPLE!$F$15,$M58-$A$15,AN$13)=0,10^12,OFFSET(CRONOPLE!$F$15,$M58-$A$15,AN$13)))</f>
        <v>2</v>
      </c>
      <c r="AO58" s="171">
        <f ca="1">IF(OR($D58&lt;&gt;"Serviço",AND(AUTOEVENTO="Manual",$M58=$A$15)),0,
         IF(OFFSET(CRONOPLE!$F$15,$M58-$A$15,AO$13)=0,10^12,OFFSET(CRONOPLE!$F$15,$M58-$A$15,AO$13)))</f>
        <v>3</v>
      </c>
      <c r="AP58" s="171">
        <f ca="1">IF(OR($D58&lt;&gt;"Serviço",AND(AUTOEVENTO="Manual",$M58=$A$15)),0,
         IF(OFFSET(CRONOPLE!$F$15,$M58-$A$15,AP$13)=0,10^12,OFFSET(CRONOPLE!$F$15,$M58-$A$15,AP$13)))</f>
        <v>4</v>
      </c>
      <c r="AQ58" s="171">
        <f ca="1">IF(OR($D58&lt;&gt;"Serviço",AND(AUTOEVENTO="Manual",$M58=$A$15)),0,
         IF(OFFSET(CRONOPLE!$F$15,$M58-$A$15,AQ$13)=0,10^12,OFFSET(CRONOPLE!$F$15,$M58-$A$15,AQ$13)))</f>
        <v>5</v>
      </c>
      <c r="AR58" s="171">
        <f ca="1">IF(OR($D58&lt;&gt;"Serviço",AND(AUTOEVENTO="Manual",$M58=$A$15)),0,
         IF(OFFSET(CRONOPLE!$F$15,$M58-$A$15,AR$13)=0,10^12,OFFSET(CRONOPLE!$F$15,$M58-$A$15,AR$13)))</f>
        <v>1</v>
      </c>
      <c r="AS58" s="171">
        <f ca="1">IF(OR($D58&lt;&gt;"Serviço",AND(AUTOEVENTO="Manual",$M58=$A$15)),0,
         IF(OFFSET(CRONOPLE!$F$15,$M58-$A$15,AS$13)=0,10^12,OFFSET(CRONOPLE!$F$15,$M58-$A$15,AS$13)))</f>
        <v>2</v>
      </c>
      <c r="AT58" s="171">
        <f ca="1">IF(OR($D58&lt;&gt;"Serviço",AND(AUTOEVENTO="Manual",$M58=$A$15)),0,
         IF(OFFSET(CRONOPLE!$F$15,$M58-$A$15,AT$13)=0,10^12,OFFSET(CRONOPLE!$F$15,$M58-$A$15,AT$13)))</f>
        <v>3</v>
      </c>
      <c r="AU58" s="171">
        <f ca="1">IF(OR($D58&lt;&gt;"Serviço",AND(AUTOEVENTO="Manual",$M58=$A$15)),0,
         IF(OFFSET(CRONOPLE!$F$15,$M58-$A$15,AU$13)=0,10^12,OFFSET(CRONOPLE!$F$15,$M58-$A$15,AU$13)))</f>
        <v>4</v>
      </c>
      <c r="AV58" s="171">
        <f ca="1">IF(OR($D58&lt;&gt;"Serviço",AND(AUTOEVENTO="Manual",$M58=$A$15)),0,
         IF(OFFSET(CRONOPLE!$F$15,$M58-$A$15,AV$13)=0,10^12,OFFSET(CRONOPLE!$F$15,$M58-$A$15,AV$13)))</f>
        <v>5</v>
      </c>
      <c r="AX58" s="172" cm="1">
        <f t="array" aca="1" ref="AX58" ca="1">IF(OR($D58&lt;&gt;"Serviço",AND(AUTOEVENTO="Manual",$M58=$A$15),$M58&gt;(ROW(PLE.lastrow)-ROW(PLE.firstrow))),0,
           IF(OFFSET(PLE!$G$15,$M58-$A$15,AX$13)="",10^12,OFFSET(PLE!$G$15,$M58-$A$15,AX$13)))</f>
        <v>1000000000000</v>
      </c>
      <c r="AY58" s="172" cm="1">
        <f t="array" aca="1" ref="AY58" ca="1">IF(OR($D58&lt;&gt;"Serviço",AND(AUTOEVENTO="Manual",$M58=$A$15),$M58&gt;(ROW(PLE.lastrow)-ROW(PLE.firstrow))),0,
           IF(OFFSET(PLE!$G$15,$M58-$A$15,AY$13)="",10^12,OFFSET(PLE!$G$15,$M58-$A$15,AY$13)))</f>
        <v>1000000000000</v>
      </c>
      <c r="AZ58" s="172" cm="1">
        <f t="array" aca="1" ref="AZ58" ca="1">IF(OR($D58&lt;&gt;"Serviço",AND(AUTOEVENTO="Manual",$M58=$A$15),$M58&gt;(ROW(PLE.lastrow)-ROW(PLE.firstrow))),0,
           IF(OFFSET(PLE!$G$15,$M58-$A$15,AZ$13)="",10^12,OFFSET(PLE!$G$15,$M58-$A$15,AZ$13)))</f>
        <v>1000000000000</v>
      </c>
      <c r="BA58" s="172" cm="1">
        <f t="array" aca="1" ref="BA58" ca="1">IF(OR($D58&lt;&gt;"Serviço",AND(AUTOEVENTO="Manual",$M58=$A$15),$M58&gt;(ROW(PLE.lastrow)-ROW(PLE.firstrow))),0,
           IF(OFFSET(PLE!$G$15,$M58-$A$15,BA$13)="",10^12,OFFSET(PLE!$G$15,$M58-$A$15,BA$13)))</f>
        <v>1000000000000</v>
      </c>
      <c r="BB58" s="172" cm="1">
        <f t="array" aca="1" ref="BB58" ca="1">IF(OR($D58&lt;&gt;"Serviço",AND(AUTOEVENTO="Manual",$M58=$A$15),$M58&gt;(ROW(PLE.lastrow)-ROW(PLE.firstrow))),0,
           IF(OFFSET(PLE!$G$15,$M58-$A$15,BB$13)="",10^12,OFFSET(PLE!$G$15,$M58-$A$15,BB$13)))</f>
        <v>1000000000000</v>
      </c>
      <c r="BC58" s="172" cm="1">
        <f t="array" aca="1" ref="BC58" ca="1">IF(OR($D58&lt;&gt;"Serviço",AND(AUTOEVENTO="Manual",$M58=$A$15),$M58&gt;(ROW(PLE.lastrow)-ROW(PLE.firstrow))),0,
           IF(OFFSET(PLE!$G$15,$M58-$A$15,BC$13)="",10^12,OFFSET(PLE!$G$15,$M58-$A$15,BC$13)))</f>
        <v>1000000000000</v>
      </c>
      <c r="BD58" s="172" cm="1">
        <f t="array" aca="1" ref="BD58" ca="1">IF(OR($D58&lt;&gt;"Serviço",AND(AUTOEVENTO="Manual",$M58=$A$15),$M58&gt;(ROW(PLE.lastrow)-ROW(PLE.firstrow))),0,
           IF(OFFSET(PLE!$G$15,$M58-$A$15,BD$13)="",10^12,OFFSET(PLE!$G$15,$M58-$A$15,BD$13)))</f>
        <v>1000000000000</v>
      </c>
      <c r="BE58" s="172" cm="1">
        <f t="array" aca="1" ref="BE58" ca="1">IF(OR($D58&lt;&gt;"Serviço",AND(AUTOEVENTO="Manual",$M58=$A$15),$M58&gt;(ROW(PLE.lastrow)-ROW(PLE.firstrow))),0,
           IF(OFFSET(PLE!$G$15,$M58-$A$15,BE$13)="",10^12,OFFSET(PLE!$G$15,$M58-$A$15,BE$13)))</f>
        <v>1000000000000</v>
      </c>
      <c r="BF58" s="172" cm="1">
        <f t="array" aca="1" ref="BF58" ca="1">IF(OR($D58&lt;&gt;"Serviço",AND(AUTOEVENTO="Manual",$M58=$A$15),$M58&gt;(ROW(PLE.lastrow)-ROW(PLE.firstrow))),0,
           IF(OFFSET(PLE!$G$15,$M58-$A$15,BF$13)="",10^12,OFFSET(PLE!$G$15,$M58-$A$15,BF$13)))</f>
        <v>1000000000000</v>
      </c>
      <c r="BG58" s="172" cm="1">
        <f t="array" aca="1" ref="BG58" ca="1">IF(OR($D58&lt;&gt;"Serviço",AND(AUTOEVENTO="Manual",$M58=$A$15),$M58&gt;(ROW(PLE.lastrow)-ROW(PLE.firstrow))),0,
           IF(OFFSET(PLE!$G$15,$M58-$A$15,BG$13)="",10^12,OFFSET(PLE!$G$15,$M58-$A$15,BG$13)))</f>
        <v>1000000000000</v>
      </c>
    </row>
    <row r="59" spans="1:59" ht="38.25" x14ac:dyDescent="0.2">
      <c r="A59" s="7">
        <f t="shared" ca="1" si="10"/>
        <v>2</v>
      </c>
      <c r="B59" s="7" t="str">
        <f ca="1">OFFSET(ORÇAMENTO!C$15,$L59,0)</f>
        <v>S</v>
      </c>
      <c r="C59" s="7" t="str">
        <f ca="1">OFFSET(ORÇAMENTO!L$15,$L59,0)</f>
        <v>F</v>
      </c>
      <c r="D59" s="116" t="str">
        <f ca="1">OFFSET(ORÇAMENTO!N$15,$L59,0)</f>
        <v>Serviço</v>
      </c>
      <c r="E59" s="117" t="str">
        <f ca="1">OFFSET(ORÇAMENTO!O$15,$L59,0)</f>
        <v>1.2.4.4.</v>
      </c>
      <c r="F59" s="163" t="str">
        <f ca="1">OFFSET(ORÇAMENTO!R$15,$L59,0)</f>
        <v>(Código não identificado nas referências)</v>
      </c>
      <c r="G59" s="164" t="str">
        <f ca="1">IF($D59&lt;&gt;"Serviço","",OFFSET(ORÇAMENTO!S$15,$L59,0))</f>
        <v>UN</v>
      </c>
      <c r="H59" s="122" cm="1">
        <f t="array" aca="1" ref="H59" ca="1">IF($D59&lt;&gt;"Serviço",0,IF(ACOMPANHAMENTO="BM",ROUND(OFFSET(ORÇAMENTO!AJ$15,$L59,0),15-13*ORÇAMENTO!$AF$7),IF(IFERROR(CÁLCULO.FrentesPreenchidas,0)=0,0,SUM(ROUND(OFFSET($P59,0,1,1,CÁLCULO.FrentesPreenchidas),15-13*ORÇAMENTO!$AF$7)))))</f>
        <v>1</v>
      </c>
      <c r="I59" s="468" t="s">
        <v>1042</v>
      </c>
      <c r="J59" s="651" t="str" cm="1">
        <f t="array" aca="1" ref="J59" ca="1">IF(OR(B59&lt;&gt;"S",CÁLCULO.FrentesPreenchidas=0),"",IF(AND(ACOMPANHAMENTO="PLE",AUTOEVENTO="Manual",OR(H59&gt;0,ORÇAMENTO!AC59="QUANT."),OR(K59="",M59=0,N59="")),"►E",IF(AND(ACOMPANHAMENTO="PLE",ORÇAMENTO!AC59="QUANT."),"►Q",IF(AND(ACOMPANHAMENTO="PLE",H59&lt;&gt;SUMPRODUCT(($Q$1:$AA$1=1)*ROUND(Q59:AA59,15))),"►S",IF(AND(COUNTIF($P$11:$AA$11,"▼")=0,H59&gt;0,I59=""),"◄M","")))))</f>
        <v/>
      </c>
      <c r="K59" s="652" t="s">
        <v>1079</v>
      </c>
      <c r="L59" s="165">
        <f t="shared" ca="1" si="11"/>
        <v>44</v>
      </c>
      <c r="M59" s="166">
        <f ca="1">IF($D59&lt;&gt;"Serviço","",
          IF(AUTOEVENTO="manual",$A59,
                IF(ISERROR(MATCH($A59,$A$15:OFFSET($A59,-1,0),0)),MAX($M$15:OFFSET(M59,-1,0))+1,
                      INDEX($M$15:OFFSET(M59,-1,0),MATCH($A59,$A$15:OFFSET($A59,-1,0),0)))))</f>
        <v>2</v>
      </c>
      <c r="N59" s="167" t="str">
        <f ca="1">IF($D59&lt;&gt;"Serviço","",
         IF(AUTOEVENTO="Manual",
                IF($A59=0,"&lt;-- defina o número do agrupador",
                       OFFSET(EVENTOS!$D$15,$A59-$A$15,0)),
                OFFSET($F$15,$A59,0)))</f>
        <v>SERVIÇOS PRELIMINARES</v>
      </c>
      <c r="O59" s="168"/>
      <c r="Q59" s="168">
        <v>0.5</v>
      </c>
      <c r="R59" s="169">
        <v>0.5</v>
      </c>
      <c r="S59" s="169"/>
      <c r="T59" s="169"/>
      <c r="U59" s="169"/>
      <c r="V59" s="169"/>
      <c r="W59" s="169"/>
      <c r="X59" s="169"/>
      <c r="Y59" s="169"/>
      <c r="Z59" s="170"/>
      <c r="AB59" s="453">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7088.11</v>
      </c>
      <c r="AC59" s="453">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7088.11</v>
      </c>
      <c r="AD59" s="453">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3">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3">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3">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3">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3">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1">
        <f ca="1">IF(OR($D59&lt;&gt;"Serviço",AND(AUTOEVENTO="Manual",$M59=$A$15)),0,
         IF(OFFSET(CRONOPLE!$F$15,$M59-$A$15,AM$13)=0,10^12,OFFSET(CRONOPLE!$F$15,$M59-$A$15,AM$13)))</f>
        <v>1</v>
      </c>
      <c r="AN59" s="171">
        <f ca="1">IF(OR($D59&lt;&gt;"Serviço",AND(AUTOEVENTO="Manual",$M59=$A$15)),0,
         IF(OFFSET(CRONOPLE!$F$15,$M59-$A$15,AN$13)=0,10^12,OFFSET(CRONOPLE!$F$15,$M59-$A$15,AN$13)))</f>
        <v>2</v>
      </c>
      <c r="AO59" s="171">
        <f ca="1">IF(OR($D59&lt;&gt;"Serviço",AND(AUTOEVENTO="Manual",$M59=$A$15)),0,
         IF(OFFSET(CRONOPLE!$F$15,$M59-$A$15,AO$13)=0,10^12,OFFSET(CRONOPLE!$F$15,$M59-$A$15,AO$13)))</f>
        <v>3</v>
      </c>
      <c r="AP59" s="171">
        <f ca="1">IF(OR($D59&lt;&gt;"Serviço",AND(AUTOEVENTO="Manual",$M59=$A$15)),0,
         IF(OFFSET(CRONOPLE!$F$15,$M59-$A$15,AP$13)=0,10^12,OFFSET(CRONOPLE!$F$15,$M59-$A$15,AP$13)))</f>
        <v>4</v>
      </c>
      <c r="AQ59" s="171">
        <f ca="1">IF(OR($D59&lt;&gt;"Serviço",AND(AUTOEVENTO="Manual",$M59=$A$15)),0,
         IF(OFFSET(CRONOPLE!$F$15,$M59-$A$15,AQ$13)=0,10^12,OFFSET(CRONOPLE!$F$15,$M59-$A$15,AQ$13)))</f>
        <v>5</v>
      </c>
      <c r="AR59" s="171">
        <f ca="1">IF(OR($D59&lt;&gt;"Serviço",AND(AUTOEVENTO="Manual",$M59=$A$15)),0,
         IF(OFFSET(CRONOPLE!$F$15,$M59-$A$15,AR$13)=0,10^12,OFFSET(CRONOPLE!$F$15,$M59-$A$15,AR$13)))</f>
        <v>1</v>
      </c>
      <c r="AS59" s="171">
        <f ca="1">IF(OR($D59&lt;&gt;"Serviço",AND(AUTOEVENTO="Manual",$M59=$A$15)),0,
         IF(OFFSET(CRONOPLE!$F$15,$M59-$A$15,AS$13)=0,10^12,OFFSET(CRONOPLE!$F$15,$M59-$A$15,AS$13)))</f>
        <v>2</v>
      </c>
      <c r="AT59" s="171">
        <f ca="1">IF(OR($D59&lt;&gt;"Serviço",AND(AUTOEVENTO="Manual",$M59=$A$15)),0,
         IF(OFFSET(CRONOPLE!$F$15,$M59-$A$15,AT$13)=0,10^12,OFFSET(CRONOPLE!$F$15,$M59-$A$15,AT$13)))</f>
        <v>3</v>
      </c>
      <c r="AU59" s="171">
        <f ca="1">IF(OR($D59&lt;&gt;"Serviço",AND(AUTOEVENTO="Manual",$M59=$A$15)),0,
         IF(OFFSET(CRONOPLE!$F$15,$M59-$A$15,AU$13)=0,10^12,OFFSET(CRONOPLE!$F$15,$M59-$A$15,AU$13)))</f>
        <v>4</v>
      </c>
      <c r="AV59" s="171">
        <f ca="1">IF(OR($D59&lt;&gt;"Serviço",AND(AUTOEVENTO="Manual",$M59=$A$15)),0,
         IF(OFFSET(CRONOPLE!$F$15,$M59-$A$15,AV$13)=0,10^12,OFFSET(CRONOPLE!$F$15,$M59-$A$15,AV$13)))</f>
        <v>5</v>
      </c>
      <c r="AX59" s="172" cm="1">
        <f t="array" aca="1" ref="AX59" ca="1">IF(OR($D59&lt;&gt;"Serviço",AND(AUTOEVENTO="Manual",$M59=$A$15),$M59&gt;(ROW(PLE.lastrow)-ROW(PLE.firstrow))),0,
           IF(OFFSET(PLE!$G$15,$M59-$A$15,AX$13)="",10^12,OFFSET(PLE!$G$15,$M59-$A$15,AX$13)))</f>
        <v>1000000000000</v>
      </c>
      <c r="AY59" s="172" cm="1">
        <f t="array" aca="1" ref="AY59" ca="1">IF(OR($D59&lt;&gt;"Serviço",AND(AUTOEVENTO="Manual",$M59=$A$15),$M59&gt;(ROW(PLE.lastrow)-ROW(PLE.firstrow))),0,
           IF(OFFSET(PLE!$G$15,$M59-$A$15,AY$13)="",10^12,OFFSET(PLE!$G$15,$M59-$A$15,AY$13)))</f>
        <v>1000000000000</v>
      </c>
      <c r="AZ59" s="172" cm="1">
        <f t="array" aca="1" ref="AZ59" ca="1">IF(OR($D59&lt;&gt;"Serviço",AND(AUTOEVENTO="Manual",$M59=$A$15),$M59&gt;(ROW(PLE.lastrow)-ROW(PLE.firstrow))),0,
           IF(OFFSET(PLE!$G$15,$M59-$A$15,AZ$13)="",10^12,OFFSET(PLE!$G$15,$M59-$A$15,AZ$13)))</f>
        <v>1000000000000</v>
      </c>
      <c r="BA59" s="172" cm="1">
        <f t="array" aca="1" ref="BA59" ca="1">IF(OR($D59&lt;&gt;"Serviço",AND(AUTOEVENTO="Manual",$M59=$A$15),$M59&gt;(ROW(PLE.lastrow)-ROW(PLE.firstrow))),0,
           IF(OFFSET(PLE!$G$15,$M59-$A$15,BA$13)="",10^12,OFFSET(PLE!$G$15,$M59-$A$15,BA$13)))</f>
        <v>1000000000000</v>
      </c>
      <c r="BB59" s="172" cm="1">
        <f t="array" aca="1" ref="BB59" ca="1">IF(OR($D59&lt;&gt;"Serviço",AND(AUTOEVENTO="Manual",$M59=$A$15),$M59&gt;(ROW(PLE.lastrow)-ROW(PLE.firstrow))),0,
           IF(OFFSET(PLE!$G$15,$M59-$A$15,BB$13)="",10^12,OFFSET(PLE!$G$15,$M59-$A$15,BB$13)))</f>
        <v>1000000000000</v>
      </c>
      <c r="BC59" s="172" cm="1">
        <f t="array" aca="1" ref="BC59" ca="1">IF(OR($D59&lt;&gt;"Serviço",AND(AUTOEVENTO="Manual",$M59=$A$15),$M59&gt;(ROW(PLE.lastrow)-ROW(PLE.firstrow))),0,
           IF(OFFSET(PLE!$G$15,$M59-$A$15,BC$13)="",10^12,OFFSET(PLE!$G$15,$M59-$A$15,BC$13)))</f>
        <v>1000000000000</v>
      </c>
      <c r="BD59" s="172" cm="1">
        <f t="array" aca="1" ref="BD59" ca="1">IF(OR($D59&lt;&gt;"Serviço",AND(AUTOEVENTO="Manual",$M59=$A$15),$M59&gt;(ROW(PLE.lastrow)-ROW(PLE.firstrow))),0,
           IF(OFFSET(PLE!$G$15,$M59-$A$15,BD$13)="",10^12,OFFSET(PLE!$G$15,$M59-$A$15,BD$13)))</f>
        <v>1000000000000</v>
      </c>
      <c r="BE59" s="172" cm="1">
        <f t="array" aca="1" ref="BE59" ca="1">IF(OR($D59&lt;&gt;"Serviço",AND(AUTOEVENTO="Manual",$M59=$A$15),$M59&gt;(ROW(PLE.lastrow)-ROW(PLE.firstrow))),0,
           IF(OFFSET(PLE!$G$15,$M59-$A$15,BE$13)="",10^12,OFFSET(PLE!$G$15,$M59-$A$15,BE$13)))</f>
        <v>1000000000000</v>
      </c>
      <c r="BF59" s="172" cm="1">
        <f t="array" aca="1" ref="BF59" ca="1">IF(OR($D59&lt;&gt;"Serviço",AND(AUTOEVENTO="Manual",$M59=$A$15),$M59&gt;(ROW(PLE.lastrow)-ROW(PLE.firstrow))),0,
           IF(OFFSET(PLE!$G$15,$M59-$A$15,BF$13)="",10^12,OFFSET(PLE!$G$15,$M59-$A$15,BF$13)))</f>
        <v>1000000000000</v>
      </c>
      <c r="BG59" s="172" cm="1">
        <f t="array" aca="1" ref="BG59" ca="1">IF(OR($D59&lt;&gt;"Serviço",AND(AUTOEVENTO="Manual",$M59=$A$15),$M59&gt;(ROW(PLE.lastrow)-ROW(PLE.firstrow))),0,
           IF(OFFSET(PLE!$G$15,$M59-$A$15,BG$13)="",10^12,OFFSET(PLE!$G$15,$M59-$A$15,BG$13)))</f>
        <v>1000000000000</v>
      </c>
    </row>
    <row r="60" spans="1:59" ht="51" x14ac:dyDescent="0.2">
      <c r="A60" s="7">
        <f t="shared" ca="1" si="10"/>
        <v>2</v>
      </c>
      <c r="B60" s="7" t="str">
        <f ca="1">OFFSET(ORÇAMENTO!C$15,$L60,0)</f>
        <v>S</v>
      </c>
      <c r="C60" s="7" t="str">
        <f ca="1">OFFSET(ORÇAMENTO!L$15,$L60,0)</f>
        <v>F</v>
      </c>
      <c r="D60" s="116" t="str">
        <f ca="1">OFFSET(ORÇAMENTO!N$15,$L60,0)</f>
        <v>Serviço</v>
      </c>
      <c r="E60" s="117" t="str">
        <f ca="1">OFFSET(ORÇAMENTO!O$15,$L60,0)</f>
        <v>1.2.4.5.</v>
      </c>
      <c r="F60" s="163" t="str">
        <f ca="1">OFFSET(ORÇAMENTO!R$15,$L60,0)</f>
        <v>(Código não identificado nas referências)</v>
      </c>
      <c r="G60" s="164" t="str">
        <f ca="1">IF($D60&lt;&gt;"Serviço","",OFFSET(ORÇAMENTO!S$15,$L60,0))</f>
        <v>UN</v>
      </c>
      <c r="H60" s="122" cm="1">
        <f t="array" aca="1" ref="H60" ca="1">IF($D60&lt;&gt;"Serviço",0,IF(ACOMPANHAMENTO="BM",ROUND(OFFSET(ORÇAMENTO!AJ$15,$L60,0),15-13*ORÇAMENTO!$AF$7),IF(IFERROR(CÁLCULO.FrentesPreenchidas,0)=0,0,SUM(ROUND(OFFSET($P60,0,1,1,CÁLCULO.FrentesPreenchidas),15-13*ORÇAMENTO!$AF$7)))))</f>
        <v>1</v>
      </c>
      <c r="I60" s="468" t="s">
        <v>1042</v>
      </c>
      <c r="J60" s="651" t="str" cm="1">
        <f t="array" aca="1" ref="J60" ca="1">IF(OR(B60&lt;&gt;"S",CÁLCULO.FrentesPreenchidas=0),"",IF(AND(ACOMPANHAMENTO="PLE",AUTOEVENTO="Manual",OR(H60&gt;0,ORÇAMENTO!AC60="QUANT."),OR(K60="",M60=0,N60="")),"►E",IF(AND(ACOMPANHAMENTO="PLE",ORÇAMENTO!AC60="QUANT."),"►Q",IF(AND(ACOMPANHAMENTO="PLE",H60&lt;&gt;SUMPRODUCT(($Q$1:$AA$1=1)*ROUND(Q60:AA60,15))),"►S",IF(AND(COUNTIF($P$11:$AA$11,"▼")=0,H60&gt;0,I60=""),"◄M","")))))</f>
        <v/>
      </c>
      <c r="K60" s="652" t="s">
        <v>1079</v>
      </c>
      <c r="L60" s="165">
        <f t="shared" ca="1" si="11"/>
        <v>45</v>
      </c>
      <c r="M60" s="166">
        <f ca="1">IF($D60&lt;&gt;"Serviço","",
          IF(AUTOEVENTO="manual",$A60,
                IF(ISERROR(MATCH($A60,$A$15:OFFSET($A60,-1,0),0)),MAX($M$15:OFFSET(M60,-1,0))+1,
                      INDEX($M$15:OFFSET(M60,-1,0),MATCH($A60,$A$15:OFFSET($A60,-1,0),0)))))</f>
        <v>2</v>
      </c>
      <c r="N60" s="167" t="str">
        <f ca="1">IF($D60&lt;&gt;"Serviço","",
         IF(AUTOEVENTO="Manual",
                IF($A60=0,"&lt;-- defina o número do agrupador",
                       OFFSET(EVENTOS!$D$15,$A60-$A$15,0)),
                OFFSET($F$15,$A60,0)))</f>
        <v>SERVIÇOS PRELIMINARES</v>
      </c>
      <c r="O60" s="168"/>
      <c r="Q60" s="168">
        <v>0.5</v>
      </c>
      <c r="R60" s="169">
        <v>0.5</v>
      </c>
      <c r="S60" s="169"/>
      <c r="T60" s="169"/>
      <c r="U60" s="169"/>
      <c r="V60" s="169"/>
      <c r="W60" s="169"/>
      <c r="X60" s="169"/>
      <c r="Y60" s="169"/>
      <c r="Z60" s="170"/>
      <c r="AB60" s="453">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19507.490000000002</v>
      </c>
      <c r="AC60" s="453">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19507.490000000002</v>
      </c>
      <c r="AD60" s="453">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3">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3">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3">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3">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3">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1">
        <f ca="1">IF(OR($D60&lt;&gt;"Serviço",AND(AUTOEVENTO="Manual",$M60=$A$15)),0,
         IF(OFFSET(CRONOPLE!$F$15,$M60-$A$15,AM$13)=0,10^12,OFFSET(CRONOPLE!$F$15,$M60-$A$15,AM$13)))</f>
        <v>1</v>
      </c>
      <c r="AN60" s="171">
        <f ca="1">IF(OR($D60&lt;&gt;"Serviço",AND(AUTOEVENTO="Manual",$M60=$A$15)),0,
         IF(OFFSET(CRONOPLE!$F$15,$M60-$A$15,AN$13)=0,10^12,OFFSET(CRONOPLE!$F$15,$M60-$A$15,AN$13)))</f>
        <v>2</v>
      </c>
      <c r="AO60" s="171">
        <f ca="1">IF(OR($D60&lt;&gt;"Serviço",AND(AUTOEVENTO="Manual",$M60=$A$15)),0,
         IF(OFFSET(CRONOPLE!$F$15,$M60-$A$15,AO$13)=0,10^12,OFFSET(CRONOPLE!$F$15,$M60-$A$15,AO$13)))</f>
        <v>3</v>
      </c>
      <c r="AP60" s="171">
        <f ca="1">IF(OR($D60&lt;&gt;"Serviço",AND(AUTOEVENTO="Manual",$M60=$A$15)),0,
         IF(OFFSET(CRONOPLE!$F$15,$M60-$A$15,AP$13)=0,10^12,OFFSET(CRONOPLE!$F$15,$M60-$A$15,AP$13)))</f>
        <v>4</v>
      </c>
      <c r="AQ60" s="171">
        <f ca="1">IF(OR($D60&lt;&gt;"Serviço",AND(AUTOEVENTO="Manual",$M60=$A$15)),0,
         IF(OFFSET(CRONOPLE!$F$15,$M60-$A$15,AQ$13)=0,10^12,OFFSET(CRONOPLE!$F$15,$M60-$A$15,AQ$13)))</f>
        <v>5</v>
      </c>
      <c r="AR60" s="171">
        <f ca="1">IF(OR($D60&lt;&gt;"Serviço",AND(AUTOEVENTO="Manual",$M60=$A$15)),0,
         IF(OFFSET(CRONOPLE!$F$15,$M60-$A$15,AR$13)=0,10^12,OFFSET(CRONOPLE!$F$15,$M60-$A$15,AR$13)))</f>
        <v>1</v>
      </c>
      <c r="AS60" s="171">
        <f ca="1">IF(OR($D60&lt;&gt;"Serviço",AND(AUTOEVENTO="Manual",$M60=$A$15)),0,
         IF(OFFSET(CRONOPLE!$F$15,$M60-$A$15,AS$13)=0,10^12,OFFSET(CRONOPLE!$F$15,$M60-$A$15,AS$13)))</f>
        <v>2</v>
      </c>
      <c r="AT60" s="171">
        <f ca="1">IF(OR($D60&lt;&gt;"Serviço",AND(AUTOEVENTO="Manual",$M60=$A$15)),0,
         IF(OFFSET(CRONOPLE!$F$15,$M60-$A$15,AT$13)=0,10^12,OFFSET(CRONOPLE!$F$15,$M60-$A$15,AT$13)))</f>
        <v>3</v>
      </c>
      <c r="AU60" s="171">
        <f ca="1">IF(OR($D60&lt;&gt;"Serviço",AND(AUTOEVENTO="Manual",$M60=$A$15)),0,
         IF(OFFSET(CRONOPLE!$F$15,$M60-$A$15,AU$13)=0,10^12,OFFSET(CRONOPLE!$F$15,$M60-$A$15,AU$13)))</f>
        <v>4</v>
      </c>
      <c r="AV60" s="171">
        <f ca="1">IF(OR($D60&lt;&gt;"Serviço",AND(AUTOEVENTO="Manual",$M60=$A$15)),0,
         IF(OFFSET(CRONOPLE!$F$15,$M60-$A$15,AV$13)=0,10^12,OFFSET(CRONOPLE!$F$15,$M60-$A$15,AV$13)))</f>
        <v>5</v>
      </c>
      <c r="AX60" s="172" cm="1">
        <f t="array" aca="1" ref="AX60" ca="1">IF(OR($D60&lt;&gt;"Serviço",AND(AUTOEVENTO="Manual",$M60=$A$15),$M60&gt;(ROW(PLE.lastrow)-ROW(PLE.firstrow))),0,
           IF(OFFSET(PLE!$G$15,$M60-$A$15,AX$13)="",10^12,OFFSET(PLE!$G$15,$M60-$A$15,AX$13)))</f>
        <v>1000000000000</v>
      </c>
      <c r="AY60" s="172" cm="1">
        <f t="array" aca="1" ref="AY60" ca="1">IF(OR($D60&lt;&gt;"Serviço",AND(AUTOEVENTO="Manual",$M60=$A$15),$M60&gt;(ROW(PLE.lastrow)-ROW(PLE.firstrow))),0,
           IF(OFFSET(PLE!$G$15,$M60-$A$15,AY$13)="",10^12,OFFSET(PLE!$G$15,$M60-$A$15,AY$13)))</f>
        <v>1000000000000</v>
      </c>
      <c r="AZ60" s="172" cm="1">
        <f t="array" aca="1" ref="AZ60" ca="1">IF(OR($D60&lt;&gt;"Serviço",AND(AUTOEVENTO="Manual",$M60=$A$15),$M60&gt;(ROW(PLE.lastrow)-ROW(PLE.firstrow))),0,
           IF(OFFSET(PLE!$G$15,$M60-$A$15,AZ$13)="",10^12,OFFSET(PLE!$G$15,$M60-$A$15,AZ$13)))</f>
        <v>1000000000000</v>
      </c>
      <c r="BA60" s="172" cm="1">
        <f t="array" aca="1" ref="BA60" ca="1">IF(OR($D60&lt;&gt;"Serviço",AND(AUTOEVENTO="Manual",$M60=$A$15),$M60&gt;(ROW(PLE.lastrow)-ROW(PLE.firstrow))),0,
           IF(OFFSET(PLE!$G$15,$M60-$A$15,BA$13)="",10^12,OFFSET(PLE!$G$15,$M60-$A$15,BA$13)))</f>
        <v>1000000000000</v>
      </c>
      <c r="BB60" s="172" cm="1">
        <f t="array" aca="1" ref="BB60" ca="1">IF(OR($D60&lt;&gt;"Serviço",AND(AUTOEVENTO="Manual",$M60=$A$15),$M60&gt;(ROW(PLE.lastrow)-ROW(PLE.firstrow))),0,
           IF(OFFSET(PLE!$G$15,$M60-$A$15,BB$13)="",10^12,OFFSET(PLE!$G$15,$M60-$A$15,BB$13)))</f>
        <v>1000000000000</v>
      </c>
      <c r="BC60" s="172" cm="1">
        <f t="array" aca="1" ref="BC60" ca="1">IF(OR($D60&lt;&gt;"Serviço",AND(AUTOEVENTO="Manual",$M60=$A$15),$M60&gt;(ROW(PLE.lastrow)-ROW(PLE.firstrow))),0,
           IF(OFFSET(PLE!$G$15,$M60-$A$15,BC$13)="",10^12,OFFSET(PLE!$G$15,$M60-$A$15,BC$13)))</f>
        <v>1000000000000</v>
      </c>
      <c r="BD60" s="172" cm="1">
        <f t="array" aca="1" ref="BD60" ca="1">IF(OR($D60&lt;&gt;"Serviço",AND(AUTOEVENTO="Manual",$M60=$A$15),$M60&gt;(ROW(PLE.lastrow)-ROW(PLE.firstrow))),0,
           IF(OFFSET(PLE!$G$15,$M60-$A$15,BD$13)="",10^12,OFFSET(PLE!$G$15,$M60-$A$15,BD$13)))</f>
        <v>1000000000000</v>
      </c>
      <c r="BE60" s="172" cm="1">
        <f t="array" aca="1" ref="BE60" ca="1">IF(OR($D60&lt;&gt;"Serviço",AND(AUTOEVENTO="Manual",$M60=$A$15),$M60&gt;(ROW(PLE.lastrow)-ROW(PLE.firstrow))),0,
           IF(OFFSET(PLE!$G$15,$M60-$A$15,BE$13)="",10^12,OFFSET(PLE!$G$15,$M60-$A$15,BE$13)))</f>
        <v>1000000000000</v>
      </c>
      <c r="BF60" s="172" cm="1">
        <f t="array" aca="1" ref="BF60" ca="1">IF(OR($D60&lt;&gt;"Serviço",AND(AUTOEVENTO="Manual",$M60=$A$15),$M60&gt;(ROW(PLE.lastrow)-ROW(PLE.firstrow))),0,
           IF(OFFSET(PLE!$G$15,$M60-$A$15,BF$13)="",10^12,OFFSET(PLE!$G$15,$M60-$A$15,BF$13)))</f>
        <v>1000000000000</v>
      </c>
      <c r="BG60" s="172" cm="1">
        <f t="array" aca="1" ref="BG60" ca="1">IF(OR($D60&lt;&gt;"Serviço",AND(AUTOEVENTO="Manual",$M60=$A$15),$M60&gt;(ROW(PLE.lastrow)-ROW(PLE.firstrow))),0,
           IF(OFFSET(PLE!$G$15,$M60-$A$15,BG$13)="",10^12,OFFSET(PLE!$G$15,$M60-$A$15,BG$13)))</f>
        <v>1000000000000</v>
      </c>
    </row>
    <row r="61" spans="1:59" ht="12.75" x14ac:dyDescent="0.2">
      <c r="A61" s="7">
        <f t="shared" ca="1" si="8"/>
        <v>3</v>
      </c>
      <c r="B61" s="7">
        <f ca="1">OFFSET(ORÇAMENTO!C$15,$L61,0)</f>
        <v>2</v>
      </c>
      <c r="C61" s="7" t="str">
        <f ca="1">OFFSET(ORÇAMENTO!L$15,$L61,0)</f>
        <v>F</v>
      </c>
      <c r="D61" s="116" t="str">
        <f ca="1">OFFSET(ORÇAMENTO!N$15,$L61,0)</f>
        <v>Nível 2</v>
      </c>
      <c r="E61" s="117" t="str">
        <f ca="1">OFFSET(ORÇAMENTO!O$15,$L61,0)</f>
        <v>1.3.</v>
      </c>
      <c r="F61" s="163" t="str">
        <f ca="1">OFFSET(ORÇAMENTO!R$15,$L61,0)</f>
        <v>ADM LOCAL</v>
      </c>
      <c r="G61" s="164" t="str">
        <f ca="1">IF($D61&lt;&gt;"Serviço","",OFFSET(ORÇAMENTO!S$15,$L61,0))</f>
        <v/>
      </c>
      <c r="H61" s="122" cm="1">
        <f t="array" aca="1" ref="H61" ca="1">IF($D61&lt;&gt;"Serviço",0,IF(ACOMPANHAMENTO="BM",ROUND(OFFSET(ORÇAMENTO!AJ$15,$L61,0),15-13*ORÇAMENTO!$AF$7),IF(IFERROR(CÁLCULO.FrentesPreenchidas,0)=0,0,SUM(ROUND(OFFSET($P61,0,1,1,CÁLCULO.FrentesPreenchidas),15-13*ORÇAMENTO!$AF$7)))))</f>
        <v>0</v>
      </c>
      <c r="I61" s="468"/>
      <c r="J61" s="651" t="str" cm="1">
        <f t="array" aca="1" ref="J61" ca="1">IF(OR(B61&lt;&gt;"S",CÁLCULO.FrentesPreenchidas=0),"",IF(AND(ACOMPANHAMENTO="PLE",AUTOEVENTO="Manual",OR(H61&gt;0,ORÇAMENTO!AC61="QUANT."),OR(K61="",M61=0,N61="")),"►E",IF(AND(ACOMPANHAMENTO="PLE",ORÇAMENTO!AC61="QUANT."),"►Q",IF(AND(ACOMPANHAMENTO="PLE",H61&lt;&gt;SUMPRODUCT(($Q$1:$AA$1=1)*ROUND(Q61:AA61,15))),"►S",IF(AND(COUNTIF($P$11:$AA$11,"▼")=0,H61&gt;0,I61=""),"◄M","")))))</f>
        <v/>
      </c>
      <c r="K61" s="652" t="s">
        <v>1017</v>
      </c>
      <c r="L61" s="165">
        <f t="shared" ca="1" si="9"/>
        <v>46</v>
      </c>
      <c r="M61" s="166" t="str">
        <f ca="1">IF($D61&lt;&gt;"Serviço","",
          IF(AUTOEVENTO="manual",$A61,
                IF(ISERROR(MATCH($A61,$A$15:OFFSET($A61,-1,0),0)),MAX($M$15:OFFSET(M61,-1,0))+1,
                      INDEX($M$15:OFFSET(M61,-1,0),MATCH($A61,$A$15:OFFSET($A61,-1,0),0)))))</f>
        <v/>
      </c>
      <c r="N61" s="167" t="str">
        <f ca="1">IF($D61&lt;&gt;"Serviço","",
         IF(AUTOEVENTO="Manual",
                IF($A61=0,"&lt;-- defina o número do agrupador",
                       OFFSET(EVENTOS!$D$15,$A61-$A$15,0)),
                OFFSET($F$15,$A61,0)))</f>
        <v/>
      </c>
      <c r="O61" s="168"/>
      <c r="Q61" s="168"/>
      <c r="R61" s="169"/>
      <c r="S61" s="169"/>
      <c r="T61" s="169"/>
      <c r="U61" s="169"/>
      <c r="V61" s="169"/>
      <c r="W61" s="169"/>
      <c r="X61" s="169"/>
      <c r="Y61" s="169"/>
      <c r="Z61" s="170"/>
      <c r="AB61" s="453">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3">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3">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3">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3">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3">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3">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3">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1">
        <f ca="1">IF(OR($D61&lt;&gt;"Serviço",AND(AUTOEVENTO="Manual",$M61=$A$15)),0,
         IF(OFFSET(CRONOPLE!$F$15,$M61-$A$15,AM$13)=0,10^12,OFFSET(CRONOPLE!$F$15,$M61-$A$15,AM$13)))</f>
        <v>0</v>
      </c>
      <c r="AN61" s="171">
        <f ca="1">IF(OR($D61&lt;&gt;"Serviço",AND(AUTOEVENTO="Manual",$M61=$A$15)),0,
         IF(OFFSET(CRONOPLE!$F$15,$M61-$A$15,AN$13)=0,10^12,OFFSET(CRONOPLE!$F$15,$M61-$A$15,AN$13)))</f>
        <v>0</v>
      </c>
      <c r="AO61" s="171">
        <f ca="1">IF(OR($D61&lt;&gt;"Serviço",AND(AUTOEVENTO="Manual",$M61=$A$15)),0,
         IF(OFFSET(CRONOPLE!$F$15,$M61-$A$15,AO$13)=0,10^12,OFFSET(CRONOPLE!$F$15,$M61-$A$15,AO$13)))</f>
        <v>0</v>
      </c>
      <c r="AP61" s="171">
        <f ca="1">IF(OR($D61&lt;&gt;"Serviço",AND(AUTOEVENTO="Manual",$M61=$A$15)),0,
         IF(OFFSET(CRONOPLE!$F$15,$M61-$A$15,AP$13)=0,10^12,OFFSET(CRONOPLE!$F$15,$M61-$A$15,AP$13)))</f>
        <v>0</v>
      </c>
      <c r="AQ61" s="171">
        <f ca="1">IF(OR($D61&lt;&gt;"Serviço",AND(AUTOEVENTO="Manual",$M61=$A$15)),0,
         IF(OFFSET(CRONOPLE!$F$15,$M61-$A$15,AQ$13)=0,10^12,OFFSET(CRONOPLE!$F$15,$M61-$A$15,AQ$13)))</f>
        <v>0</v>
      </c>
      <c r="AR61" s="171">
        <f ca="1">IF(OR($D61&lt;&gt;"Serviço",AND(AUTOEVENTO="Manual",$M61=$A$15)),0,
         IF(OFFSET(CRONOPLE!$F$15,$M61-$A$15,AR$13)=0,10^12,OFFSET(CRONOPLE!$F$15,$M61-$A$15,AR$13)))</f>
        <v>0</v>
      </c>
      <c r="AS61" s="171">
        <f ca="1">IF(OR($D61&lt;&gt;"Serviço",AND(AUTOEVENTO="Manual",$M61=$A$15)),0,
         IF(OFFSET(CRONOPLE!$F$15,$M61-$A$15,AS$13)=0,10^12,OFFSET(CRONOPLE!$F$15,$M61-$A$15,AS$13)))</f>
        <v>0</v>
      </c>
      <c r="AT61" s="171">
        <f ca="1">IF(OR($D61&lt;&gt;"Serviço",AND(AUTOEVENTO="Manual",$M61=$A$15)),0,
         IF(OFFSET(CRONOPLE!$F$15,$M61-$A$15,AT$13)=0,10^12,OFFSET(CRONOPLE!$F$15,$M61-$A$15,AT$13)))</f>
        <v>0</v>
      </c>
      <c r="AU61" s="171">
        <f ca="1">IF(OR($D61&lt;&gt;"Serviço",AND(AUTOEVENTO="Manual",$M61=$A$15)),0,
         IF(OFFSET(CRONOPLE!$F$15,$M61-$A$15,AU$13)=0,10^12,OFFSET(CRONOPLE!$F$15,$M61-$A$15,AU$13)))</f>
        <v>0</v>
      </c>
      <c r="AV61" s="171">
        <f ca="1">IF(OR($D61&lt;&gt;"Serviço",AND(AUTOEVENTO="Manual",$M61=$A$15)),0,
         IF(OFFSET(CRONOPLE!$F$15,$M61-$A$15,AV$13)=0,10^12,OFFSET(CRONOPLE!$F$15,$M61-$A$15,AV$13)))</f>
        <v>0</v>
      </c>
      <c r="AX61" s="172" cm="1">
        <f t="array" aca="1" ref="AX61" ca="1">IF(OR($D61&lt;&gt;"Serviço",AND(AUTOEVENTO="Manual",$M61=$A$15),$M61&gt;(ROW(PLE.lastrow)-ROW(PLE.firstrow))),0,
           IF(OFFSET(PLE!$G$15,$M61-$A$15,AX$13)="",10^12,OFFSET(PLE!$G$15,$M61-$A$15,AX$13)))</f>
        <v>0</v>
      </c>
      <c r="AY61" s="172" cm="1">
        <f t="array" aca="1" ref="AY61" ca="1">IF(OR($D61&lt;&gt;"Serviço",AND(AUTOEVENTO="Manual",$M61=$A$15),$M61&gt;(ROW(PLE.lastrow)-ROW(PLE.firstrow))),0,
           IF(OFFSET(PLE!$G$15,$M61-$A$15,AY$13)="",10^12,OFFSET(PLE!$G$15,$M61-$A$15,AY$13)))</f>
        <v>0</v>
      </c>
      <c r="AZ61" s="172" cm="1">
        <f t="array" aca="1" ref="AZ61" ca="1">IF(OR($D61&lt;&gt;"Serviço",AND(AUTOEVENTO="Manual",$M61=$A$15),$M61&gt;(ROW(PLE.lastrow)-ROW(PLE.firstrow))),0,
           IF(OFFSET(PLE!$G$15,$M61-$A$15,AZ$13)="",10^12,OFFSET(PLE!$G$15,$M61-$A$15,AZ$13)))</f>
        <v>0</v>
      </c>
      <c r="BA61" s="172" cm="1">
        <f t="array" aca="1" ref="BA61" ca="1">IF(OR($D61&lt;&gt;"Serviço",AND(AUTOEVENTO="Manual",$M61=$A$15),$M61&gt;(ROW(PLE.lastrow)-ROW(PLE.firstrow))),0,
           IF(OFFSET(PLE!$G$15,$M61-$A$15,BA$13)="",10^12,OFFSET(PLE!$G$15,$M61-$A$15,BA$13)))</f>
        <v>0</v>
      </c>
      <c r="BB61" s="172" cm="1">
        <f t="array" aca="1" ref="BB61" ca="1">IF(OR($D61&lt;&gt;"Serviço",AND(AUTOEVENTO="Manual",$M61=$A$15),$M61&gt;(ROW(PLE.lastrow)-ROW(PLE.firstrow))),0,
           IF(OFFSET(PLE!$G$15,$M61-$A$15,BB$13)="",10^12,OFFSET(PLE!$G$15,$M61-$A$15,BB$13)))</f>
        <v>0</v>
      </c>
      <c r="BC61" s="172" cm="1">
        <f t="array" aca="1" ref="BC61" ca="1">IF(OR($D61&lt;&gt;"Serviço",AND(AUTOEVENTO="Manual",$M61=$A$15),$M61&gt;(ROW(PLE.lastrow)-ROW(PLE.firstrow))),0,
           IF(OFFSET(PLE!$G$15,$M61-$A$15,BC$13)="",10^12,OFFSET(PLE!$G$15,$M61-$A$15,BC$13)))</f>
        <v>0</v>
      </c>
      <c r="BD61" s="172" cm="1">
        <f t="array" aca="1" ref="BD61" ca="1">IF(OR($D61&lt;&gt;"Serviço",AND(AUTOEVENTO="Manual",$M61=$A$15),$M61&gt;(ROW(PLE.lastrow)-ROW(PLE.firstrow))),0,
           IF(OFFSET(PLE!$G$15,$M61-$A$15,BD$13)="",10^12,OFFSET(PLE!$G$15,$M61-$A$15,BD$13)))</f>
        <v>0</v>
      </c>
      <c r="BE61" s="172" cm="1">
        <f t="array" aca="1" ref="BE61" ca="1">IF(OR($D61&lt;&gt;"Serviço",AND(AUTOEVENTO="Manual",$M61=$A$15),$M61&gt;(ROW(PLE.lastrow)-ROW(PLE.firstrow))),0,
           IF(OFFSET(PLE!$G$15,$M61-$A$15,BE$13)="",10^12,OFFSET(PLE!$G$15,$M61-$A$15,BE$13)))</f>
        <v>0</v>
      </c>
      <c r="BF61" s="172" cm="1">
        <f t="array" aca="1" ref="BF61" ca="1">IF(OR($D61&lt;&gt;"Serviço",AND(AUTOEVENTO="Manual",$M61=$A$15),$M61&gt;(ROW(PLE.lastrow)-ROW(PLE.firstrow))),0,
           IF(OFFSET(PLE!$G$15,$M61-$A$15,BF$13)="",10^12,OFFSET(PLE!$G$15,$M61-$A$15,BF$13)))</f>
        <v>0</v>
      </c>
      <c r="BG61" s="172" cm="1">
        <f t="array" aca="1" ref="BG61" ca="1">IF(OR($D61&lt;&gt;"Serviço",AND(AUTOEVENTO="Manual",$M61=$A$15),$M61&gt;(ROW(PLE.lastrow)-ROW(PLE.firstrow))),0,
           IF(OFFSET(PLE!$G$15,$M61-$A$15,BG$13)="",10^12,OFFSET(PLE!$G$15,$M61-$A$15,BG$13)))</f>
        <v>0</v>
      </c>
    </row>
    <row r="62" spans="1:59" ht="12.75" x14ac:dyDescent="0.2">
      <c r="A62" s="7">
        <f ca="1">IFERROR(IF(AUTOEVENTO="Manual",IF(K62&lt;&gt;"",MIN(VALUE(LEFT(K62,FIND(".",K62)-1)),COUNTA(EVENTOS.Lista)),0),IF(OR($B62&gt;AUTOEVENTO,$B62="S",$B62=0),SUBSTITUTE(OFFSET($A62,-1,0),IF($D62="Serviço",".",""),""),$L62&amp;".")),0)</f>
        <v>0</v>
      </c>
      <c r="B62" s="7">
        <f ca="1">OFFSET(ORÇAMENTO!C$15,$L62,0)</f>
        <v>3</v>
      </c>
      <c r="C62" s="7" t="str">
        <f ca="1">OFFSET(ORÇAMENTO!L$15,$L62,0)</f>
        <v>F</v>
      </c>
      <c r="D62" s="116" t="str">
        <f ca="1">OFFSET(ORÇAMENTO!N$15,$L62,0)</f>
        <v>Nível 3</v>
      </c>
      <c r="E62" s="117" t="str">
        <f ca="1">OFFSET(ORÇAMENTO!O$15,$L62,0)</f>
        <v>1.3.1.</v>
      </c>
      <c r="F62" s="163" t="str">
        <f ca="1">OFFSET(ORÇAMENTO!R$15,$L62,0)</f>
        <v>Administração local da obra</v>
      </c>
      <c r="G62" s="164" t="str">
        <f ca="1">IF($D62&lt;&gt;"Serviço","",OFFSET(ORÇAMENTO!S$15,$L62,0))</f>
        <v/>
      </c>
      <c r="H62" s="122" cm="1">
        <f t="array" aca="1" ref="H62" ca="1">IF($D62&lt;&gt;"Serviço",0,IF(ACOMPANHAMENTO="BM",ROUND(OFFSET(ORÇAMENTO!AJ$15,$L62,0),15-13*ORÇAMENTO!$AF$7),IF(IFERROR(CÁLCULO.FrentesPreenchidas,0)=0,0,SUM(ROUND(OFFSET($P62,0,1,1,CÁLCULO.FrentesPreenchidas),15-13*ORÇAMENTO!$AF$7)))))</f>
        <v>0</v>
      </c>
      <c r="I62" s="468"/>
      <c r="J62" s="651" t="str" cm="1">
        <f t="array" aca="1" ref="J62" ca="1">IF(OR(B62&lt;&gt;"S",CÁLCULO.FrentesPreenchidas=0),"",IF(AND(ACOMPANHAMENTO="PLE",AUTOEVENTO="Manual",OR(H62&gt;0,ORÇAMENTO!AC62="QUANT."),OR(K62="",M62=0,N62="")),"►E",IF(AND(ACOMPANHAMENTO="PLE",ORÇAMENTO!AC62="QUANT."),"►Q",IF(AND(ACOMPANHAMENTO="PLE",H62&lt;&gt;SUMPRODUCT(($Q$1:$AA$1=1)*ROUND(Q62:AA62,15))),"►S",IF(AND(COUNTIF($P$11:$AA$11,"▼")=0,H62&gt;0,I62=""),"◄M","")))))</f>
        <v/>
      </c>
      <c r="K62" s="652"/>
      <c r="L62" s="165">
        <f ca="1">OFFSET(L62,-1,0)+1</f>
        <v>47</v>
      </c>
      <c r="M62" s="166" t="str">
        <f ca="1">IF($D62&lt;&gt;"Serviço","",
          IF(AUTOEVENTO="manual",$A62,
                IF(ISERROR(MATCH($A62,$A$15:OFFSET($A62,-1,0),0)),MAX($M$15:OFFSET(M62,-1,0))+1,
                      INDEX($M$15:OFFSET(M62,-1,0),MATCH($A62,$A$15:OFFSET($A62,-1,0),0)))))</f>
        <v/>
      </c>
      <c r="N62" s="167" t="str">
        <f ca="1">IF($D62&lt;&gt;"Serviço","",
         IF(AUTOEVENTO="Manual",
                IF($A62=0,"&lt;-- defina o número do agrupador",
                       OFFSET(EVENTOS!$D$15,$A62-$A$15,0)),
                OFFSET($F$15,$A62,0)))</f>
        <v/>
      </c>
      <c r="O62" s="168"/>
      <c r="Q62" s="168"/>
      <c r="R62" s="169"/>
      <c r="S62" s="169"/>
      <c r="T62" s="169"/>
      <c r="U62" s="169"/>
      <c r="V62" s="169"/>
      <c r="W62" s="169"/>
      <c r="X62" s="169"/>
      <c r="Y62" s="169"/>
      <c r="Z62" s="170"/>
      <c r="AB62" s="453">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3">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3">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3">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3">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3">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3">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3">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1">
        <f ca="1">IF(OR($D62&lt;&gt;"Serviço",AND(AUTOEVENTO="Manual",$M62=$A$15)),0,
         IF(OFFSET(CRONOPLE!$F$15,$M62-$A$15,AM$13)=0,10^12,OFFSET(CRONOPLE!$F$15,$M62-$A$15,AM$13)))</f>
        <v>0</v>
      </c>
      <c r="AN62" s="171">
        <f ca="1">IF(OR($D62&lt;&gt;"Serviço",AND(AUTOEVENTO="Manual",$M62=$A$15)),0,
         IF(OFFSET(CRONOPLE!$F$15,$M62-$A$15,AN$13)=0,10^12,OFFSET(CRONOPLE!$F$15,$M62-$A$15,AN$13)))</f>
        <v>0</v>
      </c>
      <c r="AO62" s="171">
        <f ca="1">IF(OR($D62&lt;&gt;"Serviço",AND(AUTOEVENTO="Manual",$M62=$A$15)),0,
         IF(OFFSET(CRONOPLE!$F$15,$M62-$A$15,AO$13)=0,10^12,OFFSET(CRONOPLE!$F$15,$M62-$A$15,AO$13)))</f>
        <v>0</v>
      </c>
      <c r="AP62" s="171">
        <f ca="1">IF(OR($D62&lt;&gt;"Serviço",AND(AUTOEVENTO="Manual",$M62=$A$15)),0,
         IF(OFFSET(CRONOPLE!$F$15,$M62-$A$15,AP$13)=0,10^12,OFFSET(CRONOPLE!$F$15,$M62-$A$15,AP$13)))</f>
        <v>0</v>
      </c>
      <c r="AQ62" s="171">
        <f ca="1">IF(OR($D62&lt;&gt;"Serviço",AND(AUTOEVENTO="Manual",$M62=$A$15)),0,
         IF(OFFSET(CRONOPLE!$F$15,$M62-$A$15,AQ$13)=0,10^12,OFFSET(CRONOPLE!$F$15,$M62-$A$15,AQ$13)))</f>
        <v>0</v>
      </c>
      <c r="AR62" s="171">
        <f ca="1">IF(OR($D62&lt;&gt;"Serviço",AND(AUTOEVENTO="Manual",$M62=$A$15)),0,
         IF(OFFSET(CRONOPLE!$F$15,$M62-$A$15,AR$13)=0,10^12,OFFSET(CRONOPLE!$F$15,$M62-$A$15,AR$13)))</f>
        <v>0</v>
      </c>
      <c r="AS62" s="171">
        <f ca="1">IF(OR($D62&lt;&gt;"Serviço",AND(AUTOEVENTO="Manual",$M62=$A$15)),0,
         IF(OFFSET(CRONOPLE!$F$15,$M62-$A$15,AS$13)=0,10^12,OFFSET(CRONOPLE!$F$15,$M62-$A$15,AS$13)))</f>
        <v>0</v>
      </c>
      <c r="AT62" s="171">
        <f ca="1">IF(OR($D62&lt;&gt;"Serviço",AND(AUTOEVENTO="Manual",$M62=$A$15)),0,
         IF(OFFSET(CRONOPLE!$F$15,$M62-$A$15,AT$13)=0,10^12,OFFSET(CRONOPLE!$F$15,$M62-$A$15,AT$13)))</f>
        <v>0</v>
      </c>
      <c r="AU62" s="171">
        <f ca="1">IF(OR($D62&lt;&gt;"Serviço",AND(AUTOEVENTO="Manual",$M62=$A$15)),0,
         IF(OFFSET(CRONOPLE!$F$15,$M62-$A$15,AU$13)=0,10^12,OFFSET(CRONOPLE!$F$15,$M62-$A$15,AU$13)))</f>
        <v>0</v>
      </c>
      <c r="AV62" s="171">
        <f ca="1">IF(OR($D62&lt;&gt;"Serviço",AND(AUTOEVENTO="Manual",$M62=$A$15)),0,
         IF(OFFSET(CRONOPLE!$F$15,$M62-$A$15,AV$13)=0,10^12,OFFSET(CRONOPLE!$F$15,$M62-$A$15,AV$13)))</f>
        <v>0</v>
      </c>
      <c r="AX62" s="172" cm="1">
        <f t="array" aca="1" ref="AX62" ca="1">IF(OR($D62&lt;&gt;"Serviço",AND(AUTOEVENTO="Manual",$M62=$A$15),$M62&gt;(ROW(PLE.lastrow)-ROW(PLE.firstrow))),0,
           IF(OFFSET(PLE!$G$15,$M62-$A$15,AX$13)="",10^12,OFFSET(PLE!$G$15,$M62-$A$15,AX$13)))</f>
        <v>0</v>
      </c>
      <c r="AY62" s="172" cm="1">
        <f t="array" aca="1" ref="AY62" ca="1">IF(OR($D62&lt;&gt;"Serviço",AND(AUTOEVENTO="Manual",$M62=$A$15),$M62&gt;(ROW(PLE.lastrow)-ROW(PLE.firstrow))),0,
           IF(OFFSET(PLE!$G$15,$M62-$A$15,AY$13)="",10^12,OFFSET(PLE!$G$15,$M62-$A$15,AY$13)))</f>
        <v>0</v>
      </c>
      <c r="AZ62" s="172" cm="1">
        <f t="array" aca="1" ref="AZ62" ca="1">IF(OR($D62&lt;&gt;"Serviço",AND(AUTOEVENTO="Manual",$M62=$A$15),$M62&gt;(ROW(PLE.lastrow)-ROW(PLE.firstrow))),0,
           IF(OFFSET(PLE!$G$15,$M62-$A$15,AZ$13)="",10^12,OFFSET(PLE!$G$15,$M62-$A$15,AZ$13)))</f>
        <v>0</v>
      </c>
      <c r="BA62" s="172" cm="1">
        <f t="array" aca="1" ref="BA62" ca="1">IF(OR($D62&lt;&gt;"Serviço",AND(AUTOEVENTO="Manual",$M62=$A$15),$M62&gt;(ROW(PLE.lastrow)-ROW(PLE.firstrow))),0,
           IF(OFFSET(PLE!$G$15,$M62-$A$15,BA$13)="",10^12,OFFSET(PLE!$G$15,$M62-$A$15,BA$13)))</f>
        <v>0</v>
      </c>
      <c r="BB62" s="172" cm="1">
        <f t="array" aca="1" ref="BB62" ca="1">IF(OR($D62&lt;&gt;"Serviço",AND(AUTOEVENTO="Manual",$M62=$A$15),$M62&gt;(ROW(PLE.lastrow)-ROW(PLE.firstrow))),0,
           IF(OFFSET(PLE!$G$15,$M62-$A$15,BB$13)="",10^12,OFFSET(PLE!$G$15,$M62-$A$15,BB$13)))</f>
        <v>0</v>
      </c>
      <c r="BC62" s="172" cm="1">
        <f t="array" aca="1" ref="BC62" ca="1">IF(OR($D62&lt;&gt;"Serviço",AND(AUTOEVENTO="Manual",$M62=$A$15),$M62&gt;(ROW(PLE.lastrow)-ROW(PLE.firstrow))),0,
           IF(OFFSET(PLE!$G$15,$M62-$A$15,BC$13)="",10^12,OFFSET(PLE!$G$15,$M62-$A$15,BC$13)))</f>
        <v>0</v>
      </c>
      <c r="BD62" s="172" cm="1">
        <f t="array" aca="1" ref="BD62" ca="1">IF(OR($D62&lt;&gt;"Serviço",AND(AUTOEVENTO="Manual",$M62=$A$15),$M62&gt;(ROW(PLE.lastrow)-ROW(PLE.firstrow))),0,
           IF(OFFSET(PLE!$G$15,$M62-$A$15,BD$13)="",10^12,OFFSET(PLE!$G$15,$M62-$A$15,BD$13)))</f>
        <v>0</v>
      </c>
      <c r="BE62" s="172" cm="1">
        <f t="array" aca="1" ref="BE62" ca="1">IF(OR($D62&lt;&gt;"Serviço",AND(AUTOEVENTO="Manual",$M62=$A$15),$M62&gt;(ROW(PLE.lastrow)-ROW(PLE.firstrow))),0,
           IF(OFFSET(PLE!$G$15,$M62-$A$15,BE$13)="",10^12,OFFSET(PLE!$G$15,$M62-$A$15,BE$13)))</f>
        <v>0</v>
      </c>
      <c r="BF62" s="172" cm="1">
        <f t="array" aca="1" ref="BF62" ca="1">IF(OR($D62&lt;&gt;"Serviço",AND(AUTOEVENTO="Manual",$M62=$A$15),$M62&gt;(ROW(PLE.lastrow)-ROW(PLE.firstrow))),0,
           IF(OFFSET(PLE!$G$15,$M62-$A$15,BF$13)="",10^12,OFFSET(PLE!$G$15,$M62-$A$15,BF$13)))</f>
        <v>0</v>
      </c>
      <c r="BG62" s="172" cm="1">
        <f t="array" aca="1" ref="BG62" ca="1">IF(OR($D62&lt;&gt;"Serviço",AND(AUTOEVENTO="Manual",$M62=$A$15),$M62&gt;(ROW(PLE.lastrow)-ROW(PLE.firstrow))),0,
           IF(OFFSET(PLE!$G$15,$M62-$A$15,BG$13)="",10^12,OFFSET(PLE!$G$15,$M62-$A$15,BG$13)))</f>
        <v>0</v>
      </c>
    </row>
    <row r="63" spans="1:59" ht="25.5" x14ac:dyDescent="0.2">
      <c r="A63" s="7">
        <f t="shared" ca="1" si="8"/>
        <v>3</v>
      </c>
      <c r="B63" s="7" t="str">
        <f ca="1">OFFSET(ORÇAMENTO!C$15,$L63,0)</f>
        <v>S</v>
      </c>
      <c r="C63" s="7" t="str">
        <f ca="1">OFFSET(ORÇAMENTO!L$15,$L63,0)</f>
        <v>F</v>
      </c>
      <c r="D63" s="116" t="str">
        <f ca="1">OFFSET(ORÇAMENTO!N$15,$L63,0)</f>
        <v>Serviço</v>
      </c>
      <c r="E63" s="117" t="str">
        <f ca="1">OFFSET(ORÇAMENTO!O$15,$L63,0)</f>
        <v>1.3.1.1.</v>
      </c>
      <c r="F63" s="163" t="str">
        <f ca="1">OFFSET(ORÇAMENTO!R$15,$L63,0)</f>
        <v>(Código não identificado nas referências)</v>
      </c>
      <c r="G63" s="164" t="str">
        <f ca="1">IF($D63&lt;&gt;"Serviço","",OFFSET(ORÇAMENTO!S$15,$L63,0))</f>
        <v>-</v>
      </c>
      <c r="H63" s="122" cm="1">
        <f t="array" aca="1" ref="H63" ca="1">IF($D63&lt;&gt;"Serviço",0,IF(ACOMPANHAMENTO="BM",ROUND(OFFSET(ORÇAMENTO!AJ$15,$L63,0),15-13*ORÇAMENTO!$AF$7),IF(IFERROR(CÁLCULO.FrentesPreenchidas,0)=0,0,SUM(ROUND(OFFSET($P63,0,1,1,CÁLCULO.FrentesPreenchidas),15-13*ORÇAMENTO!$AF$7)))))</f>
        <v>215.99999999999997</v>
      </c>
      <c r="I63" s="468" t="s">
        <v>1080</v>
      </c>
      <c r="J63" s="651" t="str" cm="1">
        <f t="array" aca="1" ref="J63" ca="1">IF(OR(B63&lt;&gt;"S",CÁLCULO.FrentesPreenchidas=0),"",IF(AND(ACOMPANHAMENTO="PLE",AUTOEVENTO="Manual",OR(H63&gt;0,ORÇAMENTO!AC63="QUANT."),OR(K63="",M63=0,N63="")),"►E",IF(AND(ACOMPANHAMENTO="PLE",ORÇAMENTO!AC63="QUANT."),"►Q",IF(AND(ACOMPANHAMENTO="PLE",H63&lt;&gt;SUMPRODUCT(($Q$1:$AA$1=1)*ROUND(Q63:AA63,15))),"►S",IF(AND(COUNTIF($P$11:$AA$11,"▼")=0,H63&gt;0,I63=""),"◄M","")))))</f>
        <v/>
      </c>
      <c r="K63" s="652" t="s">
        <v>1081</v>
      </c>
      <c r="L63" s="165">
        <f t="shared" ca="1" si="9"/>
        <v>48</v>
      </c>
      <c r="M63" s="166">
        <f ca="1">IF($D63&lt;&gt;"Serviço","",
          IF(AUTOEVENTO="manual",$A63,
                IF(ISERROR(MATCH($A63,$A$15:OFFSET($A63,-1,0),0)),MAX($M$15:OFFSET(M63,-1,0))+1,
                      INDEX($M$15:OFFSET(M63,-1,0),MATCH($A63,$A$15:OFFSET($A63,-1,0),0)))))</f>
        <v>3</v>
      </c>
      <c r="N63" s="167" t="str">
        <f ca="1">IF($D63&lt;&gt;"Serviço","",
         IF(AUTOEVENTO="Manual",
                IF($A63=0,"&lt;-- defina o número do agrupador",
                       OFFSET(EVENTOS!$D$15,$A63-$A$15,0)),
                OFFSET($F$15,$A63,0)))</f>
        <v>ADM LOCAL</v>
      </c>
      <c r="O63" s="168"/>
      <c r="Q63" s="168">
        <v>0.75</v>
      </c>
      <c r="R63" s="169">
        <v>5.01</v>
      </c>
      <c r="S63" s="169">
        <v>8.36</v>
      </c>
      <c r="T63" s="169">
        <v>10.39</v>
      </c>
      <c r="U63" s="169">
        <v>11.4</v>
      </c>
      <c r="V63" s="169">
        <v>9.3699999999999992</v>
      </c>
      <c r="W63" s="169">
        <v>6.59</v>
      </c>
      <c r="X63" s="169">
        <v>8.16</v>
      </c>
      <c r="Y63" s="169">
        <v>10.52</v>
      </c>
      <c r="Z63" s="170">
        <v>145.44999999999999</v>
      </c>
      <c r="AB63" s="453">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158.46</v>
      </c>
      <c r="AC63" s="453">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1058.51</v>
      </c>
      <c r="AD63" s="453">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1766.3</v>
      </c>
      <c r="AE63" s="453">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2195.1999999999998</v>
      </c>
      <c r="AF63" s="453">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2408.59</v>
      </c>
      <c r="AG63" s="453">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1979.69</v>
      </c>
      <c r="AH63" s="453">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1392.34</v>
      </c>
      <c r="AI63" s="453">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1724.04</v>
      </c>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2222.67</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30730.68</v>
      </c>
      <c r="AM63" s="171">
        <f ca="1">IF(OR($D63&lt;&gt;"Serviço",AND(AUTOEVENTO="Manual",$M63=$A$15)),0,
         IF(OFFSET(CRONOPLE!$F$15,$M63-$A$15,AM$13)=0,10^12,OFFSET(CRONOPLE!$F$15,$M63-$A$15,AM$13)))</f>
        <v>1</v>
      </c>
      <c r="AN63" s="171">
        <f ca="1">IF(OR($D63&lt;&gt;"Serviço",AND(AUTOEVENTO="Manual",$M63=$A$15)),0,
         IF(OFFSET(CRONOPLE!$F$15,$M63-$A$15,AN$13)=0,10^12,OFFSET(CRONOPLE!$F$15,$M63-$A$15,AN$13)))</f>
        <v>2</v>
      </c>
      <c r="AO63" s="171">
        <f ca="1">IF(OR($D63&lt;&gt;"Serviço",AND(AUTOEVENTO="Manual",$M63=$A$15)),0,
         IF(OFFSET(CRONOPLE!$F$15,$M63-$A$15,AO$13)=0,10^12,OFFSET(CRONOPLE!$F$15,$M63-$A$15,AO$13)))</f>
        <v>3</v>
      </c>
      <c r="AP63" s="171">
        <f ca="1">IF(OR($D63&lt;&gt;"Serviço",AND(AUTOEVENTO="Manual",$M63=$A$15)),0,
         IF(OFFSET(CRONOPLE!$F$15,$M63-$A$15,AP$13)=0,10^12,OFFSET(CRONOPLE!$F$15,$M63-$A$15,AP$13)))</f>
        <v>4</v>
      </c>
      <c r="AQ63" s="171">
        <f ca="1">IF(OR($D63&lt;&gt;"Serviço",AND(AUTOEVENTO="Manual",$M63=$A$15)),0,
         IF(OFFSET(CRONOPLE!$F$15,$M63-$A$15,AQ$13)=0,10^12,OFFSET(CRONOPLE!$F$15,$M63-$A$15,AQ$13)))</f>
        <v>5</v>
      </c>
      <c r="AR63" s="171">
        <f ca="1">IF(OR($D63&lt;&gt;"Serviço",AND(AUTOEVENTO="Manual",$M63=$A$15)),0,
         IF(OFFSET(CRONOPLE!$F$15,$M63-$A$15,AR$13)=0,10^12,OFFSET(CRONOPLE!$F$15,$M63-$A$15,AR$13)))</f>
        <v>6</v>
      </c>
      <c r="AS63" s="171">
        <f ca="1">IF(OR($D63&lt;&gt;"Serviço",AND(AUTOEVENTO="Manual",$M63=$A$15)),0,
         IF(OFFSET(CRONOPLE!$F$15,$M63-$A$15,AS$13)=0,10^12,OFFSET(CRONOPLE!$F$15,$M63-$A$15,AS$13)))</f>
        <v>7</v>
      </c>
      <c r="AT63" s="171">
        <f ca="1">IF(OR($D63&lt;&gt;"Serviço",AND(AUTOEVENTO="Manual",$M63=$A$15)),0,
         IF(OFFSET(CRONOPLE!$F$15,$M63-$A$15,AT$13)=0,10^12,OFFSET(CRONOPLE!$F$15,$M63-$A$15,AT$13)))</f>
        <v>8</v>
      </c>
      <c r="AU63" s="171">
        <f ca="1">IF(OR($D63&lt;&gt;"Serviço",AND(AUTOEVENTO="Manual",$M63=$A$15)),0,
         IF(OFFSET(CRONOPLE!$F$15,$M63-$A$15,AU$13)=0,10^12,OFFSET(CRONOPLE!$F$15,$M63-$A$15,AU$13)))</f>
        <v>9</v>
      </c>
      <c r="AV63" s="171">
        <f ca="1">IF(OR($D63&lt;&gt;"Serviço",AND(AUTOEVENTO="Manual",$M63=$A$15)),0,
         IF(OFFSET(CRONOPLE!$F$15,$M63-$A$15,AV$13)=0,10^12,OFFSET(CRONOPLE!$F$15,$M63-$A$15,AV$13)))</f>
        <v>10</v>
      </c>
      <c r="AX63" s="172" cm="1">
        <f t="array" aca="1" ref="AX63" ca="1">IF(OR($D63&lt;&gt;"Serviço",AND(AUTOEVENTO="Manual",$M63=$A$15),$M63&gt;(ROW(PLE.lastrow)-ROW(PLE.firstrow))),0,
           IF(OFFSET(PLE!$G$15,$M63-$A$15,AX$13)="",10^12,OFFSET(PLE!$G$15,$M63-$A$15,AX$13)))</f>
        <v>1000000000000</v>
      </c>
      <c r="AY63" s="172" cm="1">
        <f t="array" aca="1" ref="AY63" ca="1">IF(OR($D63&lt;&gt;"Serviço",AND(AUTOEVENTO="Manual",$M63=$A$15),$M63&gt;(ROW(PLE.lastrow)-ROW(PLE.firstrow))),0,
           IF(OFFSET(PLE!$G$15,$M63-$A$15,AY$13)="",10^12,OFFSET(PLE!$G$15,$M63-$A$15,AY$13)))</f>
        <v>1000000000000</v>
      </c>
      <c r="AZ63" s="172" cm="1">
        <f t="array" aca="1" ref="AZ63" ca="1">IF(OR($D63&lt;&gt;"Serviço",AND(AUTOEVENTO="Manual",$M63=$A$15),$M63&gt;(ROW(PLE.lastrow)-ROW(PLE.firstrow))),0,
           IF(OFFSET(PLE!$G$15,$M63-$A$15,AZ$13)="",10^12,OFFSET(PLE!$G$15,$M63-$A$15,AZ$13)))</f>
        <v>1000000000000</v>
      </c>
      <c r="BA63" s="172" cm="1">
        <f t="array" aca="1" ref="BA63" ca="1">IF(OR($D63&lt;&gt;"Serviço",AND(AUTOEVENTO="Manual",$M63=$A$15),$M63&gt;(ROW(PLE.lastrow)-ROW(PLE.firstrow))),0,
           IF(OFFSET(PLE!$G$15,$M63-$A$15,BA$13)="",10^12,OFFSET(PLE!$G$15,$M63-$A$15,BA$13)))</f>
        <v>1000000000000</v>
      </c>
      <c r="BB63" s="172" cm="1">
        <f t="array" aca="1" ref="BB63" ca="1">IF(OR($D63&lt;&gt;"Serviço",AND(AUTOEVENTO="Manual",$M63=$A$15),$M63&gt;(ROW(PLE.lastrow)-ROW(PLE.firstrow))),0,
           IF(OFFSET(PLE!$G$15,$M63-$A$15,BB$13)="",10^12,OFFSET(PLE!$G$15,$M63-$A$15,BB$13)))</f>
        <v>1000000000000</v>
      </c>
      <c r="BC63" s="172" cm="1">
        <f t="array" aca="1" ref="BC63" ca="1">IF(OR($D63&lt;&gt;"Serviço",AND(AUTOEVENTO="Manual",$M63=$A$15),$M63&gt;(ROW(PLE.lastrow)-ROW(PLE.firstrow))),0,
           IF(OFFSET(PLE!$G$15,$M63-$A$15,BC$13)="",10^12,OFFSET(PLE!$G$15,$M63-$A$15,BC$13)))</f>
        <v>1000000000000</v>
      </c>
      <c r="BD63" s="172" cm="1">
        <f t="array" aca="1" ref="BD63" ca="1">IF(OR($D63&lt;&gt;"Serviço",AND(AUTOEVENTO="Manual",$M63=$A$15),$M63&gt;(ROW(PLE.lastrow)-ROW(PLE.firstrow))),0,
           IF(OFFSET(PLE!$G$15,$M63-$A$15,BD$13)="",10^12,OFFSET(PLE!$G$15,$M63-$A$15,BD$13)))</f>
        <v>1000000000000</v>
      </c>
      <c r="BE63" s="172" cm="1">
        <f t="array" aca="1" ref="BE63" ca="1">IF(OR($D63&lt;&gt;"Serviço",AND(AUTOEVENTO="Manual",$M63=$A$15),$M63&gt;(ROW(PLE.lastrow)-ROW(PLE.firstrow))),0,
           IF(OFFSET(PLE!$G$15,$M63-$A$15,BE$13)="",10^12,OFFSET(PLE!$G$15,$M63-$A$15,BE$13)))</f>
        <v>1000000000000</v>
      </c>
      <c r="BF63" s="172" cm="1">
        <f t="array" aca="1" ref="BF63" ca="1">IF(OR($D63&lt;&gt;"Serviço",AND(AUTOEVENTO="Manual",$M63=$A$15),$M63&gt;(ROW(PLE.lastrow)-ROW(PLE.firstrow))),0,
           IF(OFFSET(PLE!$G$15,$M63-$A$15,BF$13)="",10^12,OFFSET(PLE!$G$15,$M63-$A$15,BF$13)))</f>
        <v>1000000000000</v>
      </c>
      <c r="BG63" s="172" cm="1">
        <f t="array" aca="1" ref="BG63" ca="1">IF(OR($D63&lt;&gt;"Serviço",AND(AUTOEVENTO="Manual",$M63=$A$15),$M63&gt;(ROW(PLE.lastrow)-ROW(PLE.firstrow))),0,
           IF(OFFSET(PLE!$G$15,$M63-$A$15,BG$13)="",10^12,OFFSET(PLE!$G$15,$M63-$A$15,BG$13)))</f>
        <v>1000000000000</v>
      </c>
    </row>
    <row r="64" spans="1:59" ht="12.75" x14ac:dyDescent="0.2">
      <c r="A64" s="7">
        <f t="shared" ca="1" si="8"/>
        <v>3</v>
      </c>
      <c r="B64" s="7" t="str">
        <f ca="1">OFFSET(ORÇAMENTO!C$15,$L64,0)</f>
        <v>S</v>
      </c>
      <c r="C64" s="7" t="str">
        <f ca="1">OFFSET(ORÇAMENTO!L$15,$L64,0)</f>
        <v>F</v>
      </c>
      <c r="D64" s="116" t="str">
        <f ca="1">OFFSET(ORÇAMENTO!N$15,$L64,0)</f>
        <v>Serviço</v>
      </c>
      <c r="E64" s="117" t="str">
        <f ca="1">OFFSET(ORÇAMENTO!O$15,$L64,0)</f>
        <v>1.3.1.2.</v>
      </c>
      <c r="F64" s="163" t="str">
        <f ca="1">OFFSET(ORÇAMENTO!R$15,$L64,0)</f>
        <v>(Código não identificado nas referências)</v>
      </c>
      <c r="G64" s="164" t="str">
        <f ca="1">IF($D64&lt;&gt;"Serviço","",OFFSET(ORÇAMENTO!S$15,$L64,0))</f>
        <v>-</v>
      </c>
      <c r="H64" s="122" cm="1">
        <f t="array" aca="1" ref="H64" ca="1">IF($D64&lt;&gt;"Serviço",0,IF(ACOMPANHAMENTO="BM",ROUND(OFFSET(ORÇAMENTO!AJ$15,$L64,0),15-13*ORÇAMENTO!$AF$7),IF(IFERROR(CÁLCULO.FrentesPreenchidas,0)=0,0,SUM(ROUND(OFFSET($P64,0,1,1,CÁLCULO.FrentesPreenchidas),15-13*ORÇAMENTO!$AF$7)))))</f>
        <v>10</v>
      </c>
      <c r="I64" s="468" t="s">
        <v>1082</v>
      </c>
      <c r="J64" s="651" t="str" cm="1">
        <f t="array" aca="1" ref="J64" ca="1">IF(OR(B64&lt;&gt;"S",CÁLCULO.FrentesPreenchidas=0),"",IF(AND(ACOMPANHAMENTO="PLE",AUTOEVENTO="Manual",OR(H64&gt;0,ORÇAMENTO!AC64="QUANT."),OR(K64="",M64=0,N64="")),"►E",IF(AND(ACOMPANHAMENTO="PLE",ORÇAMENTO!AC64="QUANT."),"►Q",IF(AND(ACOMPANHAMENTO="PLE",H64&lt;&gt;SUMPRODUCT(($Q$1:$AA$1=1)*ROUND(Q64:AA64,15))),"►S",IF(AND(COUNTIF($P$11:$AA$11,"▼")=0,H64&gt;0,I64=""),"◄M","")))))</f>
        <v/>
      </c>
      <c r="K64" s="652" t="s">
        <v>1081</v>
      </c>
      <c r="L64" s="165">
        <f t="shared" ca="1" si="9"/>
        <v>49</v>
      </c>
      <c r="M64" s="166">
        <f ca="1">IF($D64&lt;&gt;"Serviço","",
          IF(AUTOEVENTO="manual",$A64,
                IF(ISERROR(MATCH($A64,$A$15:OFFSET($A64,-1,0),0)),MAX($M$15:OFFSET(M64,-1,0))+1,
                      INDEX($M$15:OFFSET(M64,-1,0),MATCH($A64,$A$15:OFFSET($A64,-1,0),0)))))</f>
        <v>3</v>
      </c>
      <c r="N64" s="167" t="str">
        <f ca="1">IF($D64&lt;&gt;"Serviço","",
         IF(AUTOEVENTO="Manual",
                IF($A64=0,"&lt;-- defina o número do agrupador",
                       OFFSET(EVENTOS!$D$15,$A64-$A$15,0)),
                OFFSET($F$15,$A64,0)))</f>
        <v>ADM LOCAL</v>
      </c>
      <c r="O64" s="168"/>
      <c r="Q64" s="168">
        <v>0.03</v>
      </c>
      <c r="R64" s="169">
        <v>0.23</v>
      </c>
      <c r="S64" s="169">
        <v>0.39</v>
      </c>
      <c r="T64" s="169">
        <v>0.48</v>
      </c>
      <c r="U64" s="169">
        <v>0.53</v>
      </c>
      <c r="V64" s="169">
        <v>0.43</v>
      </c>
      <c r="W64" s="169">
        <v>0.31</v>
      </c>
      <c r="X64" s="169">
        <v>0.38</v>
      </c>
      <c r="Y64" s="169">
        <v>0.49</v>
      </c>
      <c r="Z64" s="170">
        <v>6.73</v>
      </c>
      <c r="AB64" s="453">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255.04</v>
      </c>
      <c r="AC64" s="453">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1955.27</v>
      </c>
      <c r="AD64" s="453">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3315.46</v>
      </c>
      <c r="AE64" s="453">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4080.57</v>
      </c>
      <c r="AF64" s="453">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4505.63</v>
      </c>
      <c r="AG64" s="453">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3655.51</v>
      </c>
      <c r="AH64" s="453">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2635.37</v>
      </c>
      <c r="AI64" s="453">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3230.45</v>
      </c>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4165.58</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57213.01</v>
      </c>
      <c r="AM64" s="171">
        <f ca="1">IF(OR($D64&lt;&gt;"Serviço",AND(AUTOEVENTO="Manual",$M64=$A$15)),0,
         IF(OFFSET(CRONOPLE!$F$15,$M64-$A$15,AM$13)=0,10^12,OFFSET(CRONOPLE!$F$15,$M64-$A$15,AM$13)))</f>
        <v>1</v>
      </c>
      <c r="AN64" s="171">
        <f ca="1">IF(OR($D64&lt;&gt;"Serviço",AND(AUTOEVENTO="Manual",$M64=$A$15)),0,
         IF(OFFSET(CRONOPLE!$F$15,$M64-$A$15,AN$13)=0,10^12,OFFSET(CRONOPLE!$F$15,$M64-$A$15,AN$13)))</f>
        <v>2</v>
      </c>
      <c r="AO64" s="171">
        <f ca="1">IF(OR($D64&lt;&gt;"Serviço",AND(AUTOEVENTO="Manual",$M64=$A$15)),0,
         IF(OFFSET(CRONOPLE!$F$15,$M64-$A$15,AO$13)=0,10^12,OFFSET(CRONOPLE!$F$15,$M64-$A$15,AO$13)))</f>
        <v>3</v>
      </c>
      <c r="AP64" s="171">
        <f ca="1">IF(OR($D64&lt;&gt;"Serviço",AND(AUTOEVENTO="Manual",$M64=$A$15)),0,
         IF(OFFSET(CRONOPLE!$F$15,$M64-$A$15,AP$13)=0,10^12,OFFSET(CRONOPLE!$F$15,$M64-$A$15,AP$13)))</f>
        <v>4</v>
      </c>
      <c r="AQ64" s="171">
        <f ca="1">IF(OR($D64&lt;&gt;"Serviço",AND(AUTOEVENTO="Manual",$M64=$A$15)),0,
         IF(OFFSET(CRONOPLE!$F$15,$M64-$A$15,AQ$13)=0,10^12,OFFSET(CRONOPLE!$F$15,$M64-$A$15,AQ$13)))</f>
        <v>5</v>
      </c>
      <c r="AR64" s="171">
        <f ca="1">IF(OR($D64&lt;&gt;"Serviço",AND(AUTOEVENTO="Manual",$M64=$A$15)),0,
         IF(OFFSET(CRONOPLE!$F$15,$M64-$A$15,AR$13)=0,10^12,OFFSET(CRONOPLE!$F$15,$M64-$A$15,AR$13)))</f>
        <v>6</v>
      </c>
      <c r="AS64" s="171">
        <f ca="1">IF(OR($D64&lt;&gt;"Serviço",AND(AUTOEVENTO="Manual",$M64=$A$15)),0,
         IF(OFFSET(CRONOPLE!$F$15,$M64-$A$15,AS$13)=0,10^12,OFFSET(CRONOPLE!$F$15,$M64-$A$15,AS$13)))</f>
        <v>7</v>
      </c>
      <c r="AT64" s="171">
        <f ca="1">IF(OR($D64&lt;&gt;"Serviço",AND(AUTOEVENTO="Manual",$M64=$A$15)),0,
         IF(OFFSET(CRONOPLE!$F$15,$M64-$A$15,AT$13)=0,10^12,OFFSET(CRONOPLE!$F$15,$M64-$A$15,AT$13)))</f>
        <v>8</v>
      </c>
      <c r="AU64" s="171">
        <f ca="1">IF(OR($D64&lt;&gt;"Serviço",AND(AUTOEVENTO="Manual",$M64=$A$15)),0,
         IF(OFFSET(CRONOPLE!$F$15,$M64-$A$15,AU$13)=0,10^12,OFFSET(CRONOPLE!$F$15,$M64-$A$15,AU$13)))</f>
        <v>9</v>
      </c>
      <c r="AV64" s="171">
        <f ca="1">IF(OR($D64&lt;&gt;"Serviço",AND(AUTOEVENTO="Manual",$M64=$A$15)),0,
         IF(OFFSET(CRONOPLE!$F$15,$M64-$A$15,AV$13)=0,10^12,OFFSET(CRONOPLE!$F$15,$M64-$A$15,AV$13)))</f>
        <v>10</v>
      </c>
      <c r="AX64" s="172" cm="1">
        <f t="array" aca="1" ref="AX64" ca="1">IF(OR($D64&lt;&gt;"Serviço",AND(AUTOEVENTO="Manual",$M64=$A$15),$M64&gt;(ROW(PLE.lastrow)-ROW(PLE.firstrow))),0,
           IF(OFFSET(PLE!$G$15,$M64-$A$15,AX$13)="",10^12,OFFSET(PLE!$G$15,$M64-$A$15,AX$13)))</f>
        <v>1000000000000</v>
      </c>
      <c r="AY64" s="172" cm="1">
        <f t="array" aca="1" ref="AY64" ca="1">IF(OR($D64&lt;&gt;"Serviço",AND(AUTOEVENTO="Manual",$M64=$A$15),$M64&gt;(ROW(PLE.lastrow)-ROW(PLE.firstrow))),0,
           IF(OFFSET(PLE!$G$15,$M64-$A$15,AY$13)="",10^12,OFFSET(PLE!$G$15,$M64-$A$15,AY$13)))</f>
        <v>1000000000000</v>
      </c>
      <c r="AZ64" s="172" cm="1">
        <f t="array" aca="1" ref="AZ64" ca="1">IF(OR($D64&lt;&gt;"Serviço",AND(AUTOEVENTO="Manual",$M64=$A$15),$M64&gt;(ROW(PLE.lastrow)-ROW(PLE.firstrow))),0,
           IF(OFFSET(PLE!$G$15,$M64-$A$15,AZ$13)="",10^12,OFFSET(PLE!$G$15,$M64-$A$15,AZ$13)))</f>
        <v>1000000000000</v>
      </c>
      <c r="BA64" s="172" cm="1">
        <f t="array" aca="1" ref="BA64" ca="1">IF(OR($D64&lt;&gt;"Serviço",AND(AUTOEVENTO="Manual",$M64=$A$15),$M64&gt;(ROW(PLE.lastrow)-ROW(PLE.firstrow))),0,
           IF(OFFSET(PLE!$G$15,$M64-$A$15,BA$13)="",10^12,OFFSET(PLE!$G$15,$M64-$A$15,BA$13)))</f>
        <v>1000000000000</v>
      </c>
      <c r="BB64" s="172" cm="1">
        <f t="array" aca="1" ref="BB64" ca="1">IF(OR($D64&lt;&gt;"Serviço",AND(AUTOEVENTO="Manual",$M64=$A$15),$M64&gt;(ROW(PLE.lastrow)-ROW(PLE.firstrow))),0,
           IF(OFFSET(PLE!$G$15,$M64-$A$15,BB$13)="",10^12,OFFSET(PLE!$G$15,$M64-$A$15,BB$13)))</f>
        <v>1000000000000</v>
      </c>
      <c r="BC64" s="172" cm="1">
        <f t="array" aca="1" ref="BC64" ca="1">IF(OR($D64&lt;&gt;"Serviço",AND(AUTOEVENTO="Manual",$M64=$A$15),$M64&gt;(ROW(PLE.lastrow)-ROW(PLE.firstrow))),0,
           IF(OFFSET(PLE!$G$15,$M64-$A$15,BC$13)="",10^12,OFFSET(PLE!$G$15,$M64-$A$15,BC$13)))</f>
        <v>1000000000000</v>
      </c>
      <c r="BD64" s="172" cm="1">
        <f t="array" aca="1" ref="BD64" ca="1">IF(OR($D64&lt;&gt;"Serviço",AND(AUTOEVENTO="Manual",$M64=$A$15),$M64&gt;(ROW(PLE.lastrow)-ROW(PLE.firstrow))),0,
           IF(OFFSET(PLE!$G$15,$M64-$A$15,BD$13)="",10^12,OFFSET(PLE!$G$15,$M64-$A$15,BD$13)))</f>
        <v>1000000000000</v>
      </c>
      <c r="BE64" s="172" cm="1">
        <f t="array" aca="1" ref="BE64" ca="1">IF(OR($D64&lt;&gt;"Serviço",AND(AUTOEVENTO="Manual",$M64=$A$15),$M64&gt;(ROW(PLE.lastrow)-ROW(PLE.firstrow))),0,
           IF(OFFSET(PLE!$G$15,$M64-$A$15,BE$13)="",10^12,OFFSET(PLE!$G$15,$M64-$A$15,BE$13)))</f>
        <v>1000000000000</v>
      </c>
      <c r="BF64" s="172" cm="1">
        <f t="array" aca="1" ref="BF64" ca="1">IF(OR($D64&lt;&gt;"Serviço",AND(AUTOEVENTO="Manual",$M64=$A$15),$M64&gt;(ROW(PLE.lastrow)-ROW(PLE.firstrow))),0,
           IF(OFFSET(PLE!$G$15,$M64-$A$15,BF$13)="",10^12,OFFSET(PLE!$G$15,$M64-$A$15,BF$13)))</f>
        <v>1000000000000</v>
      </c>
      <c r="BG64" s="172" cm="1">
        <f t="array" aca="1" ref="BG64" ca="1">IF(OR($D64&lt;&gt;"Serviço",AND(AUTOEVENTO="Manual",$M64=$A$15),$M64&gt;(ROW(PLE.lastrow)-ROW(PLE.firstrow))),0,
           IF(OFFSET(PLE!$G$15,$M64-$A$15,BG$13)="",10^12,OFFSET(PLE!$G$15,$M64-$A$15,BG$13)))</f>
        <v>1000000000000</v>
      </c>
    </row>
    <row r="65" spans="1:59" ht="25.5" x14ac:dyDescent="0.2">
      <c r="A65" s="7">
        <f t="shared" ca="1" si="8"/>
        <v>3</v>
      </c>
      <c r="B65" s="7" t="str">
        <f ca="1">OFFSET(ORÇAMENTO!C$15,$L65,0)</f>
        <v>S</v>
      </c>
      <c r="C65" s="7" t="str">
        <f ca="1">OFFSET(ORÇAMENTO!L$15,$L65,0)</f>
        <v>F</v>
      </c>
      <c r="D65" s="116" t="str">
        <f ca="1">OFFSET(ORÇAMENTO!N$15,$L65,0)</f>
        <v>Serviço</v>
      </c>
      <c r="E65" s="117" t="str">
        <f ca="1">OFFSET(ORÇAMENTO!O$15,$L65,0)</f>
        <v>1.3.1.3.</v>
      </c>
      <c r="F65" s="163" t="str">
        <f ca="1">OFFSET(ORÇAMENTO!R$15,$L65,0)</f>
        <v>(Código não identificado nas referências)</v>
      </c>
      <c r="G65" s="164" t="str">
        <f ca="1">IF($D65&lt;&gt;"Serviço","",OFFSET(ORÇAMENTO!S$15,$L65,0))</f>
        <v>-</v>
      </c>
      <c r="H65" s="122" cm="1">
        <f t="array" aca="1" ref="H65" ca="1">IF($D65&lt;&gt;"Serviço",0,IF(ACOMPANHAMENTO="BM",ROUND(OFFSET(ORÇAMENTO!AJ$15,$L65,0),15-13*ORÇAMENTO!$AF$7),IF(IFERROR(CÁLCULO.FrentesPreenchidas,0)=0,0,SUM(ROUND(OFFSET($P65,0,1,1,CÁLCULO.FrentesPreenchidas),15-13*ORÇAMENTO!$AF$7)))))</f>
        <v>2</v>
      </c>
      <c r="I65" s="468" t="s">
        <v>1083</v>
      </c>
      <c r="J65" s="651" t="str" cm="1">
        <f t="array" aca="1" ref="J65" ca="1">IF(OR(B65&lt;&gt;"S",CÁLCULO.FrentesPreenchidas=0),"",IF(AND(ACOMPANHAMENTO="PLE",AUTOEVENTO="Manual",OR(H65&gt;0,ORÇAMENTO!AC65="QUANT."),OR(K65="",M65=0,N65="")),"►E",IF(AND(ACOMPANHAMENTO="PLE",ORÇAMENTO!AC65="QUANT."),"►Q",IF(AND(ACOMPANHAMENTO="PLE",H65&lt;&gt;SUMPRODUCT(($Q$1:$AA$1=1)*ROUND(Q65:AA65,15))),"►S",IF(AND(COUNTIF($P$11:$AA$11,"▼")=0,H65&gt;0,I65=""),"◄M","")))))</f>
        <v/>
      </c>
      <c r="K65" s="652" t="s">
        <v>1081</v>
      </c>
      <c r="L65" s="165">
        <f t="shared" ca="1" si="9"/>
        <v>50</v>
      </c>
      <c r="M65" s="166">
        <f ca="1">IF($D65&lt;&gt;"Serviço","",
          IF(AUTOEVENTO="manual",$A65,
                IF(ISERROR(MATCH($A65,$A$15:OFFSET($A65,-1,0),0)),MAX($M$15:OFFSET(M65,-1,0))+1,
                      INDEX($M$15:OFFSET(M65,-1,0),MATCH($A65,$A$15:OFFSET($A65,-1,0),0)))))</f>
        <v>3</v>
      </c>
      <c r="N65" s="167" t="str">
        <f ca="1">IF($D65&lt;&gt;"Serviço","",
         IF(AUTOEVENTO="Manual",
                IF($A65=0,"&lt;-- defina o número do agrupador",
                       OFFSET(EVENTOS!$D$15,$A65-$A$15,0)),
                OFFSET($F$15,$A65,0)))</f>
        <v>ADM LOCAL</v>
      </c>
      <c r="O65" s="168"/>
      <c r="Q65" s="168">
        <v>0.01</v>
      </c>
      <c r="R65" s="169">
        <v>2.0000000000000004E-2</v>
      </c>
      <c r="S65" s="169">
        <v>0.08</v>
      </c>
      <c r="T65" s="169">
        <v>0.1</v>
      </c>
      <c r="U65" s="169">
        <v>0.11</v>
      </c>
      <c r="V65" s="169">
        <v>0.09</v>
      </c>
      <c r="W65" s="169">
        <v>0.06</v>
      </c>
      <c r="X65" s="169">
        <v>0.08</v>
      </c>
      <c r="Y65" s="169">
        <v>0.1</v>
      </c>
      <c r="Z65" s="170">
        <v>1.35</v>
      </c>
      <c r="AB65" s="453">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288.73</v>
      </c>
      <c r="AC65" s="453">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577.46</v>
      </c>
      <c r="AD65" s="453">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2309.83</v>
      </c>
      <c r="AE65" s="453">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2887.29</v>
      </c>
      <c r="AF65" s="453">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3176.02</v>
      </c>
      <c r="AG65" s="453">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2598.56</v>
      </c>
      <c r="AH65" s="453">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1732.37</v>
      </c>
      <c r="AI65" s="453">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2309.83</v>
      </c>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2887.29</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38978.42</v>
      </c>
      <c r="AM65" s="171">
        <f ca="1">IF(OR($D65&lt;&gt;"Serviço",AND(AUTOEVENTO="Manual",$M65=$A$15)),0,
         IF(OFFSET(CRONOPLE!$F$15,$M65-$A$15,AM$13)=0,10^12,OFFSET(CRONOPLE!$F$15,$M65-$A$15,AM$13)))</f>
        <v>1</v>
      </c>
      <c r="AN65" s="171">
        <f ca="1">IF(OR($D65&lt;&gt;"Serviço",AND(AUTOEVENTO="Manual",$M65=$A$15)),0,
         IF(OFFSET(CRONOPLE!$F$15,$M65-$A$15,AN$13)=0,10^12,OFFSET(CRONOPLE!$F$15,$M65-$A$15,AN$13)))</f>
        <v>2</v>
      </c>
      <c r="AO65" s="171">
        <f ca="1">IF(OR($D65&lt;&gt;"Serviço",AND(AUTOEVENTO="Manual",$M65=$A$15)),0,
         IF(OFFSET(CRONOPLE!$F$15,$M65-$A$15,AO$13)=0,10^12,OFFSET(CRONOPLE!$F$15,$M65-$A$15,AO$13)))</f>
        <v>3</v>
      </c>
      <c r="AP65" s="171">
        <f ca="1">IF(OR($D65&lt;&gt;"Serviço",AND(AUTOEVENTO="Manual",$M65=$A$15)),0,
         IF(OFFSET(CRONOPLE!$F$15,$M65-$A$15,AP$13)=0,10^12,OFFSET(CRONOPLE!$F$15,$M65-$A$15,AP$13)))</f>
        <v>4</v>
      </c>
      <c r="AQ65" s="171">
        <f ca="1">IF(OR($D65&lt;&gt;"Serviço",AND(AUTOEVENTO="Manual",$M65=$A$15)),0,
         IF(OFFSET(CRONOPLE!$F$15,$M65-$A$15,AQ$13)=0,10^12,OFFSET(CRONOPLE!$F$15,$M65-$A$15,AQ$13)))</f>
        <v>5</v>
      </c>
      <c r="AR65" s="171">
        <f ca="1">IF(OR($D65&lt;&gt;"Serviço",AND(AUTOEVENTO="Manual",$M65=$A$15)),0,
         IF(OFFSET(CRONOPLE!$F$15,$M65-$A$15,AR$13)=0,10^12,OFFSET(CRONOPLE!$F$15,$M65-$A$15,AR$13)))</f>
        <v>6</v>
      </c>
      <c r="AS65" s="171">
        <f ca="1">IF(OR($D65&lt;&gt;"Serviço",AND(AUTOEVENTO="Manual",$M65=$A$15)),0,
         IF(OFFSET(CRONOPLE!$F$15,$M65-$A$15,AS$13)=0,10^12,OFFSET(CRONOPLE!$F$15,$M65-$A$15,AS$13)))</f>
        <v>7</v>
      </c>
      <c r="AT65" s="171">
        <f ca="1">IF(OR($D65&lt;&gt;"Serviço",AND(AUTOEVENTO="Manual",$M65=$A$15)),0,
         IF(OFFSET(CRONOPLE!$F$15,$M65-$A$15,AT$13)=0,10^12,OFFSET(CRONOPLE!$F$15,$M65-$A$15,AT$13)))</f>
        <v>8</v>
      </c>
      <c r="AU65" s="171">
        <f ca="1">IF(OR($D65&lt;&gt;"Serviço",AND(AUTOEVENTO="Manual",$M65=$A$15)),0,
         IF(OFFSET(CRONOPLE!$F$15,$M65-$A$15,AU$13)=0,10^12,OFFSET(CRONOPLE!$F$15,$M65-$A$15,AU$13)))</f>
        <v>9</v>
      </c>
      <c r="AV65" s="171">
        <f ca="1">IF(OR($D65&lt;&gt;"Serviço",AND(AUTOEVENTO="Manual",$M65=$A$15)),0,
         IF(OFFSET(CRONOPLE!$F$15,$M65-$A$15,AV$13)=0,10^12,OFFSET(CRONOPLE!$F$15,$M65-$A$15,AV$13)))</f>
        <v>10</v>
      </c>
      <c r="AX65" s="172" cm="1">
        <f t="array" aca="1" ref="AX65" ca="1">IF(OR($D65&lt;&gt;"Serviço",AND(AUTOEVENTO="Manual",$M65=$A$15),$M65&gt;(ROW(PLE.lastrow)-ROW(PLE.firstrow))),0,
           IF(OFFSET(PLE!$G$15,$M65-$A$15,AX$13)="",10^12,OFFSET(PLE!$G$15,$M65-$A$15,AX$13)))</f>
        <v>1000000000000</v>
      </c>
      <c r="AY65" s="172" cm="1">
        <f t="array" aca="1" ref="AY65" ca="1">IF(OR($D65&lt;&gt;"Serviço",AND(AUTOEVENTO="Manual",$M65=$A$15),$M65&gt;(ROW(PLE.lastrow)-ROW(PLE.firstrow))),0,
           IF(OFFSET(PLE!$G$15,$M65-$A$15,AY$13)="",10^12,OFFSET(PLE!$G$15,$M65-$A$15,AY$13)))</f>
        <v>1000000000000</v>
      </c>
      <c r="AZ65" s="172" cm="1">
        <f t="array" aca="1" ref="AZ65" ca="1">IF(OR($D65&lt;&gt;"Serviço",AND(AUTOEVENTO="Manual",$M65=$A$15),$M65&gt;(ROW(PLE.lastrow)-ROW(PLE.firstrow))),0,
           IF(OFFSET(PLE!$G$15,$M65-$A$15,AZ$13)="",10^12,OFFSET(PLE!$G$15,$M65-$A$15,AZ$13)))</f>
        <v>1000000000000</v>
      </c>
      <c r="BA65" s="172" cm="1">
        <f t="array" aca="1" ref="BA65" ca="1">IF(OR($D65&lt;&gt;"Serviço",AND(AUTOEVENTO="Manual",$M65=$A$15),$M65&gt;(ROW(PLE.lastrow)-ROW(PLE.firstrow))),0,
           IF(OFFSET(PLE!$G$15,$M65-$A$15,BA$13)="",10^12,OFFSET(PLE!$G$15,$M65-$A$15,BA$13)))</f>
        <v>1000000000000</v>
      </c>
      <c r="BB65" s="172" cm="1">
        <f t="array" aca="1" ref="BB65" ca="1">IF(OR($D65&lt;&gt;"Serviço",AND(AUTOEVENTO="Manual",$M65=$A$15),$M65&gt;(ROW(PLE.lastrow)-ROW(PLE.firstrow))),0,
           IF(OFFSET(PLE!$G$15,$M65-$A$15,BB$13)="",10^12,OFFSET(PLE!$G$15,$M65-$A$15,BB$13)))</f>
        <v>1000000000000</v>
      </c>
      <c r="BC65" s="172" cm="1">
        <f t="array" aca="1" ref="BC65" ca="1">IF(OR($D65&lt;&gt;"Serviço",AND(AUTOEVENTO="Manual",$M65=$A$15),$M65&gt;(ROW(PLE.lastrow)-ROW(PLE.firstrow))),0,
           IF(OFFSET(PLE!$G$15,$M65-$A$15,BC$13)="",10^12,OFFSET(PLE!$G$15,$M65-$A$15,BC$13)))</f>
        <v>1000000000000</v>
      </c>
      <c r="BD65" s="172" cm="1">
        <f t="array" aca="1" ref="BD65" ca="1">IF(OR($D65&lt;&gt;"Serviço",AND(AUTOEVENTO="Manual",$M65=$A$15),$M65&gt;(ROW(PLE.lastrow)-ROW(PLE.firstrow))),0,
           IF(OFFSET(PLE!$G$15,$M65-$A$15,BD$13)="",10^12,OFFSET(PLE!$G$15,$M65-$A$15,BD$13)))</f>
        <v>1000000000000</v>
      </c>
      <c r="BE65" s="172" cm="1">
        <f t="array" aca="1" ref="BE65" ca="1">IF(OR($D65&lt;&gt;"Serviço",AND(AUTOEVENTO="Manual",$M65=$A$15),$M65&gt;(ROW(PLE.lastrow)-ROW(PLE.firstrow))),0,
           IF(OFFSET(PLE!$G$15,$M65-$A$15,BE$13)="",10^12,OFFSET(PLE!$G$15,$M65-$A$15,BE$13)))</f>
        <v>1000000000000</v>
      </c>
      <c r="BF65" s="172" cm="1">
        <f t="array" aca="1" ref="BF65" ca="1">IF(OR($D65&lt;&gt;"Serviço",AND(AUTOEVENTO="Manual",$M65=$A$15),$M65&gt;(ROW(PLE.lastrow)-ROW(PLE.firstrow))),0,
           IF(OFFSET(PLE!$G$15,$M65-$A$15,BF$13)="",10^12,OFFSET(PLE!$G$15,$M65-$A$15,BF$13)))</f>
        <v>1000000000000</v>
      </c>
      <c r="BG65" s="172" cm="1">
        <f t="array" aca="1" ref="BG65" ca="1">IF(OR($D65&lt;&gt;"Serviço",AND(AUTOEVENTO="Manual",$M65=$A$15),$M65&gt;(ROW(PLE.lastrow)-ROW(PLE.firstrow))),0,
           IF(OFFSET(PLE!$G$15,$M65-$A$15,BG$13)="",10^12,OFFSET(PLE!$G$15,$M65-$A$15,BG$13)))</f>
        <v>1000000000000</v>
      </c>
    </row>
    <row r="66" spans="1:59" ht="12.75" x14ac:dyDescent="0.2">
      <c r="A66" s="7">
        <f t="shared" ca="1" si="8"/>
        <v>0</v>
      </c>
      <c r="B66" s="7">
        <f ca="1">OFFSET(ORÇAMENTO!C$15,$L66,0)</f>
        <v>2</v>
      </c>
      <c r="C66" s="7" t="str">
        <f ca="1">OFFSET(ORÇAMENTO!L$15,$L66,0)</f>
        <v>F</v>
      </c>
      <c r="D66" s="116" t="str">
        <f ca="1">OFFSET(ORÇAMENTO!N$15,$L66,0)</f>
        <v>Nível 2</v>
      </c>
      <c r="E66" s="117" t="str">
        <f ca="1">OFFSET(ORÇAMENTO!O$15,$L66,0)</f>
        <v>1.4.</v>
      </c>
      <c r="F66" s="163" t="str">
        <f ca="1">OFFSET(ORÇAMENTO!R$15,$L66,0)</f>
        <v>PAVIMENTAÇÃO</v>
      </c>
      <c r="G66" s="164" t="str">
        <f ca="1">IF($D66&lt;&gt;"Serviço","",OFFSET(ORÇAMENTO!S$15,$L66,0))</f>
        <v/>
      </c>
      <c r="H66" s="122" cm="1">
        <f t="array" aca="1" ref="H66" ca="1">IF($D66&lt;&gt;"Serviço",0,IF(ACOMPANHAMENTO="BM",ROUND(OFFSET(ORÇAMENTO!AJ$15,$L66,0),15-13*ORÇAMENTO!$AF$7),IF(IFERROR(CÁLCULO.FrentesPreenchidas,0)=0,0,SUM(ROUND(OFFSET($P66,0,1,1,CÁLCULO.FrentesPreenchidas),15-13*ORÇAMENTO!$AF$7)))))</f>
        <v>0</v>
      </c>
      <c r="I66" s="468"/>
      <c r="J66" s="651" t="str" cm="1">
        <f t="array" aca="1" ref="J66" ca="1">IF(OR(B66&lt;&gt;"S",CÁLCULO.FrentesPreenchidas=0),"",IF(AND(ACOMPANHAMENTO="PLE",AUTOEVENTO="Manual",OR(H66&gt;0,ORÇAMENTO!AC66="QUANT."),OR(K66="",M66=0,N66="")),"►E",IF(AND(ACOMPANHAMENTO="PLE",ORÇAMENTO!AC66="QUANT."),"►Q",IF(AND(ACOMPANHAMENTO="PLE",H66&lt;&gt;SUMPRODUCT(($Q$1:$AA$1=1)*ROUND(Q66:AA66,15))),"►S",IF(AND(COUNTIF($P$11:$AA$11,"▼")=0,H66&gt;0,I66=""),"◄M","")))))</f>
        <v/>
      </c>
      <c r="K66" s="652"/>
      <c r="L66" s="165">
        <f t="shared" ca="1" si="9"/>
        <v>51</v>
      </c>
      <c r="M66" s="166" t="str">
        <f ca="1">IF($D66&lt;&gt;"Serviço","",
          IF(AUTOEVENTO="manual",$A66,
                IF(ISERROR(MATCH($A66,$A$15:OFFSET($A66,-1,0),0)),MAX($M$15:OFFSET(M66,-1,0))+1,
                      INDEX($M$15:OFFSET(M66,-1,0),MATCH($A66,$A$15:OFFSET($A66,-1,0),0)))))</f>
        <v/>
      </c>
      <c r="N66" s="167" t="str">
        <f ca="1">IF($D66&lt;&gt;"Serviço","",
         IF(AUTOEVENTO="Manual",
                IF($A66=0,"&lt;-- defina o número do agrupador",
                       OFFSET(EVENTOS!$D$15,$A66-$A$15,0)),
                OFFSET($F$15,$A66,0)))</f>
        <v/>
      </c>
      <c r="O66" s="168"/>
      <c r="Q66" s="168"/>
      <c r="R66" s="169"/>
      <c r="S66" s="169"/>
      <c r="T66" s="169"/>
      <c r="U66" s="169"/>
      <c r="V66" s="169"/>
      <c r="W66" s="169"/>
      <c r="X66" s="169"/>
      <c r="Y66" s="169"/>
      <c r="Z66" s="170"/>
      <c r="AB66" s="453">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3">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3">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3">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3">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3">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3">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3">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1">
        <f ca="1">IF(OR($D66&lt;&gt;"Serviço",AND(AUTOEVENTO="Manual",$M66=$A$15)),0,
         IF(OFFSET(CRONOPLE!$F$15,$M66-$A$15,AM$13)=0,10^12,OFFSET(CRONOPLE!$F$15,$M66-$A$15,AM$13)))</f>
        <v>0</v>
      </c>
      <c r="AN66" s="171">
        <f ca="1">IF(OR($D66&lt;&gt;"Serviço",AND(AUTOEVENTO="Manual",$M66=$A$15)),0,
         IF(OFFSET(CRONOPLE!$F$15,$M66-$A$15,AN$13)=0,10^12,OFFSET(CRONOPLE!$F$15,$M66-$A$15,AN$13)))</f>
        <v>0</v>
      </c>
      <c r="AO66" s="171">
        <f ca="1">IF(OR($D66&lt;&gt;"Serviço",AND(AUTOEVENTO="Manual",$M66=$A$15)),0,
         IF(OFFSET(CRONOPLE!$F$15,$M66-$A$15,AO$13)=0,10^12,OFFSET(CRONOPLE!$F$15,$M66-$A$15,AO$13)))</f>
        <v>0</v>
      </c>
      <c r="AP66" s="171">
        <f ca="1">IF(OR($D66&lt;&gt;"Serviço",AND(AUTOEVENTO="Manual",$M66=$A$15)),0,
         IF(OFFSET(CRONOPLE!$F$15,$M66-$A$15,AP$13)=0,10^12,OFFSET(CRONOPLE!$F$15,$M66-$A$15,AP$13)))</f>
        <v>0</v>
      </c>
      <c r="AQ66" s="171">
        <f ca="1">IF(OR($D66&lt;&gt;"Serviço",AND(AUTOEVENTO="Manual",$M66=$A$15)),0,
         IF(OFFSET(CRONOPLE!$F$15,$M66-$A$15,AQ$13)=0,10^12,OFFSET(CRONOPLE!$F$15,$M66-$A$15,AQ$13)))</f>
        <v>0</v>
      </c>
      <c r="AR66" s="171">
        <f ca="1">IF(OR($D66&lt;&gt;"Serviço",AND(AUTOEVENTO="Manual",$M66=$A$15)),0,
         IF(OFFSET(CRONOPLE!$F$15,$M66-$A$15,AR$13)=0,10^12,OFFSET(CRONOPLE!$F$15,$M66-$A$15,AR$13)))</f>
        <v>0</v>
      </c>
      <c r="AS66" s="171">
        <f ca="1">IF(OR($D66&lt;&gt;"Serviço",AND(AUTOEVENTO="Manual",$M66=$A$15)),0,
         IF(OFFSET(CRONOPLE!$F$15,$M66-$A$15,AS$13)=0,10^12,OFFSET(CRONOPLE!$F$15,$M66-$A$15,AS$13)))</f>
        <v>0</v>
      </c>
      <c r="AT66" s="171">
        <f ca="1">IF(OR($D66&lt;&gt;"Serviço",AND(AUTOEVENTO="Manual",$M66=$A$15)),0,
         IF(OFFSET(CRONOPLE!$F$15,$M66-$A$15,AT$13)=0,10^12,OFFSET(CRONOPLE!$F$15,$M66-$A$15,AT$13)))</f>
        <v>0</v>
      </c>
      <c r="AU66" s="171">
        <f ca="1">IF(OR($D66&lt;&gt;"Serviço",AND(AUTOEVENTO="Manual",$M66=$A$15)),0,
         IF(OFFSET(CRONOPLE!$F$15,$M66-$A$15,AU$13)=0,10^12,OFFSET(CRONOPLE!$F$15,$M66-$A$15,AU$13)))</f>
        <v>0</v>
      </c>
      <c r="AV66" s="171">
        <f ca="1">IF(OR($D66&lt;&gt;"Serviço",AND(AUTOEVENTO="Manual",$M66=$A$15)),0,
         IF(OFFSET(CRONOPLE!$F$15,$M66-$A$15,AV$13)=0,10^12,OFFSET(CRONOPLE!$F$15,$M66-$A$15,AV$13)))</f>
        <v>0</v>
      </c>
      <c r="AX66" s="172" cm="1">
        <f t="array" aca="1" ref="AX66" ca="1">IF(OR($D66&lt;&gt;"Serviço",AND(AUTOEVENTO="Manual",$M66=$A$15),$M66&gt;(ROW(PLE.lastrow)-ROW(PLE.firstrow))),0,
           IF(OFFSET(PLE!$G$15,$M66-$A$15,AX$13)="",10^12,OFFSET(PLE!$G$15,$M66-$A$15,AX$13)))</f>
        <v>0</v>
      </c>
      <c r="AY66" s="172" cm="1">
        <f t="array" aca="1" ref="AY66" ca="1">IF(OR($D66&lt;&gt;"Serviço",AND(AUTOEVENTO="Manual",$M66=$A$15),$M66&gt;(ROW(PLE.lastrow)-ROW(PLE.firstrow))),0,
           IF(OFFSET(PLE!$G$15,$M66-$A$15,AY$13)="",10^12,OFFSET(PLE!$G$15,$M66-$A$15,AY$13)))</f>
        <v>0</v>
      </c>
      <c r="AZ66" s="172" cm="1">
        <f t="array" aca="1" ref="AZ66" ca="1">IF(OR($D66&lt;&gt;"Serviço",AND(AUTOEVENTO="Manual",$M66=$A$15),$M66&gt;(ROW(PLE.lastrow)-ROW(PLE.firstrow))),0,
           IF(OFFSET(PLE!$G$15,$M66-$A$15,AZ$13)="",10^12,OFFSET(PLE!$G$15,$M66-$A$15,AZ$13)))</f>
        <v>0</v>
      </c>
      <c r="BA66" s="172" cm="1">
        <f t="array" aca="1" ref="BA66" ca="1">IF(OR($D66&lt;&gt;"Serviço",AND(AUTOEVENTO="Manual",$M66=$A$15),$M66&gt;(ROW(PLE.lastrow)-ROW(PLE.firstrow))),0,
           IF(OFFSET(PLE!$G$15,$M66-$A$15,BA$13)="",10^12,OFFSET(PLE!$G$15,$M66-$A$15,BA$13)))</f>
        <v>0</v>
      </c>
      <c r="BB66" s="172" cm="1">
        <f t="array" aca="1" ref="BB66" ca="1">IF(OR($D66&lt;&gt;"Serviço",AND(AUTOEVENTO="Manual",$M66=$A$15),$M66&gt;(ROW(PLE.lastrow)-ROW(PLE.firstrow))),0,
           IF(OFFSET(PLE!$G$15,$M66-$A$15,BB$13)="",10^12,OFFSET(PLE!$G$15,$M66-$A$15,BB$13)))</f>
        <v>0</v>
      </c>
      <c r="BC66" s="172" cm="1">
        <f t="array" aca="1" ref="BC66" ca="1">IF(OR($D66&lt;&gt;"Serviço",AND(AUTOEVENTO="Manual",$M66=$A$15),$M66&gt;(ROW(PLE.lastrow)-ROW(PLE.firstrow))),0,
           IF(OFFSET(PLE!$G$15,$M66-$A$15,BC$13)="",10^12,OFFSET(PLE!$G$15,$M66-$A$15,BC$13)))</f>
        <v>0</v>
      </c>
      <c r="BD66" s="172" cm="1">
        <f t="array" aca="1" ref="BD66" ca="1">IF(OR($D66&lt;&gt;"Serviço",AND(AUTOEVENTO="Manual",$M66=$A$15),$M66&gt;(ROW(PLE.lastrow)-ROW(PLE.firstrow))),0,
           IF(OFFSET(PLE!$G$15,$M66-$A$15,BD$13)="",10^12,OFFSET(PLE!$G$15,$M66-$A$15,BD$13)))</f>
        <v>0</v>
      </c>
      <c r="BE66" s="172" cm="1">
        <f t="array" aca="1" ref="BE66" ca="1">IF(OR($D66&lt;&gt;"Serviço",AND(AUTOEVENTO="Manual",$M66=$A$15),$M66&gt;(ROW(PLE.lastrow)-ROW(PLE.firstrow))),0,
           IF(OFFSET(PLE!$G$15,$M66-$A$15,BE$13)="",10^12,OFFSET(PLE!$G$15,$M66-$A$15,BE$13)))</f>
        <v>0</v>
      </c>
      <c r="BF66" s="172" cm="1">
        <f t="array" aca="1" ref="BF66" ca="1">IF(OR($D66&lt;&gt;"Serviço",AND(AUTOEVENTO="Manual",$M66=$A$15),$M66&gt;(ROW(PLE.lastrow)-ROW(PLE.firstrow))),0,
           IF(OFFSET(PLE!$G$15,$M66-$A$15,BF$13)="",10^12,OFFSET(PLE!$G$15,$M66-$A$15,BF$13)))</f>
        <v>0</v>
      </c>
      <c r="BG66" s="172" cm="1">
        <f t="array" aca="1" ref="BG66" ca="1">IF(OR($D66&lt;&gt;"Serviço",AND(AUTOEVENTO="Manual",$M66=$A$15),$M66&gt;(ROW(PLE.lastrow)-ROW(PLE.firstrow))),0,
           IF(OFFSET(PLE!$G$15,$M66-$A$15,BG$13)="",10^12,OFFSET(PLE!$G$15,$M66-$A$15,BG$13)))</f>
        <v>0</v>
      </c>
    </row>
    <row r="67" spans="1:59" ht="38.25" x14ac:dyDescent="0.2">
      <c r="A67" s="7">
        <f t="shared" ca="1" si="8"/>
        <v>4</v>
      </c>
      <c r="B67" s="7" t="str">
        <f ca="1">OFFSET(ORÇAMENTO!C$15,$L67,0)</f>
        <v>S</v>
      </c>
      <c r="C67" s="7" t="str">
        <f ca="1">OFFSET(ORÇAMENTO!L$15,$L67,0)</f>
        <v>F</v>
      </c>
      <c r="D67" s="116" t="str">
        <f ca="1">OFFSET(ORÇAMENTO!N$15,$L67,0)</f>
        <v>Serviço</v>
      </c>
      <c r="E67" s="117" t="str">
        <f ca="1">OFFSET(ORÇAMENTO!O$15,$L67,0)</f>
        <v>1.4.0.1.</v>
      </c>
      <c r="F67" s="163" t="str">
        <f ca="1">OFFSET(ORÇAMENTO!R$15,$L67,0)</f>
        <v>(Código não identificado nas referências)</v>
      </c>
      <c r="G67" s="164" t="str">
        <f ca="1">IF($D67&lt;&gt;"Serviço","",OFFSET(ORÇAMENTO!S$15,$L67,0))</f>
        <v>-</v>
      </c>
      <c r="H67" s="122" cm="1">
        <f t="array" aca="1" ref="H67" ca="1">IF($D67&lt;&gt;"Serviço",0,IF(ACOMPANHAMENTO="BM",ROUND(OFFSET(ORÇAMENTO!AJ$15,$L67,0),15-13*ORÇAMENTO!$AF$7),IF(IFERROR(CÁLCULO.FrentesPreenchidas,0)=0,0,SUM(ROUND(OFFSET($P67,0,1,1,CÁLCULO.FrentesPreenchidas),15-13*ORÇAMENTO!$AF$7)))))</f>
        <v>7617.82</v>
      </c>
      <c r="I67" s="468" t="s">
        <v>1088</v>
      </c>
      <c r="J67" s="651" t="str" cm="1">
        <f t="array" aca="1" ref="J67" ca="1">IF(OR(B67&lt;&gt;"S",CÁLCULO.FrentesPreenchidas=0),"",IF(AND(ACOMPANHAMENTO="PLE",AUTOEVENTO="Manual",OR(H67&gt;0,ORÇAMENTO!AC67="QUANT."),OR(K67="",M67=0,N67="")),"►E",IF(AND(ACOMPANHAMENTO="PLE",ORÇAMENTO!AC67="QUANT."),"►Q",IF(AND(ACOMPANHAMENTO="PLE",H67&lt;&gt;SUMPRODUCT(($Q$1:$AA$1=1)*ROUND(Q67:AA67,15))),"►S",IF(AND(COUNTIF($P$11:$AA$11,"▼")=0,H67&gt;0,I67=""),"◄M","")))))</f>
        <v/>
      </c>
      <c r="K67" s="652" t="s">
        <v>1085</v>
      </c>
      <c r="L67" s="165">
        <f t="shared" ca="1" si="9"/>
        <v>52</v>
      </c>
      <c r="M67" s="166">
        <f ca="1">IF($D67&lt;&gt;"Serviço","",
          IF(AUTOEVENTO="manual",$A67,
                IF(ISERROR(MATCH($A67,$A$15:OFFSET($A67,-1,0),0)),MAX($M$15:OFFSET(M67,-1,0))+1,
                      INDEX($M$15:OFFSET(M67,-1,0),MATCH($A67,$A$15:OFFSET($A67,-1,0),0)))))</f>
        <v>4</v>
      </c>
      <c r="N67" s="167" t="str">
        <f ca="1">IF($D67&lt;&gt;"Serviço","",
         IF(AUTOEVENTO="Manual",
                IF($A67=0,"&lt;-- defina o número do agrupador",
                       OFFSET(EVENTOS!$D$15,$A67-$A$15,0)),
                OFFSET($F$15,$A67,0)))</f>
        <v>PAVIMENTAÇÃO</v>
      </c>
      <c r="O67" s="168"/>
      <c r="Q67" s="168"/>
      <c r="R67" s="169">
        <v>1523.56</v>
      </c>
      <c r="S67" s="169">
        <v>1523.56</v>
      </c>
      <c r="T67" s="169">
        <v>1523.56</v>
      </c>
      <c r="U67" s="169">
        <v>1523.56</v>
      </c>
      <c r="V67" s="169">
        <v>1523.58</v>
      </c>
      <c r="W67" s="169"/>
      <c r="X67" s="169"/>
      <c r="Y67" s="169"/>
      <c r="Z67" s="170"/>
      <c r="AB67" s="453">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3">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3732.72</v>
      </c>
      <c r="AD67" s="453">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3732.72</v>
      </c>
      <c r="AE67" s="453">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3732.72</v>
      </c>
      <c r="AF67" s="453">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3732.72</v>
      </c>
      <c r="AG67" s="453">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3732.77</v>
      </c>
      <c r="AH67" s="453">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3">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1">
        <f ca="1">IF(OR($D67&lt;&gt;"Serviço",AND(AUTOEVENTO="Manual",$M67=$A$15)),0,
         IF(OFFSET(CRONOPLE!$F$15,$M67-$A$15,AM$13)=0,10^12,OFFSET(CRONOPLE!$F$15,$M67-$A$15,AM$13)))</f>
        <v>1000000000000</v>
      </c>
      <c r="AN67" s="171">
        <f ca="1">IF(OR($D67&lt;&gt;"Serviço",AND(AUTOEVENTO="Manual",$M67=$A$15)),0,
         IF(OFFSET(CRONOPLE!$F$15,$M67-$A$15,AN$13)=0,10^12,OFFSET(CRONOPLE!$F$15,$M67-$A$15,AN$13)))</f>
        <v>2</v>
      </c>
      <c r="AO67" s="171">
        <f ca="1">IF(OR($D67&lt;&gt;"Serviço",AND(AUTOEVENTO="Manual",$M67=$A$15)),0,
         IF(OFFSET(CRONOPLE!$F$15,$M67-$A$15,AO$13)=0,10^12,OFFSET(CRONOPLE!$F$15,$M67-$A$15,AO$13)))</f>
        <v>3</v>
      </c>
      <c r="AP67" s="171">
        <f ca="1">IF(OR($D67&lt;&gt;"Serviço",AND(AUTOEVENTO="Manual",$M67=$A$15)),0,
         IF(OFFSET(CRONOPLE!$F$15,$M67-$A$15,AP$13)=0,10^12,OFFSET(CRONOPLE!$F$15,$M67-$A$15,AP$13)))</f>
        <v>4</v>
      </c>
      <c r="AQ67" s="171">
        <f ca="1">IF(OR($D67&lt;&gt;"Serviço",AND(AUTOEVENTO="Manual",$M67=$A$15)),0,
         IF(OFFSET(CRONOPLE!$F$15,$M67-$A$15,AQ$13)=0,10^12,OFFSET(CRONOPLE!$F$15,$M67-$A$15,AQ$13)))</f>
        <v>5</v>
      </c>
      <c r="AR67" s="171">
        <f ca="1">IF(OR($D67&lt;&gt;"Serviço",AND(AUTOEVENTO="Manual",$M67=$A$15)),0,
         IF(OFFSET(CRONOPLE!$F$15,$M67-$A$15,AR$13)=0,10^12,OFFSET(CRONOPLE!$F$15,$M67-$A$15,AR$13)))</f>
        <v>6</v>
      </c>
      <c r="AS67" s="171">
        <f ca="1">IF(OR($D67&lt;&gt;"Serviço",AND(AUTOEVENTO="Manual",$M67=$A$15)),0,
         IF(OFFSET(CRONOPLE!$F$15,$M67-$A$15,AS$13)=0,10^12,OFFSET(CRONOPLE!$F$15,$M67-$A$15,AS$13)))</f>
        <v>7</v>
      </c>
      <c r="AT67" s="171">
        <f ca="1">IF(OR($D67&lt;&gt;"Serviço",AND(AUTOEVENTO="Manual",$M67=$A$15)),0,
         IF(OFFSET(CRONOPLE!$F$15,$M67-$A$15,AT$13)=0,10^12,OFFSET(CRONOPLE!$F$15,$M67-$A$15,AT$13)))</f>
        <v>8</v>
      </c>
      <c r="AU67" s="171">
        <f ca="1">IF(OR($D67&lt;&gt;"Serviço",AND(AUTOEVENTO="Manual",$M67=$A$15)),0,
         IF(OFFSET(CRONOPLE!$F$15,$M67-$A$15,AU$13)=0,10^12,OFFSET(CRONOPLE!$F$15,$M67-$A$15,AU$13)))</f>
        <v>9</v>
      </c>
      <c r="AV67" s="171">
        <f ca="1">IF(OR($D67&lt;&gt;"Serviço",AND(AUTOEVENTO="Manual",$M67=$A$15)),0,
         IF(OFFSET(CRONOPLE!$F$15,$M67-$A$15,AV$13)=0,10^12,OFFSET(CRONOPLE!$F$15,$M67-$A$15,AV$13)))</f>
        <v>10</v>
      </c>
      <c r="AX67" s="172" cm="1">
        <f t="array" aca="1" ref="AX67" ca="1">IF(OR($D67&lt;&gt;"Serviço",AND(AUTOEVENTO="Manual",$M67=$A$15),$M67&gt;(ROW(PLE.lastrow)-ROW(PLE.firstrow))),0,
           IF(OFFSET(PLE!$G$15,$M67-$A$15,AX$13)="",10^12,OFFSET(PLE!$G$15,$M67-$A$15,AX$13)))</f>
        <v>1000000000000</v>
      </c>
      <c r="AY67" s="172" cm="1">
        <f t="array" aca="1" ref="AY67" ca="1">IF(OR($D67&lt;&gt;"Serviço",AND(AUTOEVENTO="Manual",$M67=$A$15),$M67&gt;(ROW(PLE.lastrow)-ROW(PLE.firstrow))),0,
           IF(OFFSET(PLE!$G$15,$M67-$A$15,AY$13)="",10^12,OFFSET(PLE!$G$15,$M67-$A$15,AY$13)))</f>
        <v>1000000000000</v>
      </c>
      <c r="AZ67" s="172" cm="1">
        <f t="array" aca="1" ref="AZ67" ca="1">IF(OR($D67&lt;&gt;"Serviço",AND(AUTOEVENTO="Manual",$M67=$A$15),$M67&gt;(ROW(PLE.lastrow)-ROW(PLE.firstrow))),0,
           IF(OFFSET(PLE!$G$15,$M67-$A$15,AZ$13)="",10^12,OFFSET(PLE!$G$15,$M67-$A$15,AZ$13)))</f>
        <v>1000000000000</v>
      </c>
      <c r="BA67" s="172" cm="1">
        <f t="array" aca="1" ref="BA67" ca="1">IF(OR($D67&lt;&gt;"Serviço",AND(AUTOEVENTO="Manual",$M67=$A$15),$M67&gt;(ROW(PLE.lastrow)-ROW(PLE.firstrow))),0,
           IF(OFFSET(PLE!$G$15,$M67-$A$15,BA$13)="",10^12,OFFSET(PLE!$G$15,$M67-$A$15,BA$13)))</f>
        <v>1000000000000</v>
      </c>
      <c r="BB67" s="172" cm="1">
        <f t="array" aca="1" ref="BB67" ca="1">IF(OR($D67&lt;&gt;"Serviço",AND(AUTOEVENTO="Manual",$M67=$A$15),$M67&gt;(ROW(PLE.lastrow)-ROW(PLE.firstrow))),0,
           IF(OFFSET(PLE!$G$15,$M67-$A$15,BB$13)="",10^12,OFFSET(PLE!$G$15,$M67-$A$15,BB$13)))</f>
        <v>1000000000000</v>
      </c>
      <c r="BC67" s="172" cm="1">
        <f t="array" aca="1" ref="BC67" ca="1">IF(OR($D67&lt;&gt;"Serviço",AND(AUTOEVENTO="Manual",$M67=$A$15),$M67&gt;(ROW(PLE.lastrow)-ROW(PLE.firstrow))),0,
           IF(OFFSET(PLE!$G$15,$M67-$A$15,BC$13)="",10^12,OFFSET(PLE!$G$15,$M67-$A$15,BC$13)))</f>
        <v>1000000000000</v>
      </c>
      <c r="BD67" s="172" cm="1">
        <f t="array" aca="1" ref="BD67" ca="1">IF(OR($D67&lt;&gt;"Serviço",AND(AUTOEVENTO="Manual",$M67=$A$15),$M67&gt;(ROW(PLE.lastrow)-ROW(PLE.firstrow))),0,
           IF(OFFSET(PLE!$G$15,$M67-$A$15,BD$13)="",10^12,OFFSET(PLE!$G$15,$M67-$A$15,BD$13)))</f>
        <v>1000000000000</v>
      </c>
      <c r="BE67" s="172" cm="1">
        <f t="array" aca="1" ref="BE67" ca="1">IF(OR($D67&lt;&gt;"Serviço",AND(AUTOEVENTO="Manual",$M67=$A$15),$M67&gt;(ROW(PLE.lastrow)-ROW(PLE.firstrow))),0,
           IF(OFFSET(PLE!$G$15,$M67-$A$15,BE$13)="",10^12,OFFSET(PLE!$G$15,$M67-$A$15,BE$13)))</f>
        <v>1000000000000</v>
      </c>
      <c r="BF67" s="172" cm="1">
        <f t="array" aca="1" ref="BF67" ca="1">IF(OR($D67&lt;&gt;"Serviço",AND(AUTOEVENTO="Manual",$M67=$A$15),$M67&gt;(ROW(PLE.lastrow)-ROW(PLE.firstrow))),0,
           IF(OFFSET(PLE!$G$15,$M67-$A$15,BF$13)="",10^12,OFFSET(PLE!$G$15,$M67-$A$15,BF$13)))</f>
        <v>1000000000000</v>
      </c>
      <c r="BG67" s="172" cm="1">
        <f t="array" aca="1" ref="BG67" ca="1">IF(OR($D67&lt;&gt;"Serviço",AND(AUTOEVENTO="Manual",$M67=$A$15),$M67&gt;(ROW(PLE.lastrow)-ROW(PLE.firstrow))),0,
           IF(OFFSET(PLE!$G$15,$M67-$A$15,BG$13)="",10^12,OFFSET(PLE!$G$15,$M67-$A$15,BG$13)))</f>
        <v>1000000000000</v>
      </c>
    </row>
    <row r="68" spans="1:59" ht="25.5" x14ac:dyDescent="0.2">
      <c r="A68" s="7">
        <f t="shared" ca="1" si="8"/>
        <v>4</v>
      </c>
      <c r="B68" s="7" t="str">
        <f ca="1">OFFSET(ORÇAMENTO!C$15,$L68,0)</f>
        <v>S</v>
      </c>
      <c r="C68" s="7" t="str">
        <f ca="1">OFFSET(ORÇAMENTO!L$15,$L68,0)</f>
        <v>F</v>
      </c>
      <c r="D68" s="116" t="str">
        <f ca="1">OFFSET(ORÇAMENTO!N$15,$L68,0)</f>
        <v>Serviço</v>
      </c>
      <c r="E68" s="117" t="str">
        <f ca="1">OFFSET(ORÇAMENTO!O$15,$L68,0)</f>
        <v>1.4.0.2.</v>
      </c>
      <c r="F68" s="163" t="str">
        <f ca="1">OFFSET(ORÇAMENTO!R$15,$L68,0)</f>
        <v>(Código não identificado nas referências)</v>
      </c>
      <c r="G68" s="164" t="str">
        <f ca="1">IF($D68&lt;&gt;"Serviço","",OFFSET(ORÇAMENTO!S$15,$L68,0))</f>
        <v>-</v>
      </c>
      <c r="H68" s="122" cm="1">
        <f t="array" aca="1" ref="H68" ca="1">IF($D68&lt;&gt;"Serviço",0,IF(ACOMPANHAMENTO="BM",ROUND(OFFSET(ORÇAMENTO!AJ$15,$L68,0),15-13*ORÇAMENTO!$AF$7),IF(IFERROR(CÁLCULO.FrentesPreenchidas,0)=0,0,SUM(ROUND(OFFSET($P68,0,1,1,CÁLCULO.FrentesPreenchidas),15-13*ORÇAMENTO!$AF$7)))))</f>
        <v>2795.65</v>
      </c>
      <c r="I68" s="468" t="s">
        <v>1086</v>
      </c>
      <c r="J68" s="651" t="str" cm="1">
        <f t="array" aca="1" ref="J68" ca="1">IF(OR(B68&lt;&gt;"S",CÁLCULO.FrentesPreenchidas=0),"",IF(AND(ACOMPANHAMENTO="PLE",AUTOEVENTO="Manual",OR(H68&gt;0,ORÇAMENTO!AC68="QUANT."),OR(K68="",M68=0,N68="")),"►E",IF(AND(ACOMPANHAMENTO="PLE",ORÇAMENTO!AC68="QUANT."),"►Q",IF(AND(ACOMPANHAMENTO="PLE",H68&lt;&gt;SUMPRODUCT(($Q$1:$AA$1=1)*ROUND(Q68:AA68,15))),"►S",IF(AND(COUNTIF($P$11:$AA$11,"▼")=0,H68&gt;0,I68=""),"◄M","")))))</f>
        <v/>
      </c>
      <c r="K68" s="652" t="s">
        <v>1085</v>
      </c>
      <c r="L68" s="165">
        <f t="shared" ca="1" si="9"/>
        <v>53</v>
      </c>
      <c r="M68" s="166">
        <f ca="1">IF($D68&lt;&gt;"Serviço","",
          IF(AUTOEVENTO="manual",$A68,
                IF(ISERROR(MATCH($A68,$A$15:OFFSET($A68,-1,0),0)),MAX($M$15:OFFSET(M68,-1,0))+1,
                      INDEX($M$15:OFFSET(M68,-1,0),MATCH($A68,$A$15:OFFSET($A68,-1,0),0)))))</f>
        <v>4</v>
      </c>
      <c r="N68" s="167" t="str">
        <f ca="1">IF($D68&lt;&gt;"Serviço","",
         IF(AUTOEVENTO="Manual",
                IF($A68=0,"&lt;-- defina o número do agrupador",
                       OFFSET(EVENTOS!$D$15,$A68-$A$15,0)),
                OFFSET($F$15,$A68,0)))</f>
        <v>PAVIMENTAÇÃO</v>
      </c>
      <c r="O68" s="168"/>
      <c r="Q68" s="168"/>
      <c r="R68" s="169"/>
      <c r="S68" s="169"/>
      <c r="T68" s="169">
        <v>559.13</v>
      </c>
      <c r="U68" s="169">
        <v>559.13</v>
      </c>
      <c r="V68" s="169">
        <v>559.13</v>
      </c>
      <c r="W68" s="169">
        <v>559.13</v>
      </c>
      <c r="X68" s="169">
        <v>559.13</v>
      </c>
      <c r="Y68" s="169"/>
      <c r="Z68" s="170"/>
      <c r="AB68" s="453">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3">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3">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3">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75421.05</v>
      </c>
      <c r="AF68" s="453">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75421.05</v>
      </c>
      <c r="AG68" s="453">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75421.05</v>
      </c>
      <c r="AH68" s="453">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75421.05</v>
      </c>
      <c r="AI68" s="453">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75421.05</v>
      </c>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1">
        <f ca="1">IF(OR($D68&lt;&gt;"Serviço",AND(AUTOEVENTO="Manual",$M68=$A$15)),0,
         IF(OFFSET(CRONOPLE!$F$15,$M68-$A$15,AM$13)=0,10^12,OFFSET(CRONOPLE!$F$15,$M68-$A$15,AM$13)))</f>
        <v>1000000000000</v>
      </c>
      <c r="AN68" s="171">
        <f ca="1">IF(OR($D68&lt;&gt;"Serviço",AND(AUTOEVENTO="Manual",$M68=$A$15)),0,
         IF(OFFSET(CRONOPLE!$F$15,$M68-$A$15,AN$13)=0,10^12,OFFSET(CRONOPLE!$F$15,$M68-$A$15,AN$13)))</f>
        <v>2</v>
      </c>
      <c r="AO68" s="171">
        <f ca="1">IF(OR($D68&lt;&gt;"Serviço",AND(AUTOEVENTO="Manual",$M68=$A$15)),0,
         IF(OFFSET(CRONOPLE!$F$15,$M68-$A$15,AO$13)=0,10^12,OFFSET(CRONOPLE!$F$15,$M68-$A$15,AO$13)))</f>
        <v>3</v>
      </c>
      <c r="AP68" s="171">
        <f ca="1">IF(OR($D68&lt;&gt;"Serviço",AND(AUTOEVENTO="Manual",$M68=$A$15)),0,
         IF(OFFSET(CRONOPLE!$F$15,$M68-$A$15,AP$13)=0,10^12,OFFSET(CRONOPLE!$F$15,$M68-$A$15,AP$13)))</f>
        <v>4</v>
      </c>
      <c r="AQ68" s="171">
        <f ca="1">IF(OR($D68&lt;&gt;"Serviço",AND(AUTOEVENTO="Manual",$M68=$A$15)),0,
         IF(OFFSET(CRONOPLE!$F$15,$M68-$A$15,AQ$13)=0,10^12,OFFSET(CRONOPLE!$F$15,$M68-$A$15,AQ$13)))</f>
        <v>5</v>
      </c>
      <c r="AR68" s="171">
        <f ca="1">IF(OR($D68&lt;&gt;"Serviço",AND(AUTOEVENTO="Manual",$M68=$A$15)),0,
         IF(OFFSET(CRONOPLE!$F$15,$M68-$A$15,AR$13)=0,10^12,OFFSET(CRONOPLE!$F$15,$M68-$A$15,AR$13)))</f>
        <v>6</v>
      </c>
      <c r="AS68" s="171">
        <f ca="1">IF(OR($D68&lt;&gt;"Serviço",AND(AUTOEVENTO="Manual",$M68=$A$15)),0,
         IF(OFFSET(CRONOPLE!$F$15,$M68-$A$15,AS$13)=0,10^12,OFFSET(CRONOPLE!$F$15,$M68-$A$15,AS$13)))</f>
        <v>7</v>
      </c>
      <c r="AT68" s="171">
        <f ca="1">IF(OR($D68&lt;&gt;"Serviço",AND(AUTOEVENTO="Manual",$M68=$A$15)),0,
         IF(OFFSET(CRONOPLE!$F$15,$M68-$A$15,AT$13)=0,10^12,OFFSET(CRONOPLE!$F$15,$M68-$A$15,AT$13)))</f>
        <v>8</v>
      </c>
      <c r="AU68" s="171">
        <f ca="1">IF(OR($D68&lt;&gt;"Serviço",AND(AUTOEVENTO="Manual",$M68=$A$15)),0,
         IF(OFFSET(CRONOPLE!$F$15,$M68-$A$15,AU$13)=0,10^12,OFFSET(CRONOPLE!$F$15,$M68-$A$15,AU$13)))</f>
        <v>9</v>
      </c>
      <c r="AV68" s="171">
        <f ca="1">IF(OR($D68&lt;&gt;"Serviço",AND(AUTOEVENTO="Manual",$M68=$A$15)),0,
         IF(OFFSET(CRONOPLE!$F$15,$M68-$A$15,AV$13)=0,10^12,OFFSET(CRONOPLE!$F$15,$M68-$A$15,AV$13)))</f>
        <v>10</v>
      </c>
      <c r="AX68" s="172" cm="1">
        <f t="array" aca="1" ref="AX68" ca="1">IF(OR($D68&lt;&gt;"Serviço",AND(AUTOEVENTO="Manual",$M68=$A$15),$M68&gt;(ROW(PLE.lastrow)-ROW(PLE.firstrow))),0,
           IF(OFFSET(PLE!$G$15,$M68-$A$15,AX$13)="",10^12,OFFSET(PLE!$G$15,$M68-$A$15,AX$13)))</f>
        <v>1000000000000</v>
      </c>
      <c r="AY68" s="172" cm="1">
        <f t="array" aca="1" ref="AY68" ca="1">IF(OR($D68&lt;&gt;"Serviço",AND(AUTOEVENTO="Manual",$M68=$A$15),$M68&gt;(ROW(PLE.lastrow)-ROW(PLE.firstrow))),0,
           IF(OFFSET(PLE!$G$15,$M68-$A$15,AY$13)="",10^12,OFFSET(PLE!$G$15,$M68-$A$15,AY$13)))</f>
        <v>1000000000000</v>
      </c>
      <c r="AZ68" s="172" cm="1">
        <f t="array" aca="1" ref="AZ68" ca="1">IF(OR($D68&lt;&gt;"Serviço",AND(AUTOEVENTO="Manual",$M68=$A$15),$M68&gt;(ROW(PLE.lastrow)-ROW(PLE.firstrow))),0,
           IF(OFFSET(PLE!$G$15,$M68-$A$15,AZ$13)="",10^12,OFFSET(PLE!$G$15,$M68-$A$15,AZ$13)))</f>
        <v>1000000000000</v>
      </c>
      <c r="BA68" s="172" cm="1">
        <f t="array" aca="1" ref="BA68" ca="1">IF(OR($D68&lt;&gt;"Serviço",AND(AUTOEVENTO="Manual",$M68=$A$15),$M68&gt;(ROW(PLE.lastrow)-ROW(PLE.firstrow))),0,
           IF(OFFSET(PLE!$G$15,$M68-$A$15,BA$13)="",10^12,OFFSET(PLE!$G$15,$M68-$A$15,BA$13)))</f>
        <v>1000000000000</v>
      </c>
      <c r="BB68" s="172" cm="1">
        <f t="array" aca="1" ref="BB68" ca="1">IF(OR($D68&lt;&gt;"Serviço",AND(AUTOEVENTO="Manual",$M68=$A$15),$M68&gt;(ROW(PLE.lastrow)-ROW(PLE.firstrow))),0,
           IF(OFFSET(PLE!$G$15,$M68-$A$15,BB$13)="",10^12,OFFSET(PLE!$G$15,$M68-$A$15,BB$13)))</f>
        <v>1000000000000</v>
      </c>
      <c r="BC68" s="172" cm="1">
        <f t="array" aca="1" ref="BC68" ca="1">IF(OR($D68&lt;&gt;"Serviço",AND(AUTOEVENTO="Manual",$M68=$A$15),$M68&gt;(ROW(PLE.lastrow)-ROW(PLE.firstrow))),0,
           IF(OFFSET(PLE!$G$15,$M68-$A$15,BC$13)="",10^12,OFFSET(PLE!$G$15,$M68-$A$15,BC$13)))</f>
        <v>1000000000000</v>
      </c>
      <c r="BD68" s="172" cm="1">
        <f t="array" aca="1" ref="BD68" ca="1">IF(OR($D68&lt;&gt;"Serviço",AND(AUTOEVENTO="Manual",$M68=$A$15),$M68&gt;(ROW(PLE.lastrow)-ROW(PLE.firstrow))),0,
           IF(OFFSET(PLE!$G$15,$M68-$A$15,BD$13)="",10^12,OFFSET(PLE!$G$15,$M68-$A$15,BD$13)))</f>
        <v>1000000000000</v>
      </c>
      <c r="BE68" s="172" cm="1">
        <f t="array" aca="1" ref="BE68" ca="1">IF(OR($D68&lt;&gt;"Serviço",AND(AUTOEVENTO="Manual",$M68=$A$15),$M68&gt;(ROW(PLE.lastrow)-ROW(PLE.firstrow))),0,
           IF(OFFSET(PLE!$G$15,$M68-$A$15,BE$13)="",10^12,OFFSET(PLE!$G$15,$M68-$A$15,BE$13)))</f>
        <v>1000000000000</v>
      </c>
      <c r="BF68" s="172" cm="1">
        <f t="array" aca="1" ref="BF68" ca="1">IF(OR($D68&lt;&gt;"Serviço",AND(AUTOEVENTO="Manual",$M68=$A$15),$M68&gt;(ROW(PLE.lastrow)-ROW(PLE.firstrow))),0,
           IF(OFFSET(PLE!$G$15,$M68-$A$15,BF$13)="",10^12,OFFSET(PLE!$G$15,$M68-$A$15,BF$13)))</f>
        <v>1000000000000</v>
      </c>
      <c r="BG68" s="172" cm="1">
        <f t="array" aca="1" ref="BG68" ca="1">IF(OR($D68&lt;&gt;"Serviço",AND(AUTOEVENTO="Manual",$M68=$A$15),$M68&gt;(ROW(PLE.lastrow)-ROW(PLE.firstrow))),0,
           IF(OFFSET(PLE!$G$15,$M68-$A$15,BG$13)="",10^12,OFFSET(PLE!$G$15,$M68-$A$15,BG$13)))</f>
        <v>1000000000000</v>
      </c>
    </row>
    <row r="69" spans="1:59" ht="51" x14ac:dyDescent="0.2">
      <c r="A69" s="7">
        <f t="shared" ca="1" si="8"/>
        <v>4</v>
      </c>
      <c r="B69" s="7" t="str">
        <f ca="1">OFFSET(ORÇAMENTO!C$15,$L69,0)</f>
        <v>S</v>
      </c>
      <c r="C69" s="7" t="str">
        <f ca="1">OFFSET(ORÇAMENTO!L$15,$L69,0)</f>
        <v>F</v>
      </c>
      <c r="D69" s="116" t="str">
        <f ca="1">OFFSET(ORÇAMENTO!N$15,$L69,0)</f>
        <v>Serviço</v>
      </c>
      <c r="E69" s="117" t="str">
        <f ca="1">OFFSET(ORÇAMENTO!O$15,$L69,0)</f>
        <v>1.4.0.3.</v>
      </c>
      <c r="F69" s="163" t="str">
        <f ca="1">OFFSET(ORÇAMENTO!R$15,$L69,0)</f>
        <v>(Código não identificado nas referências)</v>
      </c>
      <c r="G69" s="164" t="str">
        <f ca="1">IF($D69&lt;&gt;"Serviço","",OFFSET(ORÇAMENTO!S$15,$L69,0))</f>
        <v>-</v>
      </c>
      <c r="H69" s="122" cm="1">
        <f t="array" aca="1" ref="H69" ca="1">IF($D69&lt;&gt;"Serviço",0,IF(ACOMPANHAMENTO="BM",ROUND(OFFSET(ORÇAMENTO!AJ$15,$L69,0),15-13*ORÇAMENTO!$AF$7),IF(IFERROR(CÁLCULO.FrentesPreenchidas,0)=0,0,SUM(ROUND(OFFSET($P69,0,1,1,CÁLCULO.FrentesPreenchidas),15-13*ORÇAMENTO!$AF$7)))))</f>
        <v>931.9</v>
      </c>
      <c r="I69" s="468" t="s">
        <v>1087</v>
      </c>
      <c r="J69" s="651" t="str" cm="1">
        <f t="array" aca="1" ref="J69" ca="1">IF(OR(B69&lt;&gt;"S",CÁLCULO.FrentesPreenchidas=0),"",IF(AND(ACOMPANHAMENTO="PLE",AUTOEVENTO="Manual",OR(H69&gt;0,ORÇAMENTO!AC69="QUANT."),OR(K69="",M69=0,N69="")),"►E",IF(AND(ACOMPANHAMENTO="PLE",ORÇAMENTO!AC69="QUANT."),"►Q",IF(AND(ACOMPANHAMENTO="PLE",H69&lt;&gt;SUMPRODUCT(($Q$1:$AA$1=1)*ROUND(Q69:AA69,15))),"►S",IF(AND(COUNTIF($P$11:$AA$11,"▼")=0,H69&gt;0,I69=""),"◄M","")))))</f>
        <v/>
      </c>
      <c r="K69" s="652" t="s">
        <v>1085</v>
      </c>
      <c r="L69" s="165">
        <f t="shared" ca="1" si="9"/>
        <v>54</v>
      </c>
      <c r="M69" s="166">
        <f ca="1">IF($D69&lt;&gt;"Serviço","",
          IF(AUTOEVENTO="manual",$A69,
                IF(ISERROR(MATCH($A69,$A$15:OFFSET($A69,-1,0),0)),MAX($M$15:OFFSET(M69,-1,0))+1,
                      INDEX($M$15:OFFSET(M69,-1,0),MATCH($A69,$A$15:OFFSET($A69,-1,0),0)))))</f>
        <v>4</v>
      </c>
      <c r="N69" s="167" t="str">
        <f ca="1">IF($D69&lt;&gt;"Serviço","",
         IF(AUTOEVENTO="Manual",
                IF($A69=0,"&lt;-- defina o número do agrupador",
                       OFFSET(EVENTOS!$D$15,$A69-$A$15,0)),
                OFFSET($F$15,$A69,0)))</f>
        <v>PAVIMENTAÇÃO</v>
      </c>
      <c r="O69" s="168"/>
      <c r="Q69" s="168"/>
      <c r="R69" s="169"/>
      <c r="S69" s="169"/>
      <c r="T69" s="169"/>
      <c r="U69" s="169"/>
      <c r="V69" s="169">
        <v>186.38</v>
      </c>
      <c r="W69" s="169">
        <v>186.38</v>
      </c>
      <c r="X69" s="169">
        <v>186.38</v>
      </c>
      <c r="Y69" s="169">
        <v>186.38</v>
      </c>
      <c r="Z69" s="170">
        <v>186.38</v>
      </c>
      <c r="AB69" s="453">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3">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3">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3">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3">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3">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20255.78</v>
      </c>
      <c r="AH69" s="453">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20255.78</v>
      </c>
      <c r="AI69" s="453">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20255.78</v>
      </c>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20255.78</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20255.78</v>
      </c>
      <c r="AM69" s="171">
        <f ca="1">IF(OR($D69&lt;&gt;"Serviço",AND(AUTOEVENTO="Manual",$M69=$A$15)),0,
         IF(OFFSET(CRONOPLE!$F$15,$M69-$A$15,AM$13)=0,10^12,OFFSET(CRONOPLE!$F$15,$M69-$A$15,AM$13)))</f>
        <v>1000000000000</v>
      </c>
      <c r="AN69" s="171">
        <f ca="1">IF(OR($D69&lt;&gt;"Serviço",AND(AUTOEVENTO="Manual",$M69=$A$15)),0,
         IF(OFFSET(CRONOPLE!$F$15,$M69-$A$15,AN$13)=0,10^12,OFFSET(CRONOPLE!$F$15,$M69-$A$15,AN$13)))</f>
        <v>2</v>
      </c>
      <c r="AO69" s="171">
        <f ca="1">IF(OR($D69&lt;&gt;"Serviço",AND(AUTOEVENTO="Manual",$M69=$A$15)),0,
         IF(OFFSET(CRONOPLE!$F$15,$M69-$A$15,AO$13)=0,10^12,OFFSET(CRONOPLE!$F$15,$M69-$A$15,AO$13)))</f>
        <v>3</v>
      </c>
      <c r="AP69" s="171">
        <f ca="1">IF(OR($D69&lt;&gt;"Serviço",AND(AUTOEVENTO="Manual",$M69=$A$15)),0,
         IF(OFFSET(CRONOPLE!$F$15,$M69-$A$15,AP$13)=0,10^12,OFFSET(CRONOPLE!$F$15,$M69-$A$15,AP$13)))</f>
        <v>4</v>
      </c>
      <c r="AQ69" s="171">
        <f ca="1">IF(OR($D69&lt;&gt;"Serviço",AND(AUTOEVENTO="Manual",$M69=$A$15)),0,
         IF(OFFSET(CRONOPLE!$F$15,$M69-$A$15,AQ$13)=0,10^12,OFFSET(CRONOPLE!$F$15,$M69-$A$15,AQ$13)))</f>
        <v>5</v>
      </c>
      <c r="AR69" s="171">
        <f ca="1">IF(OR($D69&lt;&gt;"Serviço",AND(AUTOEVENTO="Manual",$M69=$A$15)),0,
         IF(OFFSET(CRONOPLE!$F$15,$M69-$A$15,AR$13)=0,10^12,OFFSET(CRONOPLE!$F$15,$M69-$A$15,AR$13)))</f>
        <v>6</v>
      </c>
      <c r="AS69" s="171">
        <f ca="1">IF(OR($D69&lt;&gt;"Serviço",AND(AUTOEVENTO="Manual",$M69=$A$15)),0,
         IF(OFFSET(CRONOPLE!$F$15,$M69-$A$15,AS$13)=0,10^12,OFFSET(CRONOPLE!$F$15,$M69-$A$15,AS$13)))</f>
        <v>7</v>
      </c>
      <c r="AT69" s="171">
        <f ca="1">IF(OR($D69&lt;&gt;"Serviço",AND(AUTOEVENTO="Manual",$M69=$A$15)),0,
         IF(OFFSET(CRONOPLE!$F$15,$M69-$A$15,AT$13)=0,10^12,OFFSET(CRONOPLE!$F$15,$M69-$A$15,AT$13)))</f>
        <v>8</v>
      </c>
      <c r="AU69" s="171">
        <f ca="1">IF(OR($D69&lt;&gt;"Serviço",AND(AUTOEVENTO="Manual",$M69=$A$15)),0,
         IF(OFFSET(CRONOPLE!$F$15,$M69-$A$15,AU$13)=0,10^12,OFFSET(CRONOPLE!$F$15,$M69-$A$15,AU$13)))</f>
        <v>9</v>
      </c>
      <c r="AV69" s="171">
        <f ca="1">IF(OR($D69&lt;&gt;"Serviço",AND(AUTOEVENTO="Manual",$M69=$A$15)),0,
         IF(OFFSET(CRONOPLE!$F$15,$M69-$A$15,AV$13)=0,10^12,OFFSET(CRONOPLE!$F$15,$M69-$A$15,AV$13)))</f>
        <v>10</v>
      </c>
      <c r="AX69" s="172" cm="1">
        <f t="array" aca="1" ref="AX69" ca="1">IF(OR($D69&lt;&gt;"Serviço",AND(AUTOEVENTO="Manual",$M69=$A$15),$M69&gt;(ROW(PLE.lastrow)-ROW(PLE.firstrow))),0,
           IF(OFFSET(PLE!$G$15,$M69-$A$15,AX$13)="",10^12,OFFSET(PLE!$G$15,$M69-$A$15,AX$13)))</f>
        <v>1000000000000</v>
      </c>
      <c r="AY69" s="172" cm="1">
        <f t="array" aca="1" ref="AY69" ca="1">IF(OR($D69&lt;&gt;"Serviço",AND(AUTOEVENTO="Manual",$M69=$A$15),$M69&gt;(ROW(PLE.lastrow)-ROW(PLE.firstrow))),0,
           IF(OFFSET(PLE!$G$15,$M69-$A$15,AY$13)="",10^12,OFFSET(PLE!$G$15,$M69-$A$15,AY$13)))</f>
        <v>1000000000000</v>
      </c>
      <c r="AZ69" s="172" cm="1">
        <f t="array" aca="1" ref="AZ69" ca="1">IF(OR($D69&lt;&gt;"Serviço",AND(AUTOEVENTO="Manual",$M69=$A$15),$M69&gt;(ROW(PLE.lastrow)-ROW(PLE.firstrow))),0,
           IF(OFFSET(PLE!$G$15,$M69-$A$15,AZ$13)="",10^12,OFFSET(PLE!$G$15,$M69-$A$15,AZ$13)))</f>
        <v>1000000000000</v>
      </c>
      <c r="BA69" s="172" cm="1">
        <f t="array" aca="1" ref="BA69" ca="1">IF(OR($D69&lt;&gt;"Serviço",AND(AUTOEVENTO="Manual",$M69=$A$15),$M69&gt;(ROW(PLE.lastrow)-ROW(PLE.firstrow))),0,
           IF(OFFSET(PLE!$G$15,$M69-$A$15,BA$13)="",10^12,OFFSET(PLE!$G$15,$M69-$A$15,BA$13)))</f>
        <v>1000000000000</v>
      </c>
      <c r="BB69" s="172" cm="1">
        <f t="array" aca="1" ref="BB69" ca="1">IF(OR($D69&lt;&gt;"Serviço",AND(AUTOEVENTO="Manual",$M69=$A$15),$M69&gt;(ROW(PLE.lastrow)-ROW(PLE.firstrow))),0,
           IF(OFFSET(PLE!$G$15,$M69-$A$15,BB$13)="",10^12,OFFSET(PLE!$G$15,$M69-$A$15,BB$13)))</f>
        <v>1000000000000</v>
      </c>
      <c r="BC69" s="172" cm="1">
        <f t="array" aca="1" ref="BC69" ca="1">IF(OR($D69&lt;&gt;"Serviço",AND(AUTOEVENTO="Manual",$M69=$A$15),$M69&gt;(ROW(PLE.lastrow)-ROW(PLE.firstrow))),0,
           IF(OFFSET(PLE!$G$15,$M69-$A$15,BC$13)="",10^12,OFFSET(PLE!$G$15,$M69-$A$15,BC$13)))</f>
        <v>1000000000000</v>
      </c>
      <c r="BD69" s="172" cm="1">
        <f t="array" aca="1" ref="BD69" ca="1">IF(OR($D69&lt;&gt;"Serviço",AND(AUTOEVENTO="Manual",$M69=$A$15),$M69&gt;(ROW(PLE.lastrow)-ROW(PLE.firstrow))),0,
           IF(OFFSET(PLE!$G$15,$M69-$A$15,BD$13)="",10^12,OFFSET(PLE!$G$15,$M69-$A$15,BD$13)))</f>
        <v>1000000000000</v>
      </c>
      <c r="BE69" s="172" cm="1">
        <f t="array" aca="1" ref="BE69" ca="1">IF(OR($D69&lt;&gt;"Serviço",AND(AUTOEVENTO="Manual",$M69=$A$15),$M69&gt;(ROW(PLE.lastrow)-ROW(PLE.firstrow))),0,
           IF(OFFSET(PLE!$G$15,$M69-$A$15,BE$13)="",10^12,OFFSET(PLE!$G$15,$M69-$A$15,BE$13)))</f>
        <v>1000000000000</v>
      </c>
      <c r="BF69" s="172" cm="1">
        <f t="array" aca="1" ref="BF69" ca="1">IF(OR($D69&lt;&gt;"Serviço",AND(AUTOEVENTO="Manual",$M69=$A$15),$M69&gt;(ROW(PLE.lastrow)-ROW(PLE.firstrow))),0,
           IF(OFFSET(PLE!$G$15,$M69-$A$15,BF$13)="",10^12,OFFSET(PLE!$G$15,$M69-$A$15,BF$13)))</f>
        <v>1000000000000</v>
      </c>
      <c r="BG69" s="172" cm="1">
        <f t="array" aca="1" ref="BG69" ca="1">IF(OR($D69&lt;&gt;"Serviço",AND(AUTOEVENTO="Manual",$M69=$A$15),$M69&gt;(ROW(PLE.lastrow)-ROW(PLE.firstrow))),0,
           IF(OFFSET(PLE!$G$15,$M69-$A$15,BG$13)="",10^12,OFFSET(PLE!$G$15,$M69-$A$15,BG$13)))</f>
        <v>1000000000000</v>
      </c>
    </row>
    <row r="70" spans="1:59" ht="12.75" x14ac:dyDescent="0.2">
      <c r="A70" s="7">
        <f t="shared" ca="1" si="8"/>
        <v>0</v>
      </c>
      <c r="B70" s="7">
        <f ca="1">OFFSET(ORÇAMENTO!C$15,$L70,0)</f>
        <v>2</v>
      </c>
      <c r="C70" s="7" t="str">
        <f ca="1">OFFSET(ORÇAMENTO!L$15,$L70,0)</f>
        <v>F</v>
      </c>
      <c r="D70" s="116" t="str">
        <f ca="1">OFFSET(ORÇAMENTO!N$15,$L70,0)</f>
        <v>Nível 2</v>
      </c>
      <c r="E70" s="117" t="str">
        <f ca="1">OFFSET(ORÇAMENTO!O$15,$L70,0)</f>
        <v>1.5.</v>
      </c>
      <c r="F70" s="163" t="str">
        <f ca="1">OFFSET(ORÇAMENTO!R$15,$L70,0)</f>
        <v>GALPÃO, UNIDADES ADMINISTRATIVAS E ÁREAS DE CONVIVÊNCIA</v>
      </c>
      <c r="G70" s="164" t="str">
        <f ca="1">IF($D70&lt;&gt;"Serviço","",OFFSET(ORÇAMENTO!S$15,$L70,0))</f>
        <v/>
      </c>
      <c r="H70" s="122" cm="1">
        <f t="array" aca="1" ref="H70" ca="1">IF($D70&lt;&gt;"Serviço",0,IF(ACOMPANHAMENTO="BM",ROUND(OFFSET(ORÇAMENTO!AJ$15,$L70,0),15-13*ORÇAMENTO!$AF$7),IF(IFERROR(CÁLCULO.FrentesPreenchidas,0)=0,0,SUM(ROUND(OFFSET($P70,0,1,1,CÁLCULO.FrentesPreenchidas),15-13*ORÇAMENTO!$AF$7)))))</f>
        <v>0</v>
      </c>
      <c r="I70" s="468"/>
      <c r="J70" s="651" t="str" cm="1">
        <f t="array" aca="1" ref="J70" ca="1">IF(OR(B70&lt;&gt;"S",CÁLCULO.FrentesPreenchidas=0),"",IF(AND(ACOMPANHAMENTO="PLE",AUTOEVENTO="Manual",OR(H70&gt;0,ORÇAMENTO!AC70="QUANT."),OR(K70="",M70=0,N70="")),"►E",IF(AND(ACOMPANHAMENTO="PLE",ORÇAMENTO!AC70="QUANT."),"►Q",IF(AND(ACOMPANHAMENTO="PLE",H70&lt;&gt;SUMPRODUCT(($Q$1:$AA$1=1)*ROUND(Q70:AA70,15))),"►S",IF(AND(COUNTIF($P$11:$AA$11,"▼")=0,H70&gt;0,I70=""),"◄M","")))))</f>
        <v/>
      </c>
      <c r="K70" s="652"/>
      <c r="L70" s="165">
        <f t="shared" ca="1" si="9"/>
        <v>55</v>
      </c>
      <c r="M70" s="166" t="str">
        <f ca="1">IF($D70&lt;&gt;"Serviço","",
          IF(AUTOEVENTO="manual",$A70,
                IF(ISERROR(MATCH($A70,$A$15:OFFSET($A70,-1,0),0)),MAX($M$15:OFFSET(M70,-1,0))+1,
                      INDEX($M$15:OFFSET(M70,-1,0),MATCH($A70,$A$15:OFFSET($A70,-1,0),0)))))</f>
        <v/>
      </c>
      <c r="N70" s="167" t="str">
        <f ca="1">IF($D70&lt;&gt;"Serviço","",
         IF(AUTOEVENTO="Manual",
                IF($A70=0,"&lt;-- defina o número do agrupador",
                       OFFSET(EVENTOS!$D$15,$A70-$A$15,0)),
                OFFSET($F$15,$A70,0)))</f>
        <v/>
      </c>
      <c r="O70" s="168"/>
      <c r="Q70" s="168"/>
      <c r="R70" s="169"/>
      <c r="S70" s="169"/>
      <c r="T70" s="169"/>
      <c r="U70" s="169"/>
      <c r="V70" s="169"/>
      <c r="W70" s="169"/>
      <c r="X70" s="169"/>
      <c r="Y70" s="169"/>
      <c r="Z70" s="170"/>
      <c r="AB70" s="453">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3">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3">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3">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3">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3">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3">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3">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1">
        <f ca="1">IF(OR($D70&lt;&gt;"Serviço",AND(AUTOEVENTO="Manual",$M70=$A$15)),0,
         IF(OFFSET(CRONOPLE!$F$15,$M70-$A$15,AM$13)=0,10^12,OFFSET(CRONOPLE!$F$15,$M70-$A$15,AM$13)))</f>
        <v>0</v>
      </c>
      <c r="AN70" s="171">
        <f ca="1">IF(OR($D70&lt;&gt;"Serviço",AND(AUTOEVENTO="Manual",$M70=$A$15)),0,
         IF(OFFSET(CRONOPLE!$F$15,$M70-$A$15,AN$13)=0,10^12,OFFSET(CRONOPLE!$F$15,$M70-$A$15,AN$13)))</f>
        <v>0</v>
      </c>
      <c r="AO70" s="171">
        <f ca="1">IF(OR($D70&lt;&gt;"Serviço",AND(AUTOEVENTO="Manual",$M70=$A$15)),0,
         IF(OFFSET(CRONOPLE!$F$15,$M70-$A$15,AO$13)=0,10^12,OFFSET(CRONOPLE!$F$15,$M70-$A$15,AO$13)))</f>
        <v>0</v>
      </c>
      <c r="AP70" s="171">
        <f ca="1">IF(OR($D70&lt;&gt;"Serviço",AND(AUTOEVENTO="Manual",$M70=$A$15)),0,
         IF(OFFSET(CRONOPLE!$F$15,$M70-$A$15,AP$13)=0,10^12,OFFSET(CRONOPLE!$F$15,$M70-$A$15,AP$13)))</f>
        <v>0</v>
      </c>
      <c r="AQ70" s="171">
        <f ca="1">IF(OR($D70&lt;&gt;"Serviço",AND(AUTOEVENTO="Manual",$M70=$A$15)),0,
         IF(OFFSET(CRONOPLE!$F$15,$M70-$A$15,AQ$13)=0,10^12,OFFSET(CRONOPLE!$F$15,$M70-$A$15,AQ$13)))</f>
        <v>0</v>
      </c>
      <c r="AR70" s="171">
        <f ca="1">IF(OR($D70&lt;&gt;"Serviço",AND(AUTOEVENTO="Manual",$M70=$A$15)),0,
         IF(OFFSET(CRONOPLE!$F$15,$M70-$A$15,AR$13)=0,10^12,OFFSET(CRONOPLE!$F$15,$M70-$A$15,AR$13)))</f>
        <v>0</v>
      </c>
      <c r="AS70" s="171">
        <f ca="1">IF(OR($D70&lt;&gt;"Serviço",AND(AUTOEVENTO="Manual",$M70=$A$15)),0,
         IF(OFFSET(CRONOPLE!$F$15,$M70-$A$15,AS$13)=0,10^12,OFFSET(CRONOPLE!$F$15,$M70-$A$15,AS$13)))</f>
        <v>0</v>
      </c>
      <c r="AT70" s="171">
        <f ca="1">IF(OR($D70&lt;&gt;"Serviço",AND(AUTOEVENTO="Manual",$M70=$A$15)),0,
         IF(OFFSET(CRONOPLE!$F$15,$M70-$A$15,AT$13)=0,10^12,OFFSET(CRONOPLE!$F$15,$M70-$A$15,AT$13)))</f>
        <v>0</v>
      </c>
      <c r="AU70" s="171">
        <f ca="1">IF(OR($D70&lt;&gt;"Serviço",AND(AUTOEVENTO="Manual",$M70=$A$15)),0,
         IF(OFFSET(CRONOPLE!$F$15,$M70-$A$15,AU$13)=0,10^12,OFFSET(CRONOPLE!$F$15,$M70-$A$15,AU$13)))</f>
        <v>0</v>
      </c>
      <c r="AV70" s="171">
        <f ca="1">IF(OR($D70&lt;&gt;"Serviço",AND(AUTOEVENTO="Manual",$M70=$A$15)),0,
         IF(OFFSET(CRONOPLE!$F$15,$M70-$A$15,AV$13)=0,10^12,OFFSET(CRONOPLE!$F$15,$M70-$A$15,AV$13)))</f>
        <v>0</v>
      </c>
      <c r="AX70" s="172" cm="1">
        <f t="array" aca="1" ref="AX70" ca="1">IF(OR($D70&lt;&gt;"Serviço",AND(AUTOEVENTO="Manual",$M70=$A$15),$M70&gt;(ROW(PLE.lastrow)-ROW(PLE.firstrow))),0,
           IF(OFFSET(PLE!$G$15,$M70-$A$15,AX$13)="",10^12,OFFSET(PLE!$G$15,$M70-$A$15,AX$13)))</f>
        <v>0</v>
      </c>
      <c r="AY70" s="172" cm="1">
        <f t="array" aca="1" ref="AY70" ca="1">IF(OR($D70&lt;&gt;"Serviço",AND(AUTOEVENTO="Manual",$M70=$A$15),$M70&gt;(ROW(PLE.lastrow)-ROW(PLE.firstrow))),0,
           IF(OFFSET(PLE!$G$15,$M70-$A$15,AY$13)="",10^12,OFFSET(PLE!$G$15,$M70-$A$15,AY$13)))</f>
        <v>0</v>
      </c>
      <c r="AZ70" s="172" cm="1">
        <f t="array" aca="1" ref="AZ70" ca="1">IF(OR($D70&lt;&gt;"Serviço",AND(AUTOEVENTO="Manual",$M70=$A$15),$M70&gt;(ROW(PLE.lastrow)-ROW(PLE.firstrow))),0,
           IF(OFFSET(PLE!$G$15,$M70-$A$15,AZ$13)="",10^12,OFFSET(PLE!$G$15,$M70-$A$15,AZ$13)))</f>
        <v>0</v>
      </c>
      <c r="BA70" s="172" cm="1">
        <f t="array" aca="1" ref="BA70" ca="1">IF(OR($D70&lt;&gt;"Serviço",AND(AUTOEVENTO="Manual",$M70=$A$15),$M70&gt;(ROW(PLE.lastrow)-ROW(PLE.firstrow))),0,
           IF(OFFSET(PLE!$G$15,$M70-$A$15,BA$13)="",10^12,OFFSET(PLE!$G$15,$M70-$A$15,BA$13)))</f>
        <v>0</v>
      </c>
      <c r="BB70" s="172" cm="1">
        <f t="array" aca="1" ref="BB70" ca="1">IF(OR($D70&lt;&gt;"Serviço",AND(AUTOEVENTO="Manual",$M70=$A$15),$M70&gt;(ROW(PLE.lastrow)-ROW(PLE.firstrow))),0,
           IF(OFFSET(PLE!$G$15,$M70-$A$15,BB$13)="",10^12,OFFSET(PLE!$G$15,$M70-$A$15,BB$13)))</f>
        <v>0</v>
      </c>
      <c r="BC70" s="172" cm="1">
        <f t="array" aca="1" ref="BC70" ca="1">IF(OR($D70&lt;&gt;"Serviço",AND(AUTOEVENTO="Manual",$M70=$A$15),$M70&gt;(ROW(PLE.lastrow)-ROW(PLE.firstrow))),0,
           IF(OFFSET(PLE!$G$15,$M70-$A$15,BC$13)="",10^12,OFFSET(PLE!$G$15,$M70-$A$15,BC$13)))</f>
        <v>0</v>
      </c>
      <c r="BD70" s="172" cm="1">
        <f t="array" aca="1" ref="BD70" ca="1">IF(OR($D70&lt;&gt;"Serviço",AND(AUTOEVENTO="Manual",$M70=$A$15),$M70&gt;(ROW(PLE.lastrow)-ROW(PLE.firstrow))),0,
           IF(OFFSET(PLE!$G$15,$M70-$A$15,BD$13)="",10^12,OFFSET(PLE!$G$15,$M70-$A$15,BD$13)))</f>
        <v>0</v>
      </c>
      <c r="BE70" s="172" cm="1">
        <f t="array" aca="1" ref="BE70" ca="1">IF(OR($D70&lt;&gt;"Serviço",AND(AUTOEVENTO="Manual",$M70=$A$15),$M70&gt;(ROW(PLE.lastrow)-ROW(PLE.firstrow))),0,
           IF(OFFSET(PLE!$G$15,$M70-$A$15,BE$13)="",10^12,OFFSET(PLE!$G$15,$M70-$A$15,BE$13)))</f>
        <v>0</v>
      </c>
      <c r="BF70" s="172" cm="1">
        <f t="array" aca="1" ref="BF70" ca="1">IF(OR($D70&lt;&gt;"Serviço",AND(AUTOEVENTO="Manual",$M70=$A$15),$M70&gt;(ROW(PLE.lastrow)-ROW(PLE.firstrow))),0,
           IF(OFFSET(PLE!$G$15,$M70-$A$15,BF$13)="",10^12,OFFSET(PLE!$G$15,$M70-$A$15,BF$13)))</f>
        <v>0</v>
      </c>
      <c r="BG70" s="172" cm="1">
        <f t="array" aca="1" ref="BG70" ca="1">IF(OR($D70&lt;&gt;"Serviço",AND(AUTOEVENTO="Manual",$M70=$A$15),$M70&gt;(ROW(PLE.lastrow)-ROW(PLE.firstrow))),0,
           IF(OFFSET(PLE!$G$15,$M70-$A$15,BG$13)="",10^12,OFFSET(PLE!$G$15,$M70-$A$15,BG$13)))</f>
        <v>0</v>
      </c>
    </row>
    <row r="71" spans="1:59" ht="12.75" x14ac:dyDescent="0.2">
      <c r="A71" s="7">
        <f t="shared" ca="1" si="8"/>
        <v>0</v>
      </c>
      <c r="B71" s="7">
        <f ca="1">OFFSET(ORÇAMENTO!C$15,$L71,0)</f>
        <v>3</v>
      </c>
      <c r="C71" s="7" t="str">
        <f ca="1">OFFSET(ORÇAMENTO!L$15,$L71,0)</f>
        <v>F</v>
      </c>
      <c r="D71" s="116" t="str">
        <f ca="1">OFFSET(ORÇAMENTO!N$15,$L71,0)</f>
        <v>Nível 3</v>
      </c>
      <c r="E71" s="117" t="str">
        <f ca="1">OFFSET(ORÇAMENTO!O$15,$L71,0)</f>
        <v>1.5.1.</v>
      </c>
      <c r="F71" s="163" t="str">
        <f ca="1">OFFSET(ORÇAMENTO!R$15,$L71,0)</f>
        <v>Galpão, unidades administrativas e áreas de convivência</v>
      </c>
      <c r="G71" s="164" t="str">
        <f ca="1">IF($D71&lt;&gt;"Serviço","",OFFSET(ORÇAMENTO!S$15,$L71,0))</f>
        <v/>
      </c>
      <c r="H71" s="122" cm="1">
        <f t="array" aca="1" ref="H71" ca="1">IF($D71&lt;&gt;"Serviço",0,IF(ACOMPANHAMENTO="BM",ROUND(OFFSET(ORÇAMENTO!AJ$15,$L71,0),15-13*ORÇAMENTO!$AF$7),IF(IFERROR(CÁLCULO.FrentesPreenchidas,0)=0,0,SUM(ROUND(OFFSET($P71,0,1,1,CÁLCULO.FrentesPreenchidas),15-13*ORÇAMENTO!$AF$7)))))</f>
        <v>0</v>
      </c>
      <c r="I71" s="468"/>
      <c r="J71" s="651" t="str" cm="1">
        <f t="array" aca="1" ref="J71" ca="1">IF(OR(B71&lt;&gt;"S",CÁLCULO.FrentesPreenchidas=0),"",IF(AND(ACOMPANHAMENTO="PLE",AUTOEVENTO="Manual",OR(H71&gt;0,ORÇAMENTO!AC71="QUANT."),OR(K71="",M71=0,N71="")),"►E",IF(AND(ACOMPANHAMENTO="PLE",ORÇAMENTO!AC71="QUANT."),"►Q",IF(AND(ACOMPANHAMENTO="PLE",H71&lt;&gt;SUMPRODUCT(($Q$1:$AA$1=1)*ROUND(Q71:AA71,15))),"►S",IF(AND(COUNTIF($P$11:$AA$11,"▼")=0,H71&gt;0,I71=""),"◄M","")))))</f>
        <v/>
      </c>
      <c r="K71" s="652"/>
      <c r="L71" s="165">
        <f t="shared" ca="1" si="9"/>
        <v>56</v>
      </c>
      <c r="M71" s="166" t="str">
        <f ca="1">IF($D71&lt;&gt;"Serviço","",
          IF(AUTOEVENTO="manual",$A71,
                IF(ISERROR(MATCH($A71,$A$15:OFFSET($A71,-1,0),0)),MAX($M$15:OFFSET(M71,-1,0))+1,
                      INDEX($M$15:OFFSET(M71,-1,0),MATCH($A71,$A$15:OFFSET($A71,-1,0),0)))))</f>
        <v/>
      </c>
      <c r="N71" s="167" t="str">
        <f ca="1">IF($D71&lt;&gt;"Serviço","",
         IF(AUTOEVENTO="Manual",
                IF($A71=0,"&lt;-- defina o número do agrupador",
                       OFFSET(EVENTOS!$D$15,$A71-$A$15,0)),
                OFFSET($F$15,$A71,0)))</f>
        <v/>
      </c>
      <c r="O71" s="168"/>
      <c r="Q71" s="168"/>
      <c r="R71" s="169"/>
      <c r="S71" s="169"/>
      <c r="T71" s="169"/>
      <c r="U71" s="169"/>
      <c r="V71" s="169"/>
      <c r="W71" s="169"/>
      <c r="X71" s="169"/>
      <c r="Y71" s="169"/>
      <c r="Z71" s="170"/>
      <c r="AB71" s="453">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3">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3">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3">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3">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3">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3">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3">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3">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3">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1">
        <f ca="1">IF(OR($D71&lt;&gt;"Serviço",AND(AUTOEVENTO="Manual",$M71=$A$15)),0,
         IF(OFFSET(CRONOPLE!$F$15,$M71-$A$15,AM$13)=0,10^12,OFFSET(CRONOPLE!$F$15,$M71-$A$15,AM$13)))</f>
        <v>0</v>
      </c>
      <c r="AN71" s="171">
        <f ca="1">IF(OR($D71&lt;&gt;"Serviço",AND(AUTOEVENTO="Manual",$M71=$A$15)),0,
         IF(OFFSET(CRONOPLE!$F$15,$M71-$A$15,AN$13)=0,10^12,OFFSET(CRONOPLE!$F$15,$M71-$A$15,AN$13)))</f>
        <v>0</v>
      </c>
      <c r="AO71" s="171">
        <f ca="1">IF(OR($D71&lt;&gt;"Serviço",AND(AUTOEVENTO="Manual",$M71=$A$15)),0,
         IF(OFFSET(CRONOPLE!$F$15,$M71-$A$15,AO$13)=0,10^12,OFFSET(CRONOPLE!$F$15,$M71-$A$15,AO$13)))</f>
        <v>0</v>
      </c>
      <c r="AP71" s="171">
        <f ca="1">IF(OR($D71&lt;&gt;"Serviço",AND(AUTOEVENTO="Manual",$M71=$A$15)),0,
         IF(OFFSET(CRONOPLE!$F$15,$M71-$A$15,AP$13)=0,10^12,OFFSET(CRONOPLE!$F$15,$M71-$A$15,AP$13)))</f>
        <v>0</v>
      </c>
      <c r="AQ71" s="171">
        <f ca="1">IF(OR($D71&lt;&gt;"Serviço",AND(AUTOEVENTO="Manual",$M71=$A$15)),0,
         IF(OFFSET(CRONOPLE!$F$15,$M71-$A$15,AQ$13)=0,10^12,OFFSET(CRONOPLE!$F$15,$M71-$A$15,AQ$13)))</f>
        <v>0</v>
      </c>
      <c r="AR71" s="171">
        <f ca="1">IF(OR($D71&lt;&gt;"Serviço",AND(AUTOEVENTO="Manual",$M71=$A$15)),0,
         IF(OFFSET(CRONOPLE!$F$15,$M71-$A$15,AR$13)=0,10^12,OFFSET(CRONOPLE!$F$15,$M71-$A$15,AR$13)))</f>
        <v>0</v>
      </c>
      <c r="AS71" s="171">
        <f ca="1">IF(OR($D71&lt;&gt;"Serviço",AND(AUTOEVENTO="Manual",$M71=$A$15)),0,
         IF(OFFSET(CRONOPLE!$F$15,$M71-$A$15,AS$13)=0,10^12,OFFSET(CRONOPLE!$F$15,$M71-$A$15,AS$13)))</f>
        <v>0</v>
      </c>
      <c r="AT71" s="171">
        <f ca="1">IF(OR($D71&lt;&gt;"Serviço",AND(AUTOEVENTO="Manual",$M71=$A$15)),0,
         IF(OFFSET(CRONOPLE!$F$15,$M71-$A$15,AT$13)=0,10^12,OFFSET(CRONOPLE!$F$15,$M71-$A$15,AT$13)))</f>
        <v>0</v>
      </c>
      <c r="AU71" s="171">
        <f ca="1">IF(OR($D71&lt;&gt;"Serviço",AND(AUTOEVENTO="Manual",$M71=$A$15)),0,
         IF(OFFSET(CRONOPLE!$F$15,$M71-$A$15,AU$13)=0,10^12,OFFSET(CRONOPLE!$F$15,$M71-$A$15,AU$13)))</f>
        <v>0</v>
      </c>
      <c r="AV71" s="171">
        <f ca="1">IF(OR($D71&lt;&gt;"Serviço",AND(AUTOEVENTO="Manual",$M71=$A$15)),0,
         IF(OFFSET(CRONOPLE!$F$15,$M71-$A$15,AV$13)=0,10^12,OFFSET(CRONOPLE!$F$15,$M71-$A$15,AV$13)))</f>
        <v>0</v>
      </c>
      <c r="AX71" s="172" cm="1">
        <f t="array" aca="1" ref="AX71" ca="1">IF(OR($D71&lt;&gt;"Serviço",AND(AUTOEVENTO="Manual",$M71=$A$15),$M71&gt;(ROW(PLE.lastrow)-ROW(PLE.firstrow))),0,
           IF(OFFSET(PLE!$G$15,$M71-$A$15,AX$13)="",10^12,OFFSET(PLE!$G$15,$M71-$A$15,AX$13)))</f>
        <v>0</v>
      </c>
      <c r="AY71" s="172" cm="1">
        <f t="array" aca="1" ref="AY71" ca="1">IF(OR($D71&lt;&gt;"Serviço",AND(AUTOEVENTO="Manual",$M71=$A$15),$M71&gt;(ROW(PLE.lastrow)-ROW(PLE.firstrow))),0,
           IF(OFFSET(PLE!$G$15,$M71-$A$15,AY$13)="",10^12,OFFSET(PLE!$G$15,$M71-$A$15,AY$13)))</f>
        <v>0</v>
      </c>
      <c r="AZ71" s="172" cm="1">
        <f t="array" aca="1" ref="AZ71" ca="1">IF(OR($D71&lt;&gt;"Serviço",AND(AUTOEVENTO="Manual",$M71=$A$15),$M71&gt;(ROW(PLE.lastrow)-ROW(PLE.firstrow))),0,
           IF(OFFSET(PLE!$G$15,$M71-$A$15,AZ$13)="",10^12,OFFSET(PLE!$G$15,$M71-$A$15,AZ$13)))</f>
        <v>0</v>
      </c>
      <c r="BA71" s="172" cm="1">
        <f t="array" aca="1" ref="BA71" ca="1">IF(OR($D71&lt;&gt;"Serviço",AND(AUTOEVENTO="Manual",$M71=$A$15),$M71&gt;(ROW(PLE.lastrow)-ROW(PLE.firstrow))),0,
           IF(OFFSET(PLE!$G$15,$M71-$A$15,BA$13)="",10^12,OFFSET(PLE!$G$15,$M71-$A$15,BA$13)))</f>
        <v>0</v>
      </c>
      <c r="BB71" s="172" cm="1">
        <f t="array" aca="1" ref="BB71" ca="1">IF(OR($D71&lt;&gt;"Serviço",AND(AUTOEVENTO="Manual",$M71=$A$15),$M71&gt;(ROW(PLE.lastrow)-ROW(PLE.firstrow))),0,
           IF(OFFSET(PLE!$G$15,$M71-$A$15,BB$13)="",10^12,OFFSET(PLE!$G$15,$M71-$A$15,BB$13)))</f>
        <v>0</v>
      </c>
      <c r="BC71" s="172" cm="1">
        <f t="array" aca="1" ref="BC71" ca="1">IF(OR($D71&lt;&gt;"Serviço",AND(AUTOEVENTO="Manual",$M71=$A$15),$M71&gt;(ROW(PLE.lastrow)-ROW(PLE.firstrow))),0,
           IF(OFFSET(PLE!$G$15,$M71-$A$15,BC$13)="",10^12,OFFSET(PLE!$G$15,$M71-$A$15,BC$13)))</f>
        <v>0</v>
      </c>
      <c r="BD71" s="172" cm="1">
        <f t="array" aca="1" ref="BD71" ca="1">IF(OR($D71&lt;&gt;"Serviço",AND(AUTOEVENTO="Manual",$M71=$A$15),$M71&gt;(ROW(PLE.lastrow)-ROW(PLE.firstrow))),0,
           IF(OFFSET(PLE!$G$15,$M71-$A$15,BD$13)="",10^12,OFFSET(PLE!$G$15,$M71-$A$15,BD$13)))</f>
        <v>0</v>
      </c>
      <c r="BE71" s="172" cm="1">
        <f t="array" aca="1" ref="BE71" ca="1">IF(OR($D71&lt;&gt;"Serviço",AND(AUTOEVENTO="Manual",$M71=$A$15),$M71&gt;(ROW(PLE.lastrow)-ROW(PLE.firstrow))),0,
           IF(OFFSET(PLE!$G$15,$M71-$A$15,BE$13)="",10^12,OFFSET(PLE!$G$15,$M71-$A$15,BE$13)))</f>
        <v>0</v>
      </c>
      <c r="BF71" s="172" cm="1">
        <f t="array" aca="1" ref="BF71" ca="1">IF(OR($D71&lt;&gt;"Serviço",AND(AUTOEVENTO="Manual",$M71=$A$15),$M71&gt;(ROW(PLE.lastrow)-ROW(PLE.firstrow))),0,
           IF(OFFSET(PLE!$G$15,$M71-$A$15,BF$13)="",10^12,OFFSET(PLE!$G$15,$M71-$A$15,BF$13)))</f>
        <v>0</v>
      </c>
      <c r="BG71" s="172" cm="1">
        <f t="array" aca="1" ref="BG71" ca="1">IF(OR($D71&lt;&gt;"Serviço",AND(AUTOEVENTO="Manual",$M71=$A$15),$M71&gt;(ROW(PLE.lastrow)-ROW(PLE.firstrow))),0,
           IF(OFFSET(PLE!$G$15,$M71-$A$15,BG$13)="",10^12,OFFSET(PLE!$G$15,$M71-$A$15,BG$13)))</f>
        <v>0</v>
      </c>
    </row>
    <row r="72" spans="1:59" ht="38.25" x14ac:dyDescent="0.2">
      <c r="A72" s="7">
        <f t="shared" ca="1" si="8"/>
        <v>5</v>
      </c>
      <c r="B72" s="7" t="str">
        <f ca="1">OFFSET(ORÇAMENTO!C$15,$L72,0)</f>
        <v>S</v>
      </c>
      <c r="C72" s="7" t="str">
        <f ca="1">OFFSET(ORÇAMENTO!L$15,$L72,0)</f>
        <v>F</v>
      </c>
      <c r="D72" s="116" t="str">
        <f ca="1">OFFSET(ORÇAMENTO!N$15,$L72,0)</f>
        <v>Serviço</v>
      </c>
      <c r="E72" s="117" t="str">
        <f ca="1">OFFSET(ORÇAMENTO!O$15,$L72,0)</f>
        <v>1.5.1.1.</v>
      </c>
      <c r="F72" s="163" t="str">
        <f ca="1">OFFSET(ORÇAMENTO!R$15,$L72,0)</f>
        <v>(Código não identificado nas referências)</v>
      </c>
      <c r="G72" s="164" t="str">
        <f ca="1">IF($D72&lt;&gt;"Serviço","",OFFSET(ORÇAMENTO!S$15,$L72,0))</f>
        <v>-</v>
      </c>
      <c r="H72" s="122" cm="1">
        <f t="array" aca="1" ref="H72" ca="1">IF($D72&lt;&gt;"Serviço",0,IF(ACOMPANHAMENTO="BM",ROUND(OFFSET(ORÇAMENTO!AJ$15,$L72,0),15-13*ORÇAMENTO!$AF$7),IF(IFERROR(CÁLCULO.FrentesPreenchidas,0)=0,0,SUM(ROUND(OFFSET($P72,0,1,1,CÁLCULO.FrentesPreenchidas),15-13*ORÇAMENTO!$AF$7)))))</f>
        <v>2822.1800000000003</v>
      </c>
      <c r="I72" s="468" t="s">
        <v>1090</v>
      </c>
      <c r="J72" s="651" t="str" cm="1">
        <f t="array" aca="1" ref="J72" ca="1">IF(OR(B72&lt;&gt;"S",CÁLCULO.FrentesPreenchidas=0),"",IF(AND(ACOMPANHAMENTO="PLE",AUTOEVENTO="Manual",OR(H72&gt;0,ORÇAMENTO!AC72="QUANT."),OR(K72="",M72=0,N72="")),"►E",IF(AND(ACOMPANHAMENTO="PLE",ORÇAMENTO!AC72="QUANT."),"►Q",IF(AND(ACOMPANHAMENTO="PLE",H72&lt;&gt;SUMPRODUCT(($Q$1:$AA$1=1)*ROUND(Q72:AA72,15))),"►S",IF(AND(COUNTIF($P$11:$AA$11,"▼")=0,H72&gt;0,I72=""),"◄M","")))))</f>
        <v/>
      </c>
      <c r="K72" s="652" t="s">
        <v>1091</v>
      </c>
      <c r="L72" s="165">
        <f t="shared" ca="1" si="9"/>
        <v>57</v>
      </c>
      <c r="M72" s="166">
        <f ca="1">IF($D72&lt;&gt;"Serviço","",
          IF(AUTOEVENTO="manual",$A72,
                IF(ISERROR(MATCH($A72,$A$15:OFFSET($A72,-1,0),0)),MAX($M$15:OFFSET(M72,-1,0))+1,
                      INDEX($M$15:OFFSET(M72,-1,0),MATCH($A72,$A$15:OFFSET($A72,-1,0),0)))))</f>
        <v>5</v>
      </c>
      <c r="N72" s="167" t="str">
        <f ca="1">IF($D72&lt;&gt;"Serviço","",
         IF(AUTOEVENTO="Manual",
                IF($A72=0,"&lt;-- defina o número do agrupador",
                       OFFSET(EVENTOS!$D$15,$A72-$A$15,0)),
                OFFSET($F$15,$A72,0)))</f>
        <v>GALPÃO, UNIDADES ADMINISTRATIVAS E ÁREAS DE CONVIVÊNCIA</v>
      </c>
      <c r="O72" s="168"/>
      <c r="Q72" s="168"/>
      <c r="R72" s="169">
        <v>141.11000000000001</v>
      </c>
      <c r="S72" s="169">
        <v>282.20999999999998</v>
      </c>
      <c r="T72" s="169">
        <v>564.44000000000005</v>
      </c>
      <c r="U72" s="169">
        <v>564.44000000000005</v>
      </c>
      <c r="V72" s="169">
        <v>423.33</v>
      </c>
      <c r="W72" s="169">
        <v>282.20999999999998</v>
      </c>
      <c r="X72" s="169">
        <v>282.22000000000003</v>
      </c>
      <c r="Y72" s="169">
        <v>282.22000000000003</v>
      </c>
      <c r="Z72" s="170"/>
      <c r="AB72" s="453">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3">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219632.07</v>
      </c>
      <c r="AD72" s="453">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439248.58</v>
      </c>
      <c r="AE72" s="453">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878528.28</v>
      </c>
      <c r="AF72" s="453">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878528.28</v>
      </c>
      <c r="AG72" s="453">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658896.21</v>
      </c>
      <c r="AH72" s="453">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439248.58</v>
      </c>
      <c r="AI72" s="453">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439264.14</v>
      </c>
      <c r="AJ72" s="453">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439264.14</v>
      </c>
      <c r="AK72" s="453">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1">
        <f ca="1">IF(OR($D72&lt;&gt;"Serviço",AND(AUTOEVENTO="Manual",$M72=$A$15)),0,
         IF(OFFSET(CRONOPLE!$F$15,$M72-$A$15,AM$13)=0,10^12,OFFSET(CRONOPLE!$F$15,$M72-$A$15,AM$13)))</f>
        <v>1000000000000</v>
      </c>
      <c r="AN72" s="171">
        <f ca="1">IF(OR($D72&lt;&gt;"Serviço",AND(AUTOEVENTO="Manual",$M72=$A$15)),0,
         IF(OFFSET(CRONOPLE!$F$15,$M72-$A$15,AN$13)=0,10^12,OFFSET(CRONOPLE!$F$15,$M72-$A$15,AN$13)))</f>
        <v>2</v>
      </c>
      <c r="AO72" s="171">
        <f ca="1">IF(OR($D72&lt;&gt;"Serviço",AND(AUTOEVENTO="Manual",$M72=$A$15)),0,
         IF(OFFSET(CRONOPLE!$F$15,$M72-$A$15,AO$13)=0,10^12,OFFSET(CRONOPLE!$F$15,$M72-$A$15,AO$13)))</f>
        <v>3</v>
      </c>
      <c r="AP72" s="171">
        <f ca="1">IF(OR($D72&lt;&gt;"Serviço",AND(AUTOEVENTO="Manual",$M72=$A$15)),0,
         IF(OFFSET(CRONOPLE!$F$15,$M72-$A$15,AP$13)=0,10^12,OFFSET(CRONOPLE!$F$15,$M72-$A$15,AP$13)))</f>
        <v>4</v>
      </c>
      <c r="AQ72" s="171">
        <f ca="1">IF(OR($D72&lt;&gt;"Serviço",AND(AUTOEVENTO="Manual",$M72=$A$15)),0,
         IF(OFFSET(CRONOPLE!$F$15,$M72-$A$15,AQ$13)=0,10^12,OFFSET(CRONOPLE!$F$15,$M72-$A$15,AQ$13)))</f>
        <v>5</v>
      </c>
      <c r="AR72" s="171">
        <f ca="1">IF(OR($D72&lt;&gt;"Serviço",AND(AUTOEVENTO="Manual",$M72=$A$15)),0,
         IF(OFFSET(CRONOPLE!$F$15,$M72-$A$15,AR$13)=0,10^12,OFFSET(CRONOPLE!$F$15,$M72-$A$15,AR$13)))</f>
        <v>6</v>
      </c>
      <c r="AS72" s="171">
        <f ca="1">IF(OR($D72&lt;&gt;"Serviço",AND(AUTOEVENTO="Manual",$M72=$A$15)),0,
         IF(OFFSET(CRONOPLE!$F$15,$M72-$A$15,AS$13)=0,10^12,OFFSET(CRONOPLE!$F$15,$M72-$A$15,AS$13)))</f>
        <v>7</v>
      </c>
      <c r="AT72" s="171">
        <f ca="1">IF(OR($D72&lt;&gt;"Serviço",AND(AUTOEVENTO="Manual",$M72=$A$15)),0,
         IF(OFFSET(CRONOPLE!$F$15,$M72-$A$15,AT$13)=0,10^12,OFFSET(CRONOPLE!$F$15,$M72-$A$15,AT$13)))</f>
        <v>8</v>
      </c>
      <c r="AU72" s="171">
        <f ca="1">IF(OR($D72&lt;&gt;"Serviço",AND(AUTOEVENTO="Manual",$M72=$A$15)),0,
         IF(OFFSET(CRONOPLE!$F$15,$M72-$A$15,AU$13)=0,10^12,OFFSET(CRONOPLE!$F$15,$M72-$A$15,AU$13)))</f>
        <v>9</v>
      </c>
      <c r="AV72" s="171">
        <f ca="1">IF(OR($D72&lt;&gt;"Serviço",AND(AUTOEVENTO="Manual",$M72=$A$15)),0,
         IF(OFFSET(CRONOPLE!$F$15,$M72-$A$15,AV$13)=0,10^12,OFFSET(CRONOPLE!$F$15,$M72-$A$15,AV$13)))</f>
        <v>1000000000000</v>
      </c>
      <c r="AX72" s="172" cm="1">
        <f t="array" aca="1" ref="AX72" ca="1">IF(OR($D72&lt;&gt;"Serviço",AND(AUTOEVENTO="Manual",$M72=$A$15),$M72&gt;(ROW(PLE.lastrow)-ROW(PLE.firstrow))),0,
           IF(OFFSET(PLE!$G$15,$M72-$A$15,AX$13)="",10^12,OFFSET(PLE!$G$15,$M72-$A$15,AX$13)))</f>
        <v>1000000000000</v>
      </c>
      <c r="AY72" s="172" cm="1">
        <f t="array" aca="1" ref="AY72" ca="1">IF(OR($D72&lt;&gt;"Serviço",AND(AUTOEVENTO="Manual",$M72=$A$15),$M72&gt;(ROW(PLE.lastrow)-ROW(PLE.firstrow))),0,
           IF(OFFSET(PLE!$G$15,$M72-$A$15,AY$13)="",10^12,OFFSET(PLE!$G$15,$M72-$A$15,AY$13)))</f>
        <v>1000000000000</v>
      </c>
      <c r="AZ72" s="172" cm="1">
        <f t="array" aca="1" ref="AZ72" ca="1">IF(OR($D72&lt;&gt;"Serviço",AND(AUTOEVENTO="Manual",$M72=$A$15),$M72&gt;(ROW(PLE.lastrow)-ROW(PLE.firstrow))),0,
           IF(OFFSET(PLE!$G$15,$M72-$A$15,AZ$13)="",10^12,OFFSET(PLE!$G$15,$M72-$A$15,AZ$13)))</f>
        <v>1000000000000</v>
      </c>
      <c r="BA72" s="172" cm="1">
        <f t="array" aca="1" ref="BA72" ca="1">IF(OR($D72&lt;&gt;"Serviço",AND(AUTOEVENTO="Manual",$M72=$A$15),$M72&gt;(ROW(PLE.lastrow)-ROW(PLE.firstrow))),0,
           IF(OFFSET(PLE!$G$15,$M72-$A$15,BA$13)="",10^12,OFFSET(PLE!$G$15,$M72-$A$15,BA$13)))</f>
        <v>1000000000000</v>
      </c>
      <c r="BB72" s="172" cm="1">
        <f t="array" aca="1" ref="BB72" ca="1">IF(OR($D72&lt;&gt;"Serviço",AND(AUTOEVENTO="Manual",$M72=$A$15),$M72&gt;(ROW(PLE.lastrow)-ROW(PLE.firstrow))),0,
           IF(OFFSET(PLE!$G$15,$M72-$A$15,BB$13)="",10^12,OFFSET(PLE!$G$15,$M72-$A$15,BB$13)))</f>
        <v>1000000000000</v>
      </c>
      <c r="BC72" s="172" cm="1">
        <f t="array" aca="1" ref="BC72" ca="1">IF(OR($D72&lt;&gt;"Serviço",AND(AUTOEVENTO="Manual",$M72=$A$15),$M72&gt;(ROW(PLE.lastrow)-ROW(PLE.firstrow))),0,
           IF(OFFSET(PLE!$G$15,$M72-$A$15,BC$13)="",10^12,OFFSET(PLE!$G$15,$M72-$A$15,BC$13)))</f>
        <v>1000000000000</v>
      </c>
      <c r="BD72" s="172" cm="1">
        <f t="array" aca="1" ref="BD72" ca="1">IF(OR($D72&lt;&gt;"Serviço",AND(AUTOEVENTO="Manual",$M72=$A$15),$M72&gt;(ROW(PLE.lastrow)-ROW(PLE.firstrow))),0,
           IF(OFFSET(PLE!$G$15,$M72-$A$15,BD$13)="",10^12,OFFSET(PLE!$G$15,$M72-$A$15,BD$13)))</f>
        <v>1000000000000</v>
      </c>
      <c r="BE72" s="172" cm="1">
        <f t="array" aca="1" ref="BE72" ca="1">IF(OR($D72&lt;&gt;"Serviço",AND(AUTOEVENTO="Manual",$M72=$A$15),$M72&gt;(ROW(PLE.lastrow)-ROW(PLE.firstrow))),0,
           IF(OFFSET(PLE!$G$15,$M72-$A$15,BE$13)="",10^12,OFFSET(PLE!$G$15,$M72-$A$15,BE$13)))</f>
        <v>1000000000000</v>
      </c>
      <c r="BF72" s="172" cm="1">
        <f t="array" aca="1" ref="BF72" ca="1">IF(OR($D72&lt;&gt;"Serviço",AND(AUTOEVENTO="Manual",$M72=$A$15),$M72&gt;(ROW(PLE.lastrow)-ROW(PLE.firstrow))),0,
           IF(OFFSET(PLE!$G$15,$M72-$A$15,BF$13)="",10^12,OFFSET(PLE!$G$15,$M72-$A$15,BF$13)))</f>
        <v>1000000000000</v>
      </c>
      <c r="BG72" s="172" cm="1">
        <f t="array" aca="1" ref="BG72" ca="1">IF(OR($D72&lt;&gt;"Serviço",AND(AUTOEVENTO="Manual",$M72=$A$15),$M72&gt;(ROW(PLE.lastrow)-ROW(PLE.firstrow))),0,
           IF(OFFSET(PLE!$G$15,$M72-$A$15,BG$13)="",10^12,OFFSET(PLE!$G$15,$M72-$A$15,BG$13)))</f>
        <v>1000000000000</v>
      </c>
    </row>
    <row r="73" spans="1:59" ht="38.25" x14ac:dyDescent="0.2">
      <c r="A73" s="7">
        <f t="shared" ca="1" si="8"/>
        <v>5</v>
      </c>
      <c r="B73" s="7" t="str">
        <f ca="1">OFFSET(ORÇAMENTO!C$15,$L73,0)</f>
        <v>S</v>
      </c>
      <c r="C73" s="7" t="str">
        <f ca="1">OFFSET(ORÇAMENTO!L$15,$L73,0)</f>
        <v>F</v>
      </c>
      <c r="D73" s="116" t="str">
        <f ca="1">OFFSET(ORÇAMENTO!N$15,$L73,0)</f>
        <v>Serviço</v>
      </c>
      <c r="E73" s="117" t="str">
        <f ca="1">OFFSET(ORÇAMENTO!O$15,$L73,0)</f>
        <v>1.5.1.2.</v>
      </c>
      <c r="F73" s="163" t="str">
        <f ca="1">OFFSET(ORÇAMENTO!R$15,$L73,0)</f>
        <v>(Código não identificado nas referências)</v>
      </c>
      <c r="G73" s="164" t="str">
        <f ca="1">IF($D73&lt;&gt;"Serviço","",OFFSET(ORÇAMENTO!S$15,$L73,0))</f>
        <v>-</v>
      </c>
      <c r="H73" s="122" cm="1">
        <f t="array" aca="1" ref="H73" ca="1">IF($D73&lt;&gt;"Serviço",0,IF(ACOMPANHAMENTO="BM",ROUND(OFFSET(ORÇAMENTO!AJ$15,$L73,0),15-13*ORÇAMENTO!$AF$7),IF(IFERROR(CÁLCULO.FrentesPreenchidas,0)=0,0,SUM(ROUND(OFFSET($P73,0,1,1,CÁLCULO.FrentesPreenchidas),15-13*ORÇAMENTO!$AF$7)))))</f>
        <v>2822.18</v>
      </c>
      <c r="I73" s="468" t="s">
        <v>1090</v>
      </c>
      <c r="J73" s="651" t="str" cm="1">
        <f t="array" aca="1" ref="J73" ca="1">IF(OR(B73&lt;&gt;"S",CÁLCULO.FrentesPreenchidas=0),"",IF(AND(ACOMPANHAMENTO="PLE",AUTOEVENTO="Manual",OR(H73&gt;0,ORÇAMENTO!AC73="QUANT."),OR(K73="",M73=0,N73="")),"►E",IF(AND(ACOMPANHAMENTO="PLE",ORÇAMENTO!AC73="QUANT."),"►Q",IF(AND(ACOMPANHAMENTO="PLE",H73&lt;&gt;SUMPRODUCT(($Q$1:$AA$1=1)*ROUND(Q73:AA73,15))),"►S",IF(AND(COUNTIF($P$11:$AA$11,"▼")=0,H73&gt;0,I73=""),"◄M","")))))</f>
        <v/>
      </c>
      <c r="K73" s="652" t="s">
        <v>1091</v>
      </c>
      <c r="L73" s="165">
        <f t="shared" ca="1" si="9"/>
        <v>58</v>
      </c>
      <c r="M73" s="166">
        <f ca="1">IF($D73&lt;&gt;"Serviço","",
          IF(AUTOEVENTO="manual",$A73,
                IF(ISERROR(MATCH($A73,$A$15:OFFSET($A73,-1,0),0)),MAX($M$15:OFFSET(M73,-1,0))+1,
                      INDEX($M$15:OFFSET(M73,-1,0),MATCH($A73,$A$15:OFFSET($A73,-1,0),0)))))</f>
        <v>5</v>
      </c>
      <c r="N73" s="167" t="str">
        <f ca="1">IF($D73&lt;&gt;"Serviço","",
         IF(AUTOEVENTO="Manual",
                IF($A73=0,"&lt;-- defina o número do agrupador",
                       OFFSET(EVENTOS!$D$15,$A73-$A$15,0)),
                OFFSET($F$15,$A73,0)))</f>
        <v>GALPÃO, UNIDADES ADMINISTRATIVAS E ÁREAS DE CONVIVÊNCIA</v>
      </c>
      <c r="O73" s="168"/>
      <c r="Q73" s="168"/>
      <c r="R73" s="169">
        <v>846.65</v>
      </c>
      <c r="S73" s="169">
        <v>1975.53</v>
      </c>
      <c r="T73" s="169"/>
      <c r="U73" s="169"/>
      <c r="V73" s="169"/>
      <c r="W73" s="169"/>
      <c r="X73" s="169"/>
      <c r="Y73" s="169"/>
      <c r="Z73" s="170"/>
      <c r="AB73" s="453">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0</v>
      </c>
      <c r="AC73" s="453">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119174.45</v>
      </c>
      <c r="AD73" s="453">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278075.59999999998</v>
      </c>
      <c r="AE73" s="453">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3">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3">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3">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3">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3">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3">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1">
        <f ca="1">IF(OR($D73&lt;&gt;"Serviço",AND(AUTOEVENTO="Manual",$M73=$A$15)),0,
         IF(OFFSET(CRONOPLE!$F$15,$M73-$A$15,AM$13)=0,10^12,OFFSET(CRONOPLE!$F$15,$M73-$A$15,AM$13)))</f>
        <v>1000000000000</v>
      </c>
      <c r="AN73" s="171">
        <f ca="1">IF(OR($D73&lt;&gt;"Serviço",AND(AUTOEVENTO="Manual",$M73=$A$15)),0,
         IF(OFFSET(CRONOPLE!$F$15,$M73-$A$15,AN$13)=0,10^12,OFFSET(CRONOPLE!$F$15,$M73-$A$15,AN$13)))</f>
        <v>2</v>
      </c>
      <c r="AO73" s="171">
        <f ca="1">IF(OR($D73&lt;&gt;"Serviço",AND(AUTOEVENTO="Manual",$M73=$A$15)),0,
         IF(OFFSET(CRONOPLE!$F$15,$M73-$A$15,AO$13)=0,10^12,OFFSET(CRONOPLE!$F$15,$M73-$A$15,AO$13)))</f>
        <v>3</v>
      </c>
      <c r="AP73" s="171">
        <f ca="1">IF(OR($D73&lt;&gt;"Serviço",AND(AUTOEVENTO="Manual",$M73=$A$15)),0,
         IF(OFFSET(CRONOPLE!$F$15,$M73-$A$15,AP$13)=0,10^12,OFFSET(CRONOPLE!$F$15,$M73-$A$15,AP$13)))</f>
        <v>4</v>
      </c>
      <c r="AQ73" s="171">
        <f ca="1">IF(OR($D73&lt;&gt;"Serviço",AND(AUTOEVENTO="Manual",$M73=$A$15)),0,
         IF(OFFSET(CRONOPLE!$F$15,$M73-$A$15,AQ$13)=0,10^12,OFFSET(CRONOPLE!$F$15,$M73-$A$15,AQ$13)))</f>
        <v>5</v>
      </c>
      <c r="AR73" s="171">
        <f ca="1">IF(OR($D73&lt;&gt;"Serviço",AND(AUTOEVENTO="Manual",$M73=$A$15)),0,
         IF(OFFSET(CRONOPLE!$F$15,$M73-$A$15,AR$13)=0,10^12,OFFSET(CRONOPLE!$F$15,$M73-$A$15,AR$13)))</f>
        <v>6</v>
      </c>
      <c r="AS73" s="171">
        <f ca="1">IF(OR($D73&lt;&gt;"Serviço",AND(AUTOEVENTO="Manual",$M73=$A$15)),0,
         IF(OFFSET(CRONOPLE!$F$15,$M73-$A$15,AS$13)=0,10^12,OFFSET(CRONOPLE!$F$15,$M73-$A$15,AS$13)))</f>
        <v>7</v>
      </c>
      <c r="AT73" s="171">
        <f ca="1">IF(OR($D73&lt;&gt;"Serviço",AND(AUTOEVENTO="Manual",$M73=$A$15)),0,
         IF(OFFSET(CRONOPLE!$F$15,$M73-$A$15,AT$13)=0,10^12,OFFSET(CRONOPLE!$F$15,$M73-$A$15,AT$13)))</f>
        <v>8</v>
      </c>
      <c r="AU73" s="171">
        <f ca="1">IF(OR($D73&lt;&gt;"Serviço",AND(AUTOEVENTO="Manual",$M73=$A$15)),0,
         IF(OFFSET(CRONOPLE!$F$15,$M73-$A$15,AU$13)=0,10^12,OFFSET(CRONOPLE!$F$15,$M73-$A$15,AU$13)))</f>
        <v>9</v>
      </c>
      <c r="AV73" s="171">
        <f ca="1">IF(OR($D73&lt;&gt;"Serviço",AND(AUTOEVENTO="Manual",$M73=$A$15)),0,
         IF(OFFSET(CRONOPLE!$F$15,$M73-$A$15,AV$13)=0,10^12,OFFSET(CRONOPLE!$F$15,$M73-$A$15,AV$13)))</f>
        <v>1000000000000</v>
      </c>
      <c r="AX73" s="172" cm="1">
        <f t="array" aca="1" ref="AX73" ca="1">IF(OR($D73&lt;&gt;"Serviço",AND(AUTOEVENTO="Manual",$M73=$A$15),$M73&gt;(ROW(PLE.lastrow)-ROW(PLE.firstrow))),0,
           IF(OFFSET(PLE!$G$15,$M73-$A$15,AX$13)="",10^12,OFFSET(PLE!$G$15,$M73-$A$15,AX$13)))</f>
        <v>1000000000000</v>
      </c>
      <c r="AY73" s="172" cm="1">
        <f t="array" aca="1" ref="AY73" ca="1">IF(OR($D73&lt;&gt;"Serviço",AND(AUTOEVENTO="Manual",$M73=$A$15),$M73&gt;(ROW(PLE.lastrow)-ROW(PLE.firstrow))),0,
           IF(OFFSET(PLE!$G$15,$M73-$A$15,AY$13)="",10^12,OFFSET(PLE!$G$15,$M73-$A$15,AY$13)))</f>
        <v>1000000000000</v>
      </c>
      <c r="AZ73" s="172" cm="1">
        <f t="array" aca="1" ref="AZ73" ca="1">IF(OR($D73&lt;&gt;"Serviço",AND(AUTOEVENTO="Manual",$M73=$A$15),$M73&gt;(ROW(PLE.lastrow)-ROW(PLE.firstrow))),0,
           IF(OFFSET(PLE!$G$15,$M73-$A$15,AZ$13)="",10^12,OFFSET(PLE!$G$15,$M73-$A$15,AZ$13)))</f>
        <v>1000000000000</v>
      </c>
      <c r="BA73" s="172" cm="1">
        <f t="array" aca="1" ref="BA73" ca="1">IF(OR($D73&lt;&gt;"Serviço",AND(AUTOEVENTO="Manual",$M73=$A$15),$M73&gt;(ROW(PLE.lastrow)-ROW(PLE.firstrow))),0,
           IF(OFFSET(PLE!$G$15,$M73-$A$15,BA$13)="",10^12,OFFSET(PLE!$G$15,$M73-$A$15,BA$13)))</f>
        <v>1000000000000</v>
      </c>
      <c r="BB73" s="172" cm="1">
        <f t="array" aca="1" ref="BB73" ca="1">IF(OR($D73&lt;&gt;"Serviço",AND(AUTOEVENTO="Manual",$M73=$A$15),$M73&gt;(ROW(PLE.lastrow)-ROW(PLE.firstrow))),0,
           IF(OFFSET(PLE!$G$15,$M73-$A$15,BB$13)="",10^12,OFFSET(PLE!$G$15,$M73-$A$15,BB$13)))</f>
        <v>1000000000000</v>
      </c>
      <c r="BC73" s="172" cm="1">
        <f t="array" aca="1" ref="BC73" ca="1">IF(OR($D73&lt;&gt;"Serviço",AND(AUTOEVENTO="Manual",$M73=$A$15),$M73&gt;(ROW(PLE.lastrow)-ROW(PLE.firstrow))),0,
           IF(OFFSET(PLE!$G$15,$M73-$A$15,BC$13)="",10^12,OFFSET(PLE!$G$15,$M73-$A$15,BC$13)))</f>
        <v>1000000000000</v>
      </c>
      <c r="BD73" s="172" cm="1">
        <f t="array" aca="1" ref="BD73" ca="1">IF(OR($D73&lt;&gt;"Serviço",AND(AUTOEVENTO="Manual",$M73=$A$15),$M73&gt;(ROW(PLE.lastrow)-ROW(PLE.firstrow))),0,
           IF(OFFSET(PLE!$G$15,$M73-$A$15,BD$13)="",10^12,OFFSET(PLE!$G$15,$M73-$A$15,BD$13)))</f>
        <v>1000000000000</v>
      </c>
      <c r="BE73" s="172" cm="1">
        <f t="array" aca="1" ref="BE73" ca="1">IF(OR($D73&lt;&gt;"Serviço",AND(AUTOEVENTO="Manual",$M73=$A$15),$M73&gt;(ROW(PLE.lastrow)-ROW(PLE.firstrow))),0,
           IF(OFFSET(PLE!$G$15,$M73-$A$15,BE$13)="",10^12,OFFSET(PLE!$G$15,$M73-$A$15,BE$13)))</f>
        <v>1000000000000</v>
      </c>
      <c r="BF73" s="172" cm="1">
        <f t="array" aca="1" ref="BF73" ca="1">IF(OR($D73&lt;&gt;"Serviço",AND(AUTOEVENTO="Manual",$M73=$A$15),$M73&gt;(ROW(PLE.lastrow)-ROW(PLE.firstrow))),0,
           IF(OFFSET(PLE!$G$15,$M73-$A$15,BF$13)="",10^12,OFFSET(PLE!$G$15,$M73-$A$15,BF$13)))</f>
        <v>1000000000000</v>
      </c>
      <c r="BG73" s="172" cm="1">
        <f t="array" aca="1" ref="BG73" ca="1">IF(OR($D73&lt;&gt;"Serviço",AND(AUTOEVENTO="Manual",$M73=$A$15),$M73&gt;(ROW(PLE.lastrow)-ROW(PLE.firstrow))),0,
           IF(OFFSET(PLE!$G$15,$M73-$A$15,BG$13)="",10^12,OFFSET(PLE!$G$15,$M73-$A$15,BG$13)))</f>
        <v>1000000000000</v>
      </c>
    </row>
    <row r="74" spans="1:59" ht="38.25" x14ac:dyDescent="0.2">
      <c r="A74" s="7">
        <f t="shared" ca="1" si="8"/>
        <v>5</v>
      </c>
      <c r="B74" s="7" t="str">
        <f ca="1">OFFSET(ORÇAMENTO!C$15,$L74,0)</f>
        <v>S</v>
      </c>
      <c r="C74" s="7" t="str">
        <f ca="1">OFFSET(ORÇAMENTO!L$15,$L74,0)</f>
        <v>F</v>
      </c>
      <c r="D74" s="116" t="str">
        <f ca="1">OFFSET(ORÇAMENTO!N$15,$L74,0)</f>
        <v>Serviço</v>
      </c>
      <c r="E74" s="117" t="str">
        <f ca="1">OFFSET(ORÇAMENTO!O$15,$L74,0)</f>
        <v>1.5.1.3.</v>
      </c>
      <c r="F74" s="163" t="str">
        <f ca="1">OFFSET(ORÇAMENTO!R$15,$L74,0)</f>
        <v>(Código não identificado nas referências)</v>
      </c>
      <c r="G74" s="164" t="str">
        <f ca="1">IF($D74&lt;&gt;"Serviço","",OFFSET(ORÇAMENTO!S$15,$L74,0))</f>
        <v>UN</v>
      </c>
      <c r="H74" s="122" cm="1">
        <f t="array" aca="1" ref="H74" ca="1">IF($D74&lt;&gt;"Serviço",0,IF(ACOMPANHAMENTO="BM",ROUND(OFFSET(ORÇAMENTO!AJ$15,$L74,0),15-13*ORÇAMENTO!$AF$7),IF(IFERROR(CÁLCULO.FrentesPreenchidas,0)=0,0,SUM(ROUND(OFFSET($P74,0,1,1,CÁLCULO.FrentesPreenchidas),15-13*ORÇAMENTO!$AF$7)))))</f>
        <v>1</v>
      </c>
      <c r="I74" s="468" t="s">
        <v>1042</v>
      </c>
      <c r="J74" s="651" t="str" cm="1">
        <f t="array" aca="1" ref="J74" ca="1">IF(OR(B74&lt;&gt;"S",CÁLCULO.FrentesPreenchidas=0),"",IF(AND(ACOMPANHAMENTO="PLE",AUTOEVENTO="Manual",OR(H74&gt;0,ORÇAMENTO!AC74="QUANT."),OR(K74="",M74=0,N74="")),"►E",IF(AND(ACOMPANHAMENTO="PLE",ORÇAMENTO!AC74="QUANT."),"►Q",IF(AND(ACOMPANHAMENTO="PLE",H74&lt;&gt;SUMPRODUCT(($Q$1:$AA$1=1)*ROUND(Q74:AA74,15))),"►S",IF(AND(COUNTIF($P$11:$AA$11,"▼")=0,H74&gt;0,I74=""),"◄M","")))))</f>
        <v/>
      </c>
      <c r="K74" s="652" t="s">
        <v>1091</v>
      </c>
      <c r="L74" s="165">
        <f t="shared" ca="1" si="9"/>
        <v>59</v>
      </c>
      <c r="M74" s="166">
        <f ca="1">IF($D74&lt;&gt;"Serviço","",
          IF(AUTOEVENTO="manual",$A74,
                IF(ISERROR(MATCH($A74,$A$15:OFFSET($A74,-1,0),0)),MAX($M$15:OFFSET(M74,-1,0))+1,
                      INDEX($M$15:OFFSET(M74,-1,0),MATCH($A74,$A$15:OFFSET($A74,-1,0),0)))))</f>
        <v>5</v>
      </c>
      <c r="N74" s="167" t="str">
        <f ca="1">IF($D74&lt;&gt;"Serviço","",
         IF(AUTOEVENTO="Manual",
                IF($A74=0,"&lt;-- defina o número do agrupador",
                       OFFSET(EVENTOS!$D$15,$A74-$A$15,0)),
                OFFSET($F$15,$A74,0)))</f>
        <v>GALPÃO, UNIDADES ADMINISTRATIVAS E ÁREAS DE CONVIVÊNCIA</v>
      </c>
      <c r="O74" s="168"/>
      <c r="Q74" s="168"/>
      <c r="R74" s="169"/>
      <c r="S74" s="169"/>
      <c r="T74" s="169"/>
      <c r="U74" s="169"/>
      <c r="V74" s="169"/>
      <c r="W74" s="169"/>
      <c r="X74" s="169"/>
      <c r="Y74" s="169">
        <v>1</v>
      </c>
      <c r="Z74" s="170"/>
      <c r="AB74" s="453">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0</v>
      </c>
      <c r="AC74" s="453">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3">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3">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3">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3">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3">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3">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3">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6372.72</v>
      </c>
      <c r="AK74" s="453">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1">
        <f ca="1">IF(OR($D74&lt;&gt;"Serviço",AND(AUTOEVENTO="Manual",$M74=$A$15)),0,
         IF(OFFSET(CRONOPLE!$F$15,$M74-$A$15,AM$13)=0,10^12,OFFSET(CRONOPLE!$F$15,$M74-$A$15,AM$13)))</f>
        <v>1000000000000</v>
      </c>
      <c r="AN74" s="171">
        <f ca="1">IF(OR($D74&lt;&gt;"Serviço",AND(AUTOEVENTO="Manual",$M74=$A$15)),0,
         IF(OFFSET(CRONOPLE!$F$15,$M74-$A$15,AN$13)=0,10^12,OFFSET(CRONOPLE!$F$15,$M74-$A$15,AN$13)))</f>
        <v>2</v>
      </c>
      <c r="AO74" s="171">
        <f ca="1">IF(OR($D74&lt;&gt;"Serviço",AND(AUTOEVENTO="Manual",$M74=$A$15)),0,
         IF(OFFSET(CRONOPLE!$F$15,$M74-$A$15,AO$13)=0,10^12,OFFSET(CRONOPLE!$F$15,$M74-$A$15,AO$13)))</f>
        <v>3</v>
      </c>
      <c r="AP74" s="171">
        <f ca="1">IF(OR($D74&lt;&gt;"Serviço",AND(AUTOEVENTO="Manual",$M74=$A$15)),0,
         IF(OFFSET(CRONOPLE!$F$15,$M74-$A$15,AP$13)=0,10^12,OFFSET(CRONOPLE!$F$15,$M74-$A$15,AP$13)))</f>
        <v>4</v>
      </c>
      <c r="AQ74" s="171">
        <f ca="1">IF(OR($D74&lt;&gt;"Serviço",AND(AUTOEVENTO="Manual",$M74=$A$15)),0,
         IF(OFFSET(CRONOPLE!$F$15,$M74-$A$15,AQ$13)=0,10^12,OFFSET(CRONOPLE!$F$15,$M74-$A$15,AQ$13)))</f>
        <v>5</v>
      </c>
      <c r="AR74" s="171">
        <f ca="1">IF(OR($D74&lt;&gt;"Serviço",AND(AUTOEVENTO="Manual",$M74=$A$15)),0,
         IF(OFFSET(CRONOPLE!$F$15,$M74-$A$15,AR$13)=0,10^12,OFFSET(CRONOPLE!$F$15,$M74-$A$15,AR$13)))</f>
        <v>6</v>
      </c>
      <c r="AS74" s="171">
        <f ca="1">IF(OR($D74&lt;&gt;"Serviço",AND(AUTOEVENTO="Manual",$M74=$A$15)),0,
         IF(OFFSET(CRONOPLE!$F$15,$M74-$A$15,AS$13)=0,10^12,OFFSET(CRONOPLE!$F$15,$M74-$A$15,AS$13)))</f>
        <v>7</v>
      </c>
      <c r="AT74" s="171">
        <f ca="1">IF(OR($D74&lt;&gt;"Serviço",AND(AUTOEVENTO="Manual",$M74=$A$15)),0,
         IF(OFFSET(CRONOPLE!$F$15,$M74-$A$15,AT$13)=0,10^12,OFFSET(CRONOPLE!$F$15,$M74-$A$15,AT$13)))</f>
        <v>8</v>
      </c>
      <c r="AU74" s="171">
        <f ca="1">IF(OR($D74&lt;&gt;"Serviço",AND(AUTOEVENTO="Manual",$M74=$A$15)),0,
         IF(OFFSET(CRONOPLE!$F$15,$M74-$A$15,AU$13)=0,10^12,OFFSET(CRONOPLE!$F$15,$M74-$A$15,AU$13)))</f>
        <v>9</v>
      </c>
      <c r="AV74" s="171">
        <f ca="1">IF(OR($D74&lt;&gt;"Serviço",AND(AUTOEVENTO="Manual",$M74=$A$15)),0,
         IF(OFFSET(CRONOPLE!$F$15,$M74-$A$15,AV$13)=0,10^12,OFFSET(CRONOPLE!$F$15,$M74-$A$15,AV$13)))</f>
        <v>1000000000000</v>
      </c>
      <c r="AX74" s="172" cm="1">
        <f t="array" aca="1" ref="AX74" ca="1">IF(OR($D74&lt;&gt;"Serviço",AND(AUTOEVENTO="Manual",$M74=$A$15),$M74&gt;(ROW(PLE.lastrow)-ROW(PLE.firstrow))),0,
           IF(OFFSET(PLE!$G$15,$M74-$A$15,AX$13)="",10^12,OFFSET(PLE!$G$15,$M74-$A$15,AX$13)))</f>
        <v>1000000000000</v>
      </c>
      <c r="AY74" s="172" cm="1">
        <f t="array" aca="1" ref="AY74" ca="1">IF(OR($D74&lt;&gt;"Serviço",AND(AUTOEVENTO="Manual",$M74=$A$15),$M74&gt;(ROW(PLE.lastrow)-ROW(PLE.firstrow))),0,
           IF(OFFSET(PLE!$G$15,$M74-$A$15,AY$13)="",10^12,OFFSET(PLE!$G$15,$M74-$A$15,AY$13)))</f>
        <v>1000000000000</v>
      </c>
      <c r="AZ74" s="172" cm="1">
        <f t="array" aca="1" ref="AZ74" ca="1">IF(OR($D74&lt;&gt;"Serviço",AND(AUTOEVENTO="Manual",$M74=$A$15),$M74&gt;(ROW(PLE.lastrow)-ROW(PLE.firstrow))),0,
           IF(OFFSET(PLE!$G$15,$M74-$A$15,AZ$13)="",10^12,OFFSET(PLE!$G$15,$M74-$A$15,AZ$13)))</f>
        <v>1000000000000</v>
      </c>
      <c r="BA74" s="172" cm="1">
        <f t="array" aca="1" ref="BA74" ca="1">IF(OR($D74&lt;&gt;"Serviço",AND(AUTOEVENTO="Manual",$M74=$A$15),$M74&gt;(ROW(PLE.lastrow)-ROW(PLE.firstrow))),0,
           IF(OFFSET(PLE!$G$15,$M74-$A$15,BA$13)="",10^12,OFFSET(PLE!$G$15,$M74-$A$15,BA$13)))</f>
        <v>1000000000000</v>
      </c>
      <c r="BB74" s="172" cm="1">
        <f t="array" aca="1" ref="BB74" ca="1">IF(OR($D74&lt;&gt;"Serviço",AND(AUTOEVENTO="Manual",$M74=$A$15),$M74&gt;(ROW(PLE.lastrow)-ROW(PLE.firstrow))),0,
           IF(OFFSET(PLE!$G$15,$M74-$A$15,BB$13)="",10^12,OFFSET(PLE!$G$15,$M74-$A$15,BB$13)))</f>
        <v>1000000000000</v>
      </c>
      <c r="BC74" s="172" cm="1">
        <f t="array" aca="1" ref="BC74" ca="1">IF(OR($D74&lt;&gt;"Serviço",AND(AUTOEVENTO="Manual",$M74=$A$15),$M74&gt;(ROW(PLE.lastrow)-ROW(PLE.firstrow))),0,
           IF(OFFSET(PLE!$G$15,$M74-$A$15,BC$13)="",10^12,OFFSET(PLE!$G$15,$M74-$A$15,BC$13)))</f>
        <v>1000000000000</v>
      </c>
      <c r="BD74" s="172" cm="1">
        <f t="array" aca="1" ref="BD74" ca="1">IF(OR($D74&lt;&gt;"Serviço",AND(AUTOEVENTO="Manual",$M74=$A$15),$M74&gt;(ROW(PLE.lastrow)-ROW(PLE.firstrow))),0,
           IF(OFFSET(PLE!$G$15,$M74-$A$15,BD$13)="",10^12,OFFSET(PLE!$G$15,$M74-$A$15,BD$13)))</f>
        <v>1000000000000</v>
      </c>
      <c r="BE74" s="172" cm="1">
        <f t="array" aca="1" ref="BE74" ca="1">IF(OR($D74&lt;&gt;"Serviço",AND(AUTOEVENTO="Manual",$M74=$A$15),$M74&gt;(ROW(PLE.lastrow)-ROW(PLE.firstrow))),0,
           IF(OFFSET(PLE!$G$15,$M74-$A$15,BE$13)="",10^12,OFFSET(PLE!$G$15,$M74-$A$15,BE$13)))</f>
        <v>1000000000000</v>
      </c>
      <c r="BF74" s="172" cm="1">
        <f t="array" aca="1" ref="BF74" ca="1">IF(OR($D74&lt;&gt;"Serviço",AND(AUTOEVENTO="Manual",$M74=$A$15),$M74&gt;(ROW(PLE.lastrow)-ROW(PLE.firstrow))),0,
           IF(OFFSET(PLE!$G$15,$M74-$A$15,BF$13)="",10^12,OFFSET(PLE!$G$15,$M74-$A$15,BF$13)))</f>
        <v>1000000000000</v>
      </c>
      <c r="BG74" s="172" cm="1">
        <f t="array" aca="1" ref="BG74" ca="1">IF(OR($D74&lt;&gt;"Serviço",AND(AUTOEVENTO="Manual",$M74=$A$15),$M74&gt;(ROW(PLE.lastrow)-ROW(PLE.firstrow))),0,
           IF(OFFSET(PLE!$G$15,$M74-$A$15,BG$13)="",10^12,OFFSET(PLE!$G$15,$M74-$A$15,BG$13)))</f>
        <v>1000000000000</v>
      </c>
    </row>
    <row r="75" spans="1:59" ht="12.75" x14ac:dyDescent="0.2">
      <c r="A75" s="7">
        <f t="shared" ca="1" si="8"/>
        <v>6</v>
      </c>
      <c r="B75" s="7">
        <f ca="1">OFFSET(ORÇAMENTO!C$15,$L75,0)</f>
        <v>2</v>
      </c>
      <c r="C75" s="7" t="str">
        <f ca="1">OFFSET(ORÇAMENTO!L$15,$L75,0)</f>
        <v>F</v>
      </c>
      <c r="D75" s="116" t="str">
        <f ca="1">OFFSET(ORÇAMENTO!N$15,$L75,0)</f>
        <v>Nível 2</v>
      </c>
      <c r="E75" s="117" t="str">
        <f ca="1">OFFSET(ORÇAMENTO!O$15,$L75,0)</f>
        <v>1.6.</v>
      </c>
      <c r="F75" s="163" t="str">
        <f ca="1">OFFSET(ORÇAMENTO!R$15,$L75,0)</f>
        <v>PÁTIO DE COMPOSTAGEM</v>
      </c>
      <c r="G75" s="164" t="str">
        <f ca="1">IF($D75&lt;&gt;"Serviço","",OFFSET(ORÇAMENTO!S$15,$L75,0))</f>
        <v/>
      </c>
      <c r="H75" s="122" cm="1">
        <f t="array" aca="1" ref="H75" ca="1">IF($D75&lt;&gt;"Serviço",0,IF(ACOMPANHAMENTO="BM",ROUND(OFFSET(ORÇAMENTO!AJ$15,$L75,0),15-13*ORÇAMENTO!$AF$7),IF(IFERROR(CÁLCULO.FrentesPreenchidas,0)=0,0,SUM(ROUND(OFFSET($P75,0,1,1,CÁLCULO.FrentesPreenchidas),15-13*ORÇAMENTO!$AF$7)))))</f>
        <v>0</v>
      </c>
      <c r="I75" s="468"/>
      <c r="J75" s="651" t="str" cm="1">
        <f t="array" aca="1" ref="J75" ca="1">IF(OR(B75&lt;&gt;"S",CÁLCULO.FrentesPreenchidas=0),"",IF(AND(ACOMPANHAMENTO="PLE",AUTOEVENTO="Manual",OR(H75&gt;0,ORÇAMENTO!AC75="QUANT."),OR(K75="",M75=0,N75="")),"►E",IF(AND(ACOMPANHAMENTO="PLE",ORÇAMENTO!AC75="QUANT."),"►Q",IF(AND(ACOMPANHAMENTO="PLE",H75&lt;&gt;SUMPRODUCT(($Q$1:$AA$1=1)*ROUND(Q75:AA75,15))),"►S",IF(AND(COUNTIF($P$11:$AA$11,"▼")=0,H75&gt;0,I75=""),"◄M","")))))</f>
        <v/>
      </c>
      <c r="K75" s="652" t="s">
        <v>1093</v>
      </c>
      <c r="L75" s="165">
        <f t="shared" ca="1" si="9"/>
        <v>60</v>
      </c>
      <c r="M75" s="166" t="str">
        <f ca="1">IF($D75&lt;&gt;"Serviço","",
          IF(AUTOEVENTO="manual",$A75,
                IF(ISERROR(MATCH($A75,$A$15:OFFSET($A75,-1,0),0)),MAX($M$15:OFFSET(M75,-1,0))+1,
                      INDEX($M$15:OFFSET(M75,-1,0),MATCH($A75,$A$15:OFFSET($A75,-1,0),0)))))</f>
        <v/>
      </c>
      <c r="N75" s="167" t="str">
        <f ca="1">IF($D75&lt;&gt;"Serviço","",
         IF(AUTOEVENTO="Manual",
                IF($A75=0,"&lt;-- defina o número do agrupador",
                       OFFSET(EVENTOS!$D$15,$A75-$A$15,0)),
                OFFSET($F$15,$A75,0)))</f>
        <v/>
      </c>
      <c r="O75" s="168"/>
      <c r="Q75" s="168"/>
      <c r="R75" s="169"/>
      <c r="S75" s="169"/>
      <c r="T75" s="169"/>
      <c r="U75" s="169"/>
      <c r="V75" s="169"/>
      <c r="W75" s="169"/>
      <c r="X75" s="169"/>
      <c r="Y75" s="169"/>
      <c r="Z75" s="170"/>
      <c r="AB75" s="453">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0</v>
      </c>
      <c r="AC75" s="453">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3">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53">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3">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3">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3">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3">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3">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3">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1">
        <f ca="1">IF(OR($D75&lt;&gt;"Serviço",AND(AUTOEVENTO="Manual",$M75=$A$15)),0,
         IF(OFFSET(CRONOPLE!$F$15,$M75-$A$15,AM$13)=0,10^12,OFFSET(CRONOPLE!$F$15,$M75-$A$15,AM$13)))</f>
        <v>0</v>
      </c>
      <c r="AN75" s="171">
        <f ca="1">IF(OR($D75&lt;&gt;"Serviço",AND(AUTOEVENTO="Manual",$M75=$A$15)),0,
         IF(OFFSET(CRONOPLE!$F$15,$M75-$A$15,AN$13)=0,10^12,OFFSET(CRONOPLE!$F$15,$M75-$A$15,AN$13)))</f>
        <v>0</v>
      </c>
      <c r="AO75" s="171">
        <f ca="1">IF(OR($D75&lt;&gt;"Serviço",AND(AUTOEVENTO="Manual",$M75=$A$15)),0,
         IF(OFFSET(CRONOPLE!$F$15,$M75-$A$15,AO$13)=0,10^12,OFFSET(CRONOPLE!$F$15,$M75-$A$15,AO$13)))</f>
        <v>0</v>
      </c>
      <c r="AP75" s="171">
        <f ca="1">IF(OR($D75&lt;&gt;"Serviço",AND(AUTOEVENTO="Manual",$M75=$A$15)),0,
         IF(OFFSET(CRONOPLE!$F$15,$M75-$A$15,AP$13)=0,10^12,OFFSET(CRONOPLE!$F$15,$M75-$A$15,AP$13)))</f>
        <v>0</v>
      </c>
      <c r="AQ75" s="171">
        <f ca="1">IF(OR($D75&lt;&gt;"Serviço",AND(AUTOEVENTO="Manual",$M75=$A$15)),0,
         IF(OFFSET(CRONOPLE!$F$15,$M75-$A$15,AQ$13)=0,10^12,OFFSET(CRONOPLE!$F$15,$M75-$A$15,AQ$13)))</f>
        <v>0</v>
      </c>
      <c r="AR75" s="171">
        <f ca="1">IF(OR($D75&lt;&gt;"Serviço",AND(AUTOEVENTO="Manual",$M75=$A$15)),0,
         IF(OFFSET(CRONOPLE!$F$15,$M75-$A$15,AR$13)=0,10^12,OFFSET(CRONOPLE!$F$15,$M75-$A$15,AR$13)))</f>
        <v>0</v>
      </c>
      <c r="AS75" s="171">
        <f ca="1">IF(OR($D75&lt;&gt;"Serviço",AND(AUTOEVENTO="Manual",$M75=$A$15)),0,
         IF(OFFSET(CRONOPLE!$F$15,$M75-$A$15,AS$13)=0,10^12,OFFSET(CRONOPLE!$F$15,$M75-$A$15,AS$13)))</f>
        <v>0</v>
      </c>
      <c r="AT75" s="171">
        <f ca="1">IF(OR($D75&lt;&gt;"Serviço",AND(AUTOEVENTO="Manual",$M75=$A$15)),0,
         IF(OFFSET(CRONOPLE!$F$15,$M75-$A$15,AT$13)=0,10^12,OFFSET(CRONOPLE!$F$15,$M75-$A$15,AT$13)))</f>
        <v>0</v>
      </c>
      <c r="AU75" s="171">
        <f ca="1">IF(OR($D75&lt;&gt;"Serviço",AND(AUTOEVENTO="Manual",$M75=$A$15)),0,
         IF(OFFSET(CRONOPLE!$F$15,$M75-$A$15,AU$13)=0,10^12,OFFSET(CRONOPLE!$F$15,$M75-$A$15,AU$13)))</f>
        <v>0</v>
      </c>
      <c r="AV75" s="171">
        <f ca="1">IF(OR($D75&lt;&gt;"Serviço",AND(AUTOEVENTO="Manual",$M75=$A$15)),0,
         IF(OFFSET(CRONOPLE!$F$15,$M75-$A$15,AV$13)=0,10^12,OFFSET(CRONOPLE!$F$15,$M75-$A$15,AV$13)))</f>
        <v>0</v>
      </c>
      <c r="AX75" s="172" cm="1">
        <f t="array" aca="1" ref="AX75" ca="1">IF(OR($D75&lt;&gt;"Serviço",AND(AUTOEVENTO="Manual",$M75=$A$15),$M75&gt;(ROW(PLE.lastrow)-ROW(PLE.firstrow))),0,
           IF(OFFSET(PLE!$G$15,$M75-$A$15,AX$13)="",10^12,OFFSET(PLE!$G$15,$M75-$A$15,AX$13)))</f>
        <v>0</v>
      </c>
      <c r="AY75" s="172" cm="1">
        <f t="array" aca="1" ref="AY75" ca="1">IF(OR($D75&lt;&gt;"Serviço",AND(AUTOEVENTO="Manual",$M75=$A$15),$M75&gt;(ROW(PLE.lastrow)-ROW(PLE.firstrow))),0,
           IF(OFFSET(PLE!$G$15,$M75-$A$15,AY$13)="",10^12,OFFSET(PLE!$G$15,$M75-$A$15,AY$13)))</f>
        <v>0</v>
      </c>
      <c r="AZ75" s="172" cm="1">
        <f t="array" aca="1" ref="AZ75" ca="1">IF(OR($D75&lt;&gt;"Serviço",AND(AUTOEVENTO="Manual",$M75=$A$15),$M75&gt;(ROW(PLE.lastrow)-ROW(PLE.firstrow))),0,
           IF(OFFSET(PLE!$G$15,$M75-$A$15,AZ$13)="",10^12,OFFSET(PLE!$G$15,$M75-$A$15,AZ$13)))</f>
        <v>0</v>
      </c>
      <c r="BA75" s="172" cm="1">
        <f t="array" aca="1" ref="BA75" ca="1">IF(OR($D75&lt;&gt;"Serviço",AND(AUTOEVENTO="Manual",$M75=$A$15),$M75&gt;(ROW(PLE.lastrow)-ROW(PLE.firstrow))),0,
           IF(OFFSET(PLE!$G$15,$M75-$A$15,BA$13)="",10^12,OFFSET(PLE!$G$15,$M75-$A$15,BA$13)))</f>
        <v>0</v>
      </c>
      <c r="BB75" s="172" cm="1">
        <f t="array" aca="1" ref="BB75" ca="1">IF(OR($D75&lt;&gt;"Serviço",AND(AUTOEVENTO="Manual",$M75=$A$15),$M75&gt;(ROW(PLE.lastrow)-ROW(PLE.firstrow))),0,
           IF(OFFSET(PLE!$G$15,$M75-$A$15,BB$13)="",10^12,OFFSET(PLE!$G$15,$M75-$A$15,BB$13)))</f>
        <v>0</v>
      </c>
      <c r="BC75" s="172" cm="1">
        <f t="array" aca="1" ref="BC75" ca="1">IF(OR($D75&lt;&gt;"Serviço",AND(AUTOEVENTO="Manual",$M75=$A$15),$M75&gt;(ROW(PLE.lastrow)-ROW(PLE.firstrow))),0,
           IF(OFFSET(PLE!$G$15,$M75-$A$15,BC$13)="",10^12,OFFSET(PLE!$G$15,$M75-$A$15,BC$13)))</f>
        <v>0</v>
      </c>
      <c r="BD75" s="172" cm="1">
        <f t="array" aca="1" ref="BD75" ca="1">IF(OR($D75&lt;&gt;"Serviço",AND(AUTOEVENTO="Manual",$M75=$A$15),$M75&gt;(ROW(PLE.lastrow)-ROW(PLE.firstrow))),0,
           IF(OFFSET(PLE!$G$15,$M75-$A$15,BD$13)="",10^12,OFFSET(PLE!$G$15,$M75-$A$15,BD$13)))</f>
        <v>0</v>
      </c>
      <c r="BE75" s="172" cm="1">
        <f t="array" aca="1" ref="BE75" ca="1">IF(OR($D75&lt;&gt;"Serviço",AND(AUTOEVENTO="Manual",$M75=$A$15),$M75&gt;(ROW(PLE.lastrow)-ROW(PLE.firstrow))),0,
           IF(OFFSET(PLE!$G$15,$M75-$A$15,BE$13)="",10^12,OFFSET(PLE!$G$15,$M75-$A$15,BE$13)))</f>
        <v>0</v>
      </c>
      <c r="BF75" s="172" cm="1">
        <f t="array" aca="1" ref="BF75" ca="1">IF(OR($D75&lt;&gt;"Serviço",AND(AUTOEVENTO="Manual",$M75=$A$15),$M75&gt;(ROW(PLE.lastrow)-ROW(PLE.firstrow))),0,
           IF(OFFSET(PLE!$G$15,$M75-$A$15,BF$13)="",10^12,OFFSET(PLE!$G$15,$M75-$A$15,BF$13)))</f>
        <v>0</v>
      </c>
      <c r="BG75" s="172" cm="1">
        <f t="array" aca="1" ref="BG75" ca="1">IF(OR($D75&lt;&gt;"Serviço",AND(AUTOEVENTO="Manual",$M75=$A$15),$M75&gt;(ROW(PLE.lastrow)-ROW(PLE.firstrow))),0,
           IF(OFFSET(PLE!$G$15,$M75-$A$15,BG$13)="",10^12,OFFSET(PLE!$G$15,$M75-$A$15,BG$13)))</f>
        <v>0</v>
      </c>
    </row>
    <row r="76" spans="1:59" ht="12.75" x14ac:dyDescent="0.2">
      <c r="A76" s="7">
        <f t="shared" ca="1" si="8"/>
        <v>6</v>
      </c>
      <c r="B76" s="7">
        <f ca="1">OFFSET(ORÇAMENTO!C$15,$L76,0)</f>
        <v>3</v>
      </c>
      <c r="C76" s="7" t="str">
        <f ca="1">OFFSET(ORÇAMENTO!L$15,$L76,0)</f>
        <v>F</v>
      </c>
      <c r="D76" s="116" t="str">
        <f ca="1">OFFSET(ORÇAMENTO!N$15,$L76,0)</f>
        <v>Nível 3</v>
      </c>
      <c r="E76" s="117" t="str">
        <f ca="1">OFFSET(ORÇAMENTO!O$15,$L76,0)</f>
        <v>1.6.1.</v>
      </c>
      <c r="F76" s="163" t="str">
        <f ca="1">OFFSET(ORÇAMENTO!R$15,$L76,0)</f>
        <v>PÁTIO DE COMPOSTAGEM</v>
      </c>
      <c r="G76" s="164" t="str">
        <f ca="1">IF($D76&lt;&gt;"Serviço","",OFFSET(ORÇAMENTO!S$15,$L76,0))</f>
        <v/>
      </c>
      <c r="H76" s="122" cm="1">
        <f t="array" aca="1" ref="H76" ca="1">IF($D76&lt;&gt;"Serviço",0,IF(ACOMPANHAMENTO="BM",ROUND(OFFSET(ORÇAMENTO!AJ$15,$L76,0),15-13*ORÇAMENTO!$AF$7),IF(IFERROR(CÁLCULO.FrentesPreenchidas,0)=0,0,SUM(ROUND(OFFSET($P76,0,1,1,CÁLCULO.FrentesPreenchidas),15-13*ORÇAMENTO!$AF$7)))))</f>
        <v>0</v>
      </c>
      <c r="I76" s="468"/>
      <c r="J76" s="651" t="str" cm="1">
        <f t="array" aca="1" ref="J76" ca="1">IF(OR(B76&lt;&gt;"S",CÁLCULO.FrentesPreenchidas=0),"",IF(AND(ACOMPANHAMENTO="PLE",AUTOEVENTO="Manual",OR(H76&gt;0,ORÇAMENTO!AC76="QUANT."),OR(K76="",M76=0,N76="")),"►E",IF(AND(ACOMPANHAMENTO="PLE",ORÇAMENTO!AC76="QUANT."),"►Q",IF(AND(ACOMPANHAMENTO="PLE",H76&lt;&gt;SUMPRODUCT(($Q$1:$AA$1=1)*ROUND(Q76:AA76,15))),"►S",IF(AND(COUNTIF($P$11:$AA$11,"▼")=0,H76&gt;0,I76=""),"◄M","")))))</f>
        <v/>
      </c>
      <c r="K76" s="652" t="s">
        <v>1093</v>
      </c>
      <c r="L76" s="165">
        <f t="shared" ca="1" si="9"/>
        <v>61</v>
      </c>
      <c r="M76" s="166" t="str">
        <f ca="1">IF($D76&lt;&gt;"Serviço","",
          IF(AUTOEVENTO="manual",$A76,
                IF(ISERROR(MATCH($A76,$A$15:OFFSET($A76,-1,0),0)),MAX($M$15:OFFSET(M76,-1,0))+1,
                      INDEX($M$15:OFFSET(M76,-1,0),MATCH($A76,$A$15:OFFSET($A76,-1,0),0)))))</f>
        <v/>
      </c>
      <c r="N76" s="167" t="str">
        <f ca="1">IF($D76&lt;&gt;"Serviço","",
         IF(AUTOEVENTO="Manual",
                IF($A76=0,"&lt;-- defina o número do agrupador",
                       OFFSET(EVENTOS!$D$15,$A76-$A$15,0)),
                OFFSET($F$15,$A76,0)))</f>
        <v/>
      </c>
      <c r="O76" s="168"/>
      <c r="Q76" s="168"/>
      <c r="R76" s="169"/>
      <c r="S76" s="169"/>
      <c r="T76" s="169"/>
      <c r="U76" s="169"/>
      <c r="V76" s="169"/>
      <c r="W76" s="169"/>
      <c r="X76" s="169"/>
      <c r="Y76" s="169"/>
      <c r="Z76" s="170"/>
      <c r="AB76" s="453">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0</v>
      </c>
      <c r="AC76" s="453">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0</v>
      </c>
      <c r="AD76" s="453">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0</v>
      </c>
      <c r="AE76" s="453">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53">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53">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0</v>
      </c>
      <c r="AH76" s="453">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0</v>
      </c>
      <c r="AI76" s="453">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53">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3">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71">
        <f ca="1">IF(OR($D76&lt;&gt;"Serviço",AND(AUTOEVENTO="Manual",$M76=$A$15)),0,
         IF(OFFSET(CRONOPLE!$F$15,$M76-$A$15,AM$13)=0,10^12,OFFSET(CRONOPLE!$F$15,$M76-$A$15,AM$13)))</f>
        <v>0</v>
      </c>
      <c r="AN76" s="171">
        <f ca="1">IF(OR($D76&lt;&gt;"Serviço",AND(AUTOEVENTO="Manual",$M76=$A$15)),0,
         IF(OFFSET(CRONOPLE!$F$15,$M76-$A$15,AN$13)=0,10^12,OFFSET(CRONOPLE!$F$15,$M76-$A$15,AN$13)))</f>
        <v>0</v>
      </c>
      <c r="AO76" s="171">
        <f ca="1">IF(OR($D76&lt;&gt;"Serviço",AND(AUTOEVENTO="Manual",$M76=$A$15)),0,
         IF(OFFSET(CRONOPLE!$F$15,$M76-$A$15,AO$13)=0,10^12,OFFSET(CRONOPLE!$F$15,$M76-$A$15,AO$13)))</f>
        <v>0</v>
      </c>
      <c r="AP76" s="171">
        <f ca="1">IF(OR($D76&lt;&gt;"Serviço",AND(AUTOEVENTO="Manual",$M76=$A$15)),0,
         IF(OFFSET(CRONOPLE!$F$15,$M76-$A$15,AP$13)=0,10^12,OFFSET(CRONOPLE!$F$15,$M76-$A$15,AP$13)))</f>
        <v>0</v>
      </c>
      <c r="AQ76" s="171">
        <f ca="1">IF(OR($D76&lt;&gt;"Serviço",AND(AUTOEVENTO="Manual",$M76=$A$15)),0,
         IF(OFFSET(CRONOPLE!$F$15,$M76-$A$15,AQ$13)=0,10^12,OFFSET(CRONOPLE!$F$15,$M76-$A$15,AQ$13)))</f>
        <v>0</v>
      </c>
      <c r="AR76" s="171">
        <f ca="1">IF(OR($D76&lt;&gt;"Serviço",AND(AUTOEVENTO="Manual",$M76=$A$15)),0,
         IF(OFFSET(CRONOPLE!$F$15,$M76-$A$15,AR$13)=0,10^12,OFFSET(CRONOPLE!$F$15,$M76-$A$15,AR$13)))</f>
        <v>0</v>
      </c>
      <c r="AS76" s="171">
        <f ca="1">IF(OR($D76&lt;&gt;"Serviço",AND(AUTOEVENTO="Manual",$M76=$A$15)),0,
         IF(OFFSET(CRONOPLE!$F$15,$M76-$A$15,AS$13)=0,10^12,OFFSET(CRONOPLE!$F$15,$M76-$A$15,AS$13)))</f>
        <v>0</v>
      </c>
      <c r="AT76" s="171">
        <f ca="1">IF(OR($D76&lt;&gt;"Serviço",AND(AUTOEVENTO="Manual",$M76=$A$15)),0,
         IF(OFFSET(CRONOPLE!$F$15,$M76-$A$15,AT$13)=0,10^12,OFFSET(CRONOPLE!$F$15,$M76-$A$15,AT$13)))</f>
        <v>0</v>
      </c>
      <c r="AU76" s="171">
        <f ca="1">IF(OR($D76&lt;&gt;"Serviço",AND(AUTOEVENTO="Manual",$M76=$A$15)),0,
         IF(OFFSET(CRONOPLE!$F$15,$M76-$A$15,AU$13)=0,10^12,OFFSET(CRONOPLE!$F$15,$M76-$A$15,AU$13)))</f>
        <v>0</v>
      </c>
      <c r="AV76" s="171">
        <f ca="1">IF(OR($D76&lt;&gt;"Serviço",AND(AUTOEVENTO="Manual",$M76=$A$15)),0,
         IF(OFFSET(CRONOPLE!$F$15,$M76-$A$15,AV$13)=0,10^12,OFFSET(CRONOPLE!$F$15,$M76-$A$15,AV$13)))</f>
        <v>0</v>
      </c>
      <c r="AX76" s="172" cm="1">
        <f t="array" aca="1" ref="AX76" ca="1">IF(OR($D76&lt;&gt;"Serviço",AND(AUTOEVENTO="Manual",$M76=$A$15),$M76&gt;(ROW(PLE.lastrow)-ROW(PLE.firstrow))),0,
           IF(OFFSET(PLE!$G$15,$M76-$A$15,AX$13)="",10^12,OFFSET(PLE!$G$15,$M76-$A$15,AX$13)))</f>
        <v>0</v>
      </c>
      <c r="AY76" s="172" cm="1">
        <f t="array" aca="1" ref="AY76" ca="1">IF(OR($D76&lt;&gt;"Serviço",AND(AUTOEVENTO="Manual",$M76=$A$15),$M76&gt;(ROW(PLE.lastrow)-ROW(PLE.firstrow))),0,
           IF(OFFSET(PLE!$G$15,$M76-$A$15,AY$13)="",10^12,OFFSET(PLE!$G$15,$M76-$A$15,AY$13)))</f>
        <v>0</v>
      </c>
      <c r="AZ76" s="172" cm="1">
        <f t="array" aca="1" ref="AZ76" ca="1">IF(OR($D76&lt;&gt;"Serviço",AND(AUTOEVENTO="Manual",$M76=$A$15),$M76&gt;(ROW(PLE.lastrow)-ROW(PLE.firstrow))),0,
           IF(OFFSET(PLE!$G$15,$M76-$A$15,AZ$13)="",10^12,OFFSET(PLE!$G$15,$M76-$A$15,AZ$13)))</f>
        <v>0</v>
      </c>
      <c r="BA76" s="172" cm="1">
        <f t="array" aca="1" ref="BA76" ca="1">IF(OR($D76&lt;&gt;"Serviço",AND(AUTOEVENTO="Manual",$M76=$A$15),$M76&gt;(ROW(PLE.lastrow)-ROW(PLE.firstrow))),0,
           IF(OFFSET(PLE!$G$15,$M76-$A$15,BA$13)="",10^12,OFFSET(PLE!$G$15,$M76-$A$15,BA$13)))</f>
        <v>0</v>
      </c>
      <c r="BB76" s="172" cm="1">
        <f t="array" aca="1" ref="BB76" ca="1">IF(OR($D76&lt;&gt;"Serviço",AND(AUTOEVENTO="Manual",$M76=$A$15),$M76&gt;(ROW(PLE.lastrow)-ROW(PLE.firstrow))),0,
           IF(OFFSET(PLE!$G$15,$M76-$A$15,BB$13)="",10^12,OFFSET(PLE!$G$15,$M76-$A$15,BB$13)))</f>
        <v>0</v>
      </c>
      <c r="BC76" s="172" cm="1">
        <f t="array" aca="1" ref="BC76" ca="1">IF(OR($D76&lt;&gt;"Serviço",AND(AUTOEVENTO="Manual",$M76=$A$15),$M76&gt;(ROW(PLE.lastrow)-ROW(PLE.firstrow))),0,
           IF(OFFSET(PLE!$G$15,$M76-$A$15,BC$13)="",10^12,OFFSET(PLE!$G$15,$M76-$A$15,BC$13)))</f>
        <v>0</v>
      </c>
      <c r="BD76" s="172" cm="1">
        <f t="array" aca="1" ref="BD76" ca="1">IF(OR($D76&lt;&gt;"Serviço",AND(AUTOEVENTO="Manual",$M76=$A$15),$M76&gt;(ROW(PLE.lastrow)-ROW(PLE.firstrow))),0,
           IF(OFFSET(PLE!$G$15,$M76-$A$15,BD$13)="",10^12,OFFSET(PLE!$G$15,$M76-$A$15,BD$13)))</f>
        <v>0</v>
      </c>
      <c r="BE76" s="172" cm="1">
        <f t="array" aca="1" ref="BE76" ca="1">IF(OR($D76&lt;&gt;"Serviço",AND(AUTOEVENTO="Manual",$M76=$A$15),$M76&gt;(ROW(PLE.lastrow)-ROW(PLE.firstrow))),0,
           IF(OFFSET(PLE!$G$15,$M76-$A$15,BE$13)="",10^12,OFFSET(PLE!$G$15,$M76-$A$15,BE$13)))</f>
        <v>0</v>
      </c>
      <c r="BF76" s="172" cm="1">
        <f t="array" aca="1" ref="BF76" ca="1">IF(OR($D76&lt;&gt;"Serviço",AND(AUTOEVENTO="Manual",$M76=$A$15),$M76&gt;(ROW(PLE.lastrow)-ROW(PLE.firstrow))),0,
           IF(OFFSET(PLE!$G$15,$M76-$A$15,BF$13)="",10^12,OFFSET(PLE!$G$15,$M76-$A$15,BF$13)))</f>
        <v>0</v>
      </c>
      <c r="BG76" s="172" cm="1">
        <f t="array" aca="1" ref="BG76" ca="1">IF(OR($D76&lt;&gt;"Serviço",AND(AUTOEVENTO="Manual",$M76=$A$15),$M76&gt;(ROW(PLE.lastrow)-ROW(PLE.firstrow))),0,
           IF(OFFSET(PLE!$G$15,$M76-$A$15,BG$13)="",10^12,OFFSET(PLE!$G$15,$M76-$A$15,BG$13)))</f>
        <v>0</v>
      </c>
    </row>
    <row r="77" spans="1:59" ht="25.5" x14ac:dyDescent="0.2">
      <c r="A77" s="7">
        <f t="shared" ca="1" si="8"/>
        <v>6</v>
      </c>
      <c r="B77" s="7" t="str">
        <f ca="1">OFFSET(ORÇAMENTO!C$15,$L77,0)</f>
        <v>S</v>
      </c>
      <c r="C77" s="7" t="str">
        <f ca="1">OFFSET(ORÇAMENTO!L$15,$L77,0)</f>
        <v>F</v>
      </c>
      <c r="D77" s="116" t="str">
        <f ca="1">OFFSET(ORÇAMENTO!N$15,$L77,0)</f>
        <v>Serviço</v>
      </c>
      <c r="E77" s="117" t="str">
        <f ca="1">OFFSET(ORÇAMENTO!O$15,$L77,0)</f>
        <v>1.6.1.1.</v>
      </c>
      <c r="F77" s="163" t="str">
        <f ca="1">OFFSET(ORÇAMENTO!R$15,$L77,0)</f>
        <v>(Código não identificado nas referências)</v>
      </c>
      <c r="G77" s="164" t="str">
        <f ca="1">IF($D77&lt;&gt;"Serviço","",OFFSET(ORÇAMENTO!S$15,$L77,0))</f>
        <v>-</v>
      </c>
      <c r="H77" s="122" cm="1">
        <f t="array" aca="1" ref="H77" ca="1">IF($D77&lt;&gt;"Serviço",0,IF(ACOMPANHAMENTO="BM",ROUND(OFFSET(ORÇAMENTO!AJ$15,$L77,0),15-13*ORÇAMENTO!$AF$7),IF(IFERROR(CÁLCULO.FrentesPreenchidas,0)=0,0,SUM(ROUND(OFFSET($P77,0,1,1,CÁLCULO.FrentesPreenchidas),15-13*ORÇAMENTO!$AF$7)))))</f>
        <v>2000</v>
      </c>
      <c r="I77" s="468" t="s">
        <v>1094</v>
      </c>
      <c r="J77" s="651" t="str" cm="1">
        <f t="array" aca="1" ref="J77" ca="1">IF(OR(B77&lt;&gt;"S",CÁLCULO.FrentesPreenchidas=0),"",IF(AND(ACOMPANHAMENTO="PLE",AUTOEVENTO="Manual",OR(H77&gt;0,ORÇAMENTO!AC77="QUANT."),OR(K77="",M77=0,N77="")),"►E",IF(AND(ACOMPANHAMENTO="PLE",ORÇAMENTO!AC77="QUANT."),"►Q",IF(AND(ACOMPANHAMENTO="PLE",H77&lt;&gt;SUMPRODUCT(($Q$1:$AA$1=1)*ROUND(Q77:AA77,15))),"►S",IF(AND(COUNTIF($P$11:$AA$11,"▼")=0,H77&gt;0,I77=""),"◄M","")))))</f>
        <v/>
      </c>
      <c r="K77" s="652" t="s">
        <v>1093</v>
      </c>
      <c r="L77" s="165">
        <f t="shared" ca="1" si="9"/>
        <v>62</v>
      </c>
      <c r="M77" s="166">
        <f ca="1">IF($D77&lt;&gt;"Serviço","",
          IF(AUTOEVENTO="manual",$A77,
                IF(ISERROR(MATCH($A77,$A$15:OFFSET($A77,-1,0),0)),MAX($M$15:OFFSET(M77,-1,0))+1,
                      INDEX($M$15:OFFSET(M77,-1,0),MATCH($A77,$A$15:OFFSET($A77,-1,0),0)))))</f>
        <v>6</v>
      </c>
      <c r="N77" s="167" t="str">
        <f ca="1">IF($D77&lt;&gt;"Serviço","",
         IF(AUTOEVENTO="Manual",
                IF($A77=0,"&lt;-- defina o número do agrupador",
                       OFFSET(EVENTOS!$D$15,$A77-$A$15,0)),
                OFFSET($F$15,$A77,0)))</f>
        <v>PÁTIO DE COMPOSTAGEM</v>
      </c>
      <c r="O77" s="168"/>
      <c r="Q77" s="168"/>
      <c r="R77" s="169"/>
      <c r="S77" s="169"/>
      <c r="T77" s="169"/>
      <c r="U77" s="169"/>
      <c r="V77" s="169"/>
      <c r="W77" s="169"/>
      <c r="X77" s="169">
        <v>1000</v>
      </c>
      <c r="Y77" s="169">
        <v>1000</v>
      </c>
      <c r="Z77" s="170"/>
      <c r="AB77" s="453">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0</v>
      </c>
      <c r="AC77" s="453">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0</v>
      </c>
      <c r="AD77" s="453">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0</v>
      </c>
      <c r="AE77" s="453">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53">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53">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53">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0</v>
      </c>
      <c r="AI77" s="453">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155900</v>
      </c>
      <c r="AJ77" s="453">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155900</v>
      </c>
      <c r="AK77" s="453">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71">
        <f ca="1">IF(OR($D77&lt;&gt;"Serviço",AND(AUTOEVENTO="Manual",$M77=$A$15)),0,
         IF(OFFSET(CRONOPLE!$F$15,$M77-$A$15,AM$13)=0,10^12,OFFSET(CRONOPLE!$F$15,$M77-$A$15,AM$13)))</f>
        <v>1000000000000</v>
      </c>
      <c r="AN77" s="171">
        <f ca="1">IF(OR($D77&lt;&gt;"Serviço",AND(AUTOEVENTO="Manual",$M77=$A$15)),0,
         IF(OFFSET(CRONOPLE!$F$15,$M77-$A$15,AN$13)=0,10^12,OFFSET(CRONOPLE!$F$15,$M77-$A$15,AN$13)))</f>
        <v>1000000000000</v>
      </c>
      <c r="AO77" s="171">
        <f ca="1">IF(OR($D77&lt;&gt;"Serviço",AND(AUTOEVENTO="Manual",$M77=$A$15)),0,
         IF(OFFSET(CRONOPLE!$F$15,$M77-$A$15,AO$13)=0,10^12,OFFSET(CRONOPLE!$F$15,$M77-$A$15,AO$13)))</f>
        <v>1000000000000</v>
      </c>
      <c r="AP77" s="171">
        <f ca="1">IF(OR($D77&lt;&gt;"Serviço",AND(AUTOEVENTO="Manual",$M77=$A$15)),0,
         IF(OFFSET(CRONOPLE!$F$15,$M77-$A$15,AP$13)=0,10^12,OFFSET(CRONOPLE!$F$15,$M77-$A$15,AP$13)))</f>
        <v>1000000000000</v>
      </c>
      <c r="AQ77" s="171">
        <f ca="1">IF(OR($D77&lt;&gt;"Serviço",AND(AUTOEVENTO="Manual",$M77=$A$15)),0,
         IF(OFFSET(CRONOPLE!$F$15,$M77-$A$15,AQ$13)=0,10^12,OFFSET(CRONOPLE!$F$15,$M77-$A$15,AQ$13)))</f>
        <v>1000000000000</v>
      </c>
      <c r="AR77" s="171">
        <f ca="1">IF(OR($D77&lt;&gt;"Serviço",AND(AUTOEVENTO="Manual",$M77=$A$15)),0,
         IF(OFFSET(CRONOPLE!$F$15,$M77-$A$15,AR$13)=0,10^12,OFFSET(CRONOPLE!$F$15,$M77-$A$15,AR$13)))</f>
        <v>1000000000000</v>
      </c>
      <c r="AS77" s="171">
        <f ca="1">IF(OR($D77&lt;&gt;"Serviço",AND(AUTOEVENTO="Manual",$M77=$A$15)),0,
         IF(OFFSET(CRONOPLE!$F$15,$M77-$A$15,AS$13)=0,10^12,OFFSET(CRONOPLE!$F$15,$M77-$A$15,AS$13)))</f>
        <v>1000000000000</v>
      </c>
      <c r="AT77" s="171">
        <f ca="1">IF(OR($D77&lt;&gt;"Serviço",AND(AUTOEVENTO="Manual",$M77=$A$15)),0,
         IF(OFFSET(CRONOPLE!$F$15,$M77-$A$15,AT$13)=0,10^12,OFFSET(CRONOPLE!$F$15,$M77-$A$15,AT$13)))</f>
        <v>8</v>
      </c>
      <c r="AU77" s="171">
        <f ca="1">IF(OR($D77&lt;&gt;"Serviço",AND(AUTOEVENTO="Manual",$M77=$A$15)),0,
         IF(OFFSET(CRONOPLE!$F$15,$M77-$A$15,AU$13)=0,10^12,OFFSET(CRONOPLE!$F$15,$M77-$A$15,AU$13)))</f>
        <v>9</v>
      </c>
      <c r="AV77" s="171">
        <f ca="1">IF(OR($D77&lt;&gt;"Serviço",AND(AUTOEVENTO="Manual",$M77=$A$15)),0,
         IF(OFFSET(CRONOPLE!$F$15,$M77-$A$15,AV$13)=0,10^12,OFFSET(CRONOPLE!$F$15,$M77-$A$15,AV$13)))</f>
        <v>1000000000000</v>
      </c>
      <c r="AX77" s="172" cm="1">
        <f t="array" aca="1" ref="AX77" ca="1">IF(OR($D77&lt;&gt;"Serviço",AND(AUTOEVENTO="Manual",$M77=$A$15),$M77&gt;(ROW(PLE.lastrow)-ROW(PLE.firstrow))),0,
           IF(OFFSET(PLE!$G$15,$M77-$A$15,AX$13)="",10^12,OFFSET(PLE!$G$15,$M77-$A$15,AX$13)))</f>
        <v>1000000000000</v>
      </c>
      <c r="AY77" s="172" cm="1">
        <f t="array" aca="1" ref="AY77" ca="1">IF(OR($D77&lt;&gt;"Serviço",AND(AUTOEVENTO="Manual",$M77=$A$15),$M77&gt;(ROW(PLE.lastrow)-ROW(PLE.firstrow))),0,
           IF(OFFSET(PLE!$G$15,$M77-$A$15,AY$13)="",10^12,OFFSET(PLE!$G$15,$M77-$A$15,AY$13)))</f>
        <v>1000000000000</v>
      </c>
      <c r="AZ77" s="172" cm="1">
        <f t="array" aca="1" ref="AZ77" ca="1">IF(OR($D77&lt;&gt;"Serviço",AND(AUTOEVENTO="Manual",$M77=$A$15),$M77&gt;(ROW(PLE.lastrow)-ROW(PLE.firstrow))),0,
           IF(OFFSET(PLE!$G$15,$M77-$A$15,AZ$13)="",10^12,OFFSET(PLE!$G$15,$M77-$A$15,AZ$13)))</f>
        <v>1000000000000</v>
      </c>
      <c r="BA77" s="172" cm="1">
        <f t="array" aca="1" ref="BA77" ca="1">IF(OR($D77&lt;&gt;"Serviço",AND(AUTOEVENTO="Manual",$M77=$A$15),$M77&gt;(ROW(PLE.lastrow)-ROW(PLE.firstrow))),0,
           IF(OFFSET(PLE!$G$15,$M77-$A$15,BA$13)="",10^12,OFFSET(PLE!$G$15,$M77-$A$15,BA$13)))</f>
        <v>1000000000000</v>
      </c>
      <c r="BB77" s="172" cm="1">
        <f t="array" aca="1" ref="BB77" ca="1">IF(OR($D77&lt;&gt;"Serviço",AND(AUTOEVENTO="Manual",$M77=$A$15),$M77&gt;(ROW(PLE.lastrow)-ROW(PLE.firstrow))),0,
           IF(OFFSET(PLE!$G$15,$M77-$A$15,BB$13)="",10^12,OFFSET(PLE!$G$15,$M77-$A$15,BB$13)))</f>
        <v>1000000000000</v>
      </c>
      <c r="BC77" s="172" cm="1">
        <f t="array" aca="1" ref="BC77" ca="1">IF(OR($D77&lt;&gt;"Serviço",AND(AUTOEVENTO="Manual",$M77=$A$15),$M77&gt;(ROW(PLE.lastrow)-ROW(PLE.firstrow))),0,
           IF(OFFSET(PLE!$G$15,$M77-$A$15,BC$13)="",10^12,OFFSET(PLE!$G$15,$M77-$A$15,BC$13)))</f>
        <v>1000000000000</v>
      </c>
      <c r="BD77" s="172" cm="1">
        <f t="array" aca="1" ref="BD77" ca="1">IF(OR($D77&lt;&gt;"Serviço",AND(AUTOEVENTO="Manual",$M77=$A$15),$M77&gt;(ROW(PLE.lastrow)-ROW(PLE.firstrow))),0,
           IF(OFFSET(PLE!$G$15,$M77-$A$15,BD$13)="",10^12,OFFSET(PLE!$G$15,$M77-$A$15,BD$13)))</f>
        <v>1000000000000</v>
      </c>
      <c r="BE77" s="172" cm="1">
        <f t="array" aca="1" ref="BE77" ca="1">IF(OR($D77&lt;&gt;"Serviço",AND(AUTOEVENTO="Manual",$M77=$A$15),$M77&gt;(ROW(PLE.lastrow)-ROW(PLE.firstrow))),0,
           IF(OFFSET(PLE!$G$15,$M77-$A$15,BE$13)="",10^12,OFFSET(PLE!$G$15,$M77-$A$15,BE$13)))</f>
        <v>1000000000000</v>
      </c>
      <c r="BF77" s="172" cm="1">
        <f t="array" aca="1" ref="BF77" ca="1">IF(OR($D77&lt;&gt;"Serviço",AND(AUTOEVENTO="Manual",$M77=$A$15),$M77&gt;(ROW(PLE.lastrow)-ROW(PLE.firstrow))),0,
           IF(OFFSET(PLE!$G$15,$M77-$A$15,BF$13)="",10^12,OFFSET(PLE!$G$15,$M77-$A$15,BF$13)))</f>
        <v>1000000000000</v>
      </c>
      <c r="BG77" s="172" cm="1">
        <f t="array" aca="1" ref="BG77" ca="1">IF(OR($D77&lt;&gt;"Serviço",AND(AUTOEVENTO="Manual",$M77=$A$15),$M77&gt;(ROW(PLE.lastrow)-ROW(PLE.firstrow))),0,
           IF(OFFSET(PLE!$G$15,$M77-$A$15,BG$13)="",10^12,OFFSET(PLE!$G$15,$M77-$A$15,BG$13)))</f>
        <v>1000000000000</v>
      </c>
    </row>
    <row r="78" spans="1:59" ht="51" x14ac:dyDescent="0.2">
      <c r="A78" s="7">
        <f t="shared" ca="1" si="8"/>
        <v>6</v>
      </c>
      <c r="B78" s="7" t="str">
        <f ca="1">OFFSET(ORÇAMENTO!C$15,$L78,0)</f>
        <v>S</v>
      </c>
      <c r="C78" s="7" t="str">
        <f ca="1">OFFSET(ORÇAMENTO!L$15,$L78,0)</f>
        <v>F</v>
      </c>
      <c r="D78" s="116" t="str">
        <f ca="1">OFFSET(ORÇAMENTO!N$15,$L78,0)</f>
        <v>Serviço</v>
      </c>
      <c r="E78" s="117" t="str">
        <f ca="1">OFFSET(ORÇAMENTO!O$15,$L78,0)</f>
        <v>1.6.1.2.</v>
      </c>
      <c r="F78" s="163" t="str">
        <f ca="1">OFFSET(ORÇAMENTO!R$15,$L78,0)</f>
        <v>(Código não identificado nas referências)</v>
      </c>
      <c r="G78" s="164" t="str">
        <f ca="1">IF($D78&lt;&gt;"Serviço","",OFFSET(ORÇAMENTO!S$15,$L78,0))</f>
        <v>-</v>
      </c>
      <c r="H78" s="122" cm="1">
        <f t="array" aca="1" ref="H78" ca="1">IF($D78&lt;&gt;"Serviço",0,IF(ACOMPANHAMENTO="BM",ROUND(OFFSET(ORÇAMENTO!AJ$15,$L78,0),15-13*ORÇAMENTO!$AF$7),IF(IFERROR(CÁLCULO.FrentesPreenchidas,0)=0,0,SUM(ROUND(OFFSET($P78,0,1,1,CÁLCULO.FrentesPreenchidas),15-13*ORÇAMENTO!$AF$7)))))</f>
        <v>210</v>
      </c>
      <c r="I78" s="468" t="s">
        <v>1095</v>
      </c>
      <c r="J78" s="651" t="str" cm="1">
        <f t="array" aca="1" ref="J78" ca="1">IF(OR(B78&lt;&gt;"S",CÁLCULO.FrentesPreenchidas=0),"",IF(AND(ACOMPANHAMENTO="PLE",AUTOEVENTO="Manual",OR(H78&gt;0,ORÇAMENTO!AC78="QUANT."),OR(K78="",M78=0,N78="")),"►E",IF(AND(ACOMPANHAMENTO="PLE",ORÇAMENTO!AC78="QUANT."),"►Q",IF(AND(ACOMPANHAMENTO="PLE",H78&lt;&gt;SUMPRODUCT(($Q$1:$AA$1=1)*ROUND(Q78:AA78,15))),"►S",IF(AND(COUNTIF($P$11:$AA$11,"▼")=0,H78&gt;0,I78=""),"◄M","")))))</f>
        <v/>
      </c>
      <c r="K78" s="652" t="s">
        <v>1093</v>
      </c>
      <c r="L78" s="165">
        <f t="shared" ca="1" si="9"/>
        <v>63</v>
      </c>
      <c r="M78" s="166">
        <f ca="1">IF($D78&lt;&gt;"Serviço","",
          IF(AUTOEVENTO="manual",$A78,
                IF(ISERROR(MATCH($A78,$A$15:OFFSET($A78,-1,0),0)),MAX($M$15:OFFSET(M78,-1,0))+1,
                      INDEX($M$15:OFFSET(M78,-1,0),MATCH($A78,$A$15:OFFSET($A78,-1,0),0)))))</f>
        <v>6</v>
      </c>
      <c r="N78" s="167" t="str">
        <f ca="1">IF($D78&lt;&gt;"Serviço","",
         IF(AUTOEVENTO="Manual",
                IF($A78=0,"&lt;-- defina o número do agrupador",
                       OFFSET(EVENTOS!$D$15,$A78-$A$15,0)),
                OFFSET($F$15,$A78,0)))</f>
        <v>PÁTIO DE COMPOSTAGEM</v>
      </c>
      <c r="O78" s="168"/>
      <c r="Q78" s="168"/>
      <c r="R78" s="169"/>
      <c r="S78" s="169"/>
      <c r="T78" s="169"/>
      <c r="U78" s="169"/>
      <c r="V78" s="169"/>
      <c r="W78" s="169"/>
      <c r="X78" s="169">
        <v>105</v>
      </c>
      <c r="Y78" s="169">
        <v>105</v>
      </c>
      <c r="Z78" s="170"/>
      <c r="AB78" s="453">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0</v>
      </c>
      <c r="AC78" s="453">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53">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0</v>
      </c>
      <c r="AE78" s="453">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53">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53">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53">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53">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13737.15</v>
      </c>
      <c r="AJ78" s="453">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13737.15</v>
      </c>
      <c r="AK78" s="453">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71">
        <f ca="1">IF(OR($D78&lt;&gt;"Serviço",AND(AUTOEVENTO="Manual",$M78=$A$15)),0,
         IF(OFFSET(CRONOPLE!$F$15,$M78-$A$15,AM$13)=0,10^12,OFFSET(CRONOPLE!$F$15,$M78-$A$15,AM$13)))</f>
        <v>1000000000000</v>
      </c>
      <c r="AN78" s="171">
        <f ca="1">IF(OR($D78&lt;&gt;"Serviço",AND(AUTOEVENTO="Manual",$M78=$A$15)),0,
         IF(OFFSET(CRONOPLE!$F$15,$M78-$A$15,AN$13)=0,10^12,OFFSET(CRONOPLE!$F$15,$M78-$A$15,AN$13)))</f>
        <v>1000000000000</v>
      </c>
      <c r="AO78" s="171">
        <f ca="1">IF(OR($D78&lt;&gt;"Serviço",AND(AUTOEVENTO="Manual",$M78=$A$15)),0,
         IF(OFFSET(CRONOPLE!$F$15,$M78-$A$15,AO$13)=0,10^12,OFFSET(CRONOPLE!$F$15,$M78-$A$15,AO$13)))</f>
        <v>1000000000000</v>
      </c>
      <c r="AP78" s="171">
        <f ca="1">IF(OR($D78&lt;&gt;"Serviço",AND(AUTOEVENTO="Manual",$M78=$A$15)),0,
         IF(OFFSET(CRONOPLE!$F$15,$M78-$A$15,AP$13)=0,10^12,OFFSET(CRONOPLE!$F$15,$M78-$A$15,AP$13)))</f>
        <v>1000000000000</v>
      </c>
      <c r="AQ78" s="171">
        <f ca="1">IF(OR($D78&lt;&gt;"Serviço",AND(AUTOEVENTO="Manual",$M78=$A$15)),0,
         IF(OFFSET(CRONOPLE!$F$15,$M78-$A$15,AQ$13)=0,10^12,OFFSET(CRONOPLE!$F$15,$M78-$A$15,AQ$13)))</f>
        <v>1000000000000</v>
      </c>
      <c r="AR78" s="171">
        <f ca="1">IF(OR($D78&lt;&gt;"Serviço",AND(AUTOEVENTO="Manual",$M78=$A$15)),0,
         IF(OFFSET(CRONOPLE!$F$15,$M78-$A$15,AR$13)=0,10^12,OFFSET(CRONOPLE!$F$15,$M78-$A$15,AR$13)))</f>
        <v>1000000000000</v>
      </c>
      <c r="AS78" s="171">
        <f ca="1">IF(OR($D78&lt;&gt;"Serviço",AND(AUTOEVENTO="Manual",$M78=$A$15)),0,
         IF(OFFSET(CRONOPLE!$F$15,$M78-$A$15,AS$13)=0,10^12,OFFSET(CRONOPLE!$F$15,$M78-$A$15,AS$13)))</f>
        <v>1000000000000</v>
      </c>
      <c r="AT78" s="171">
        <f ca="1">IF(OR($D78&lt;&gt;"Serviço",AND(AUTOEVENTO="Manual",$M78=$A$15)),0,
         IF(OFFSET(CRONOPLE!$F$15,$M78-$A$15,AT$13)=0,10^12,OFFSET(CRONOPLE!$F$15,$M78-$A$15,AT$13)))</f>
        <v>8</v>
      </c>
      <c r="AU78" s="171">
        <f ca="1">IF(OR($D78&lt;&gt;"Serviço",AND(AUTOEVENTO="Manual",$M78=$A$15)),0,
         IF(OFFSET(CRONOPLE!$F$15,$M78-$A$15,AU$13)=0,10^12,OFFSET(CRONOPLE!$F$15,$M78-$A$15,AU$13)))</f>
        <v>9</v>
      </c>
      <c r="AV78" s="171">
        <f ca="1">IF(OR($D78&lt;&gt;"Serviço",AND(AUTOEVENTO="Manual",$M78=$A$15)),0,
         IF(OFFSET(CRONOPLE!$F$15,$M78-$A$15,AV$13)=0,10^12,OFFSET(CRONOPLE!$F$15,$M78-$A$15,AV$13)))</f>
        <v>1000000000000</v>
      </c>
      <c r="AX78" s="172" cm="1">
        <f t="array" aca="1" ref="AX78" ca="1">IF(OR($D78&lt;&gt;"Serviço",AND(AUTOEVENTO="Manual",$M78=$A$15),$M78&gt;(ROW(PLE.lastrow)-ROW(PLE.firstrow))),0,
           IF(OFFSET(PLE!$G$15,$M78-$A$15,AX$13)="",10^12,OFFSET(PLE!$G$15,$M78-$A$15,AX$13)))</f>
        <v>1000000000000</v>
      </c>
      <c r="AY78" s="172" cm="1">
        <f t="array" aca="1" ref="AY78" ca="1">IF(OR($D78&lt;&gt;"Serviço",AND(AUTOEVENTO="Manual",$M78=$A$15),$M78&gt;(ROW(PLE.lastrow)-ROW(PLE.firstrow))),0,
           IF(OFFSET(PLE!$G$15,$M78-$A$15,AY$13)="",10^12,OFFSET(PLE!$G$15,$M78-$A$15,AY$13)))</f>
        <v>1000000000000</v>
      </c>
      <c r="AZ78" s="172" cm="1">
        <f t="array" aca="1" ref="AZ78" ca="1">IF(OR($D78&lt;&gt;"Serviço",AND(AUTOEVENTO="Manual",$M78=$A$15),$M78&gt;(ROW(PLE.lastrow)-ROW(PLE.firstrow))),0,
           IF(OFFSET(PLE!$G$15,$M78-$A$15,AZ$13)="",10^12,OFFSET(PLE!$G$15,$M78-$A$15,AZ$13)))</f>
        <v>1000000000000</v>
      </c>
      <c r="BA78" s="172" cm="1">
        <f t="array" aca="1" ref="BA78" ca="1">IF(OR($D78&lt;&gt;"Serviço",AND(AUTOEVENTO="Manual",$M78=$A$15),$M78&gt;(ROW(PLE.lastrow)-ROW(PLE.firstrow))),0,
           IF(OFFSET(PLE!$G$15,$M78-$A$15,BA$13)="",10^12,OFFSET(PLE!$G$15,$M78-$A$15,BA$13)))</f>
        <v>1000000000000</v>
      </c>
      <c r="BB78" s="172" cm="1">
        <f t="array" aca="1" ref="BB78" ca="1">IF(OR($D78&lt;&gt;"Serviço",AND(AUTOEVENTO="Manual",$M78=$A$15),$M78&gt;(ROW(PLE.lastrow)-ROW(PLE.firstrow))),0,
           IF(OFFSET(PLE!$G$15,$M78-$A$15,BB$13)="",10^12,OFFSET(PLE!$G$15,$M78-$A$15,BB$13)))</f>
        <v>1000000000000</v>
      </c>
      <c r="BC78" s="172" cm="1">
        <f t="array" aca="1" ref="BC78" ca="1">IF(OR($D78&lt;&gt;"Serviço",AND(AUTOEVENTO="Manual",$M78=$A$15),$M78&gt;(ROW(PLE.lastrow)-ROW(PLE.firstrow))),0,
           IF(OFFSET(PLE!$G$15,$M78-$A$15,BC$13)="",10^12,OFFSET(PLE!$G$15,$M78-$A$15,BC$13)))</f>
        <v>1000000000000</v>
      </c>
      <c r="BD78" s="172" cm="1">
        <f t="array" aca="1" ref="BD78" ca="1">IF(OR($D78&lt;&gt;"Serviço",AND(AUTOEVENTO="Manual",$M78=$A$15),$M78&gt;(ROW(PLE.lastrow)-ROW(PLE.firstrow))),0,
           IF(OFFSET(PLE!$G$15,$M78-$A$15,BD$13)="",10^12,OFFSET(PLE!$G$15,$M78-$A$15,BD$13)))</f>
        <v>1000000000000</v>
      </c>
      <c r="BE78" s="172" cm="1">
        <f t="array" aca="1" ref="BE78" ca="1">IF(OR($D78&lt;&gt;"Serviço",AND(AUTOEVENTO="Manual",$M78=$A$15),$M78&gt;(ROW(PLE.lastrow)-ROW(PLE.firstrow))),0,
           IF(OFFSET(PLE!$G$15,$M78-$A$15,BE$13)="",10^12,OFFSET(PLE!$G$15,$M78-$A$15,BE$13)))</f>
        <v>1000000000000</v>
      </c>
      <c r="BF78" s="172" cm="1">
        <f t="array" aca="1" ref="BF78" ca="1">IF(OR($D78&lt;&gt;"Serviço",AND(AUTOEVENTO="Manual",$M78=$A$15),$M78&gt;(ROW(PLE.lastrow)-ROW(PLE.firstrow))),0,
           IF(OFFSET(PLE!$G$15,$M78-$A$15,BF$13)="",10^12,OFFSET(PLE!$G$15,$M78-$A$15,BF$13)))</f>
        <v>1000000000000</v>
      </c>
      <c r="BG78" s="172" cm="1">
        <f t="array" aca="1" ref="BG78" ca="1">IF(OR($D78&lt;&gt;"Serviço",AND(AUTOEVENTO="Manual",$M78=$A$15),$M78&gt;(ROW(PLE.lastrow)-ROW(PLE.firstrow))),0,
           IF(OFFSET(PLE!$G$15,$M78-$A$15,BG$13)="",10^12,OFFSET(PLE!$G$15,$M78-$A$15,BG$13)))</f>
        <v>1000000000000</v>
      </c>
    </row>
    <row r="79" spans="1:59" ht="25.5" x14ac:dyDescent="0.2">
      <c r="A79" s="7">
        <f t="shared" ca="1" si="8"/>
        <v>6</v>
      </c>
      <c r="B79" s="7" t="str">
        <f ca="1">OFFSET(ORÇAMENTO!C$15,$L79,0)</f>
        <v>S</v>
      </c>
      <c r="C79" s="7" t="str">
        <f ca="1">OFFSET(ORÇAMENTO!L$15,$L79,0)</f>
        <v>F</v>
      </c>
      <c r="D79" s="116" t="str">
        <f ca="1">OFFSET(ORÇAMENTO!N$15,$L79,0)</f>
        <v>Serviço</v>
      </c>
      <c r="E79" s="117" t="str">
        <f ca="1">OFFSET(ORÇAMENTO!O$15,$L79,0)</f>
        <v>1.6.1.3.</v>
      </c>
      <c r="F79" s="163" t="str">
        <f ca="1">OFFSET(ORÇAMENTO!R$15,$L79,0)</f>
        <v>(Código não identificado nas referências)</v>
      </c>
      <c r="G79" s="164" t="str">
        <f ca="1">IF($D79&lt;&gt;"Serviço","",OFFSET(ORÇAMENTO!S$15,$L79,0))</f>
        <v>UN</v>
      </c>
      <c r="H79" s="122" cm="1">
        <f t="array" aca="1" ref="H79" ca="1">IF($D79&lt;&gt;"Serviço",0,IF(ACOMPANHAMENTO="BM",ROUND(OFFSET(ORÇAMENTO!AJ$15,$L79,0),15-13*ORÇAMENTO!$AF$7),IF(IFERROR(CÁLCULO.FrentesPreenchidas,0)=0,0,SUM(ROUND(OFFSET($P79,0,1,1,CÁLCULO.FrentesPreenchidas),15-13*ORÇAMENTO!$AF$7)))))</f>
        <v>1</v>
      </c>
      <c r="I79" s="468" t="s">
        <v>1042</v>
      </c>
      <c r="J79" s="651" t="str" cm="1">
        <f t="array" aca="1" ref="J79" ca="1">IF(OR(B79&lt;&gt;"S",CÁLCULO.FrentesPreenchidas=0),"",IF(AND(ACOMPANHAMENTO="PLE",AUTOEVENTO="Manual",OR(H79&gt;0,ORÇAMENTO!AC79="QUANT."),OR(K79="",M79=0,N79="")),"►E",IF(AND(ACOMPANHAMENTO="PLE",ORÇAMENTO!AC79="QUANT."),"►Q",IF(AND(ACOMPANHAMENTO="PLE",H79&lt;&gt;SUMPRODUCT(($Q$1:$AA$1=1)*ROUND(Q79:AA79,15))),"►S",IF(AND(COUNTIF($P$11:$AA$11,"▼")=0,H79&gt;0,I79=""),"◄M","")))))</f>
        <v/>
      </c>
      <c r="K79" s="652" t="s">
        <v>1093</v>
      </c>
      <c r="L79" s="165">
        <f t="shared" ca="1" si="9"/>
        <v>64</v>
      </c>
      <c r="M79" s="166">
        <f ca="1">IF($D79&lt;&gt;"Serviço","",
          IF(AUTOEVENTO="manual",$A79,
                IF(ISERROR(MATCH($A79,$A$15:OFFSET($A79,-1,0),0)),MAX($M$15:OFFSET(M79,-1,0))+1,
                      INDEX($M$15:OFFSET(M79,-1,0),MATCH($A79,$A$15:OFFSET($A79,-1,0),0)))))</f>
        <v>6</v>
      </c>
      <c r="N79" s="167" t="str">
        <f ca="1">IF($D79&lt;&gt;"Serviço","",
         IF(AUTOEVENTO="Manual",
                IF($A79=0,"&lt;-- defina o número do agrupador",
                       OFFSET(EVENTOS!$D$15,$A79-$A$15,0)),
                OFFSET($F$15,$A79,0)))</f>
        <v>PÁTIO DE COMPOSTAGEM</v>
      </c>
      <c r="O79" s="168"/>
      <c r="Q79" s="168"/>
      <c r="R79" s="169"/>
      <c r="S79" s="169"/>
      <c r="T79" s="169"/>
      <c r="U79" s="169"/>
      <c r="V79" s="169"/>
      <c r="W79" s="169"/>
      <c r="X79" s="169"/>
      <c r="Y79" s="169">
        <v>1</v>
      </c>
      <c r="Z79" s="170"/>
      <c r="AB79" s="453">
        <f ca="1">IF(AND($D79="Serviço",AB$12&lt;&gt;0,$H79&gt;0,OR(AUTOEVENTO&lt;&gt;"manual",$M79&lt;&gt;$A$15)),
        IF(Import.TipoArredondamento&lt;&gt;"TransfereGOV",
              ROUND(OFFSET($P79,0,AB$13),15-13*ORÇAMENTO!$AF$7)/$H79*OFFSET(ORÇAMENTO!$X$15,ROW(AB79)-ROW(AB$15),0),
              ROUND(ROUND(OFFSET($P79,0,AB$13),15-13*ORÇAMENTO!$AF$7)*OFFSET(ORÇAMENTO!$W$15,ROW(AB79)-ROW(AB$15),0),15-13*ORÇAMENTO!$AF$11)),
         0)</f>
        <v>0</v>
      </c>
      <c r="AC79" s="453">
        <f ca="1">IF(AND($D79="Serviço",AC$12&lt;&gt;0,$H79&gt;0,OR(AUTOEVENTO&lt;&gt;"manual",$M79&lt;&gt;$A$15)),
        IF(Import.TipoArredondamento&lt;&gt;"TransfereGOV",
              ROUND(OFFSET($P79,0,AC$13),15-13*ORÇAMENTO!$AF$7)/$H79*OFFSET(ORÇAMENTO!$X$15,ROW(AC79)-ROW(AC$15),0),
              ROUND(ROUND(OFFSET($P79,0,AC$13),15-13*ORÇAMENTO!$AF$7)*OFFSET(ORÇAMENTO!$W$15,ROW(AC79)-ROW(AC$15),0),15-13*ORÇAMENTO!$AF$11)),
         0)</f>
        <v>0</v>
      </c>
      <c r="AD79" s="453">
        <f ca="1">IF(AND($D79="Serviço",AD$12&lt;&gt;0,$H79&gt;0,OR(AUTOEVENTO&lt;&gt;"manual",$M79&lt;&gt;$A$15)),
        IF(Import.TipoArredondamento&lt;&gt;"TransfereGOV",
              ROUND(OFFSET($P79,0,AD$13),15-13*ORÇAMENTO!$AF$7)/$H79*OFFSET(ORÇAMENTO!$X$15,ROW(AD79)-ROW(AD$15),0),
              ROUND(ROUND(OFFSET($P79,0,AD$13),15-13*ORÇAMENTO!$AF$7)*OFFSET(ORÇAMENTO!$W$15,ROW(AD79)-ROW(AD$15),0),15-13*ORÇAMENTO!$AF$11)),
         0)</f>
        <v>0</v>
      </c>
      <c r="AE79" s="453">
        <f ca="1">IF(AND($D79="Serviço",AE$12&lt;&gt;0,$H79&gt;0,OR(AUTOEVENTO&lt;&gt;"manual",$M79&lt;&gt;$A$15)),
        IF(Import.TipoArredondamento&lt;&gt;"TransfereGOV",
              ROUND(OFFSET($P79,0,AE$13),15-13*ORÇAMENTO!$AF$7)/$H79*OFFSET(ORÇAMENTO!$X$15,ROW(AE79)-ROW(AE$15),0),
              ROUND(ROUND(OFFSET($P79,0,AE$13),15-13*ORÇAMENTO!$AF$7)*OFFSET(ORÇAMENTO!$W$15,ROW(AE79)-ROW(AE$15),0),15-13*ORÇAMENTO!$AF$11)),
         0)</f>
        <v>0</v>
      </c>
      <c r="AF79" s="453">
        <f ca="1">IF(AND($D79="Serviço",AF$12&lt;&gt;0,$H79&gt;0,OR(AUTOEVENTO&lt;&gt;"manual",$M79&lt;&gt;$A$15)),
        IF(Import.TipoArredondamento&lt;&gt;"TransfereGOV",
              ROUND(OFFSET($P79,0,AF$13),15-13*ORÇAMENTO!$AF$7)/$H79*OFFSET(ORÇAMENTO!$X$15,ROW(AF79)-ROW(AF$15),0),
              ROUND(ROUND(OFFSET($P79,0,AF$13),15-13*ORÇAMENTO!$AF$7)*OFFSET(ORÇAMENTO!$W$15,ROW(AF79)-ROW(AF$15),0),15-13*ORÇAMENTO!$AF$11)),
         0)</f>
        <v>0</v>
      </c>
      <c r="AG79" s="453">
        <f ca="1">IF(AND($D79="Serviço",AG$12&lt;&gt;0,$H79&gt;0,OR(AUTOEVENTO&lt;&gt;"manual",$M79&lt;&gt;$A$15)),
        IF(Import.TipoArredondamento&lt;&gt;"TransfereGOV",
              ROUND(OFFSET($P79,0,AG$13),15-13*ORÇAMENTO!$AF$7)/$H79*OFFSET(ORÇAMENTO!$X$15,ROW(AG79)-ROW(AG$15),0),
              ROUND(ROUND(OFFSET($P79,0,AG$13),15-13*ORÇAMENTO!$AF$7)*OFFSET(ORÇAMENTO!$W$15,ROW(AG79)-ROW(AG$15),0),15-13*ORÇAMENTO!$AF$11)),
         0)</f>
        <v>0</v>
      </c>
      <c r="AH79" s="453">
        <f ca="1">IF(AND($D79="Serviço",AH$12&lt;&gt;0,$H79&gt;0,OR(AUTOEVENTO&lt;&gt;"manual",$M79&lt;&gt;$A$15)),
        IF(Import.TipoArredondamento&lt;&gt;"TransfereGOV",
              ROUND(OFFSET($P79,0,AH$13),15-13*ORÇAMENTO!$AF$7)/$H79*OFFSET(ORÇAMENTO!$X$15,ROW(AH79)-ROW(AH$15),0),
              ROUND(ROUND(OFFSET($P79,0,AH$13),15-13*ORÇAMENTO!$AF$7)*OFFSET(ORÇAMENTO!$W$15,ROW(AH79)-ROW(AH$15),0),15-13*ORÇAMENTO!$AF$11)),
         0)</f>
        <v>0</v>
      </c>
      <c r="AI79" s="453">
        <f ca="1">IF(AND($D79="Serviço",AI$12&lt;&gt;0,$H79&gt;0,OR(AUTOEVENTO&lt;&gt;"manual",$M79&lt;&gt;$A$15)),
        IF(Import.TipoArredondamento&lt;&gt;"TransfereGOV",
              ROUND(OFFSET($P79,0,AI$13),15-13*ORÇAMENTO!$AF$7)/$H79*OFFSET(ORÇAMENTO!$X$15,ROW(AI79)-ROW(AI$15),0),
              ROUND(ROUND(OFFSET($P79,0,AI$13),15-13*ORÇAMENTO!$AF$7)*OFFSET(ORÇAMENTO!$W$15,ROW(AI79)-ROW(AI$15),0),15-13*ORÇAMENTO!$AF$11)),
         0)</f>
        <v>0</v>
      </c>
      <c r="AJ79" s="453">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6372.72</v>
      </c>
      <c r="AK79" s="453">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M79" s="171">
        <f ca="1">IF(OR($D79&lt;&gt;"Serviço",AND(AUTOEVENTO="Manual",$M79=$A$15)),0,
         IF(OFFSET(CRONOPLE!$F$15,$M79-$A$15,AM$13)=0,10^12,OFFSET(CRONOPLE!$F$15,$M79-$A$15,AM$13)))</f>
        <v>1000000000000</v>
      </c>
      <c r="AN79" s="171">
        <f ca="1">IF(OR($D79&lt;&gt;"Serviço",AND(AUTOEVENTO="Manual",$M79=$A$15)),0,
         IF(OFFSET(CRONOPLE!$F$15,$M79-$A$15,AN$13)=0,10^12,OFFSET(CRONOPLE!$F$15,$M79-$A$15,AN$13)))</f>
        <v>1000000000000</v>
      </c>
      <c r="AO79" s="171">
        <f ca="1">IF(OR($D79&lt;&gt;"Serviço",AND(AUTOEVENTO="Manual",$M79=$A$15)),0,
         IF(OFFSET(CRONOPLE!$F$15,$M79-$A$15,AO$13)=0,10^12,OFFSET(CRONOPLE!$F$15,$M79-$A$15,AO$13)))</f>
        <v>1000000000000</v>
      </c>
      <c r="AP79" s="171">
        <f ca="1">IF(OR($D79&lt;&gt;"Serviço",AND(AUTOEVENTO="Manual",$M79=$A$15)),0,
         IF(OFFSET(CRONOPLE!$F$15,$M79-$A$15,AP$13)=0,10^12,OFFSET(CRONOPLE!$F$15,$M79-$A$15,AP$13)))</f>
        <v>1000000000000</v>
      </c>
      <c r="AQ79" s="171">
        <f ca="1">IF(OR($D79&lt;&gt;"Serviço",AND(AUTOEVENTO="Manual",$M79=$A$15)),0,
         IF(OFFSET(CRONOPLE!$F$15,$M79-$A$15,AQ$13)=0,10^12,OFFSET(CRONOPLE!$F$15,$M79-$A$15,AQ$13)))</f>
        <v>1000000000000</v>
      </c>
      <c r="AR79" s="171">
        <f ca="1">IF(OR($D79&lt;&gt;"Serviço",AND(AUTOEVENTO="Manual",$M79=$A$15)),0,
         IF(OFFSET(CRONOPLE!$F$15,$M79-$A$15,AR$13)=0,10^12,OFFSET(CRONOPLE!$F$15,$M79-$A$15,AR$13)))</f>
        <v>1000000000000</v>
      </c>
      <c r="AS79" s="171">
        <f ca="1">IF(OR($D79&lt;&gt;"Serviço",AND(AUTOEVENTO="Manual",$M79=$A$15)),0,
         IF(OFFSET(CRONOPLE!$F$15,$M79-$A$15,AS$13)=0,10^12,OFFSET(CRONOPLE!$F$15,$M79-$A$15,AS$13)))</f>
        <v>1000000000000</v>
      </c>
      <c r="AT79" s="171">
        <f ca="1">IF(OR($D79&lt;&gt;"Serviço",AND(AUTOEVENTO="Manual",$M79=$A$15)),0,
         IF(OFFSET(CRONOPLE!$F$15,$M79-$A$15,AT$13)=0,10^12,OFFSET(CRONOPLE!$F$15,$M79-$A$15,AT$13)))</f>
        <v>8</v>
      </c>
      <c r="AU79" s="171">
        <f ca="1">IF(OR($D79&lt;&gt;"Serviço",AND(AUTOEVENTO="Manual",$M79=$A$15)),0,
         IF(OFFSET(CRONOPLE!$F$15,$M79-$A$15,AU$13)=0,10^12,OFFSET(CRONOPLE!$F$15,$M79-$A$15,AU$13)))</f>
        <v>9</v>
      </c>
      <c r="AV79" s="171">
        <f ca="1">IF(OR($D79&lt;&gt;"Serviço",AND(AUTOEVENTO="Manual",$M79=$A$15)),0,
         IF(OFFSET(CRONOPLE!$F$15,$M79-$A$15,AV$13)=0,10^12,OFFSET(CRONOPLE!$F$15,$M79-$A$15,AV$13)))</f>
        <v>1000000000000</v>
      </c>
      <c r="AX79" s="172" cm="1">
        <f t="array" aca="1" ref="AX79" ca="1">IF(OR($D79&lt;&gt;"Serviço",AND(AUTOEVENTO="Manual",$M79=$A$15),$M79&gt;(ROW(PLE.lastrow)-ROW(PLE.firstrow))),0,
           IF(OFFSET(PLE!$G$15,$M79-$A$15,AX$13)="",10^12,OFFSET(PLE!$G$15,$M79-$A$15,AX$13)))</f>
        <v>1000000000000</v>
      </c>
      <c r="AY79" s="172" cm="1">
        <f t="array" aca="1" ref="AY79" ca="1">IF(OR($D79&lt;&gt;"Serviço",AND(AUTOEVENTO="Manual",$M79=$A$15),$M79&gt;(ROW(PLE.lastrow)-ROW(PLE.firstrow))),0,
           IF(OFFSET(PLE!$G$15,$M79-$A$15,AY$13)="",10^12,OFFSET(PLE!$G$15,$M79-$A$15,AY$13)))</f>
        <v>1000000000000</v>
      </c>
      <c r="AZ79" s="172" cm="1">
        <f t="array" aca="1" ref="AZ79" ca="1">IF(OR($D79&lt;&gt;"Serviço",AND(AUTOEVENTO="Manual",$M79=$A$15),$M79&gt;(ROW(PLE.lastrow)-ROW(PLE.firstrow))),0,
           IF(OFFSET(PLE!$G$15,$M79-$A$15,AZ$13)="",10^12,OFFSET(PLE!$G$15,$M79-$A$15,AZ$13)))</f>
        <v>1000000000000</v>
      </c>
      <c r="BA79" s="172" cm="1">
        <f t="array" aca="1" ref="BA79" ca="1">IF(OR($D79&lt;&gt;"Serviço",AND(AUTOEVENTO="Manual",$M79=$A$15),$M79&gt;(ROW(PLE.lastrow)-ROW(PLE.firstrow))),0,
           IF(OFFSET(PLE!$G$15,$M79-$A$15,BA$13)="",10^12,OFFSET(PLE!$G$15,$M79-$A$15,BA$13)))</f>
        <v>1000000000000</v>
      </c>
      <c r="BB79" s="172" cm="1">
        <f t="array" aca="1" ref="BB79" ca="1">IF(OR($D79&lt;&gt;"Serviço",AND(AUTOEVENTO="Manual",$M79=$A$15),$M79&gt;(ROW(PLE.lastrow)-ROW(PLE.firstrow))),0,
           IF(OFFSET(PLE!$G$15,$M79-$A$15,BB$13)="",10^12,OFFSET(PLE!$G$15,$M79-$A$15,BB$13)))</f>
        <v>1000000000000</v>
      </c>
      <c r="BC79" s="172" cm="1">
        <f t="array" aca="1" ref="BC79" ca="1">IF(OR($D79&lt;&gt;"Serviço",AND(AUTOEVENTO="Manual",$M79=$A$15),$M79&gt;(ROW(PLE.lastrow)-ROW(PLE.firstrow))),0,
           IF(OFFSET(PLE!$G$15,$M79-$A$15,BC$13)="",10^12,OFFSET(PLE!$G$15,$M79-$A$15,BC$13)))</f>
        <v>1000000000000</v>
      </c>
      <c r="BD79" s="172" cm="1">
        <f t="array" aca="1" ref="BD79" ca="1">IF(OR($D79&lt;&gt;"Serviço",AND(AUTOEVENTO="Manual",$M79=$A$15),$M79&gt;(ROW(PLE.lastrow)-ROW(PLE.firstrow))),0,
           IF(OFFSET(PLE!$G$15,$M79-$A$15,BD$13)="",10^12,OFFSET(PLE!$G$15,$M79-$A$15,BD$13)))</f>
        <v>1000000000000</v>
      </c>
      <c r="BE79" s="172" cm="1">
        <f t="array" aca="1" ref="BE79" ca="1">IF(OR($D79&lt;&gt;"Serviço",AND(AUTOEVENTO="Manual",$M79=$A$15),$M79&gt;(ROW(PLE.lastrow)-ROW(PLE.firstrow))),0,
           IF(OFFSET(PLE!$G$15,$M79-$A$15,BE$13)="",10^12,OFFSET(PLE!$G$15,$M79-$A$15,BE$13)))</f>
        <v>1000000000000</v>
      </c>
      <c r="BF79" s="172" cm="1">
        <f t="array" aca="1" ref="BF79" ca="1">IF(OR($D79&lt;&gt;"Serviço",AND(AUTOEVENTO="Manual",$M79=$A$15),$M79&gt;(ROW(PLE.lastrow)-ROW(PLE.firstrow))),0,
           IF(OFFSET(PLE!$G$15,$M79-$A$15,BF$13)="",10^12,OFFSET(PLE!$G$15,$M79-$A$15,BF$13)))</f>
        <v>1000000000000</v>
      </c>
      <c r="BG79" s="172" cm="1">
        <f t="array" aca="1" ref="BG79" ca="1">IF(OR($D79&lt;&gt;"Serviço",AND(AUTOEVENTO="Manual",$M79=$A$15),$M79&gt;(ROW(PLE.lastrow)-ROW(PLE.firstrow))),0,
           IF(OFFSET(PLE!$G$15,$M79-$A$15,BG$13)="",10^12,OFFSET(PLE!$G$15,$M79-$A$15,BG$13)))</f>
        <v>1000000000000</v>
      </c>
    </row>
    <row r="80" spans="1:59" ht="12.75" x14ac:dyDescent="0.2">
      <c r="A80" s="7">
        <f t="shared" ref="A80:A92" ca="1" si="12">IFERROR(IF(AUTOEVENTO="Manual",IF(K80&lt;&gt;"",MIN(VALUE(LEFT(K80,FIND(".",K80)-1)),COUNTA(EVENTOS.Lista)),0),IF(OR($B80&gt;AUTOEVENTO,$B80="S",$B80=0),SUBSTITUTE(OFFSET($A80,-1,0),IF($D80="Serviço",".",""),""),$L80&amp;".")),0)</f>
        <v>7</v>
      </c>
      <c r="B80" s="7">
        <f ca="1">OFFSET(ORÇAMENTO!C$15,$L80,0)</f>
        <v>2</v>
      </c>
      <c r="C80" s="7" t="str">
        <f ca="1">OFFSET(ORÇAMENTO!L$15,$L80,0)</f>
        <v>F</v>
      </c>
      <c r="D80" s="116" t="str">
        <f ca="1">OFFSET(ORÇAMENTO!N$15,$L80,0)</f>
        <v>Nível 2</v>
      </c>
      <c r="E80" s="117" t="str">
        <f ca="1">OFFSET(ORÇAMENTO!O$15,$L80,0)</f>
        <v>1.7.</v>
      </c>
      <c r="F80" s="163" t="str">
        <f ca="1">OFFSET(ORÇAMENTO!R$15,$L80,0)</f>
        <v>EQUIPAMENTOS</v>
      </c>
      <c r="G80" s="164" t="str">
        <f ca="1">IF($D80&lt;&gt;"Serviço","",OFFSET(ORÇAMENTO!S$15,$L80,0))</f>
        <v/>
      </c>
      <c r="H80" s="122" cm="1">
        <f t="array" aca="1" ref="H80" ca="1">IF($D80&lt;&gt;"Serviço",0,IF(ACOMPANHAMENTO="BM",ROUND(OFFSET(ORÇAMENTO!AJ$15,$L80,0),15-13*ORÇAMENTO!$AF$7),IF(IFERROR(CÁLCULO.FrentesPreenchidas,0)=0,0,SUM(ROUND(OFFSET($P80,0,1,1,CÁLCULO.FrentesPreenchidas),15-13*ORÇAMENTO!$AF$7)))))</f>
        <v>0</v>
      </c>
      <c r="I80" s="468"/>
      <c r="J80" s="651" t="str" cm="1">
        <f t="array" aca="1" ref="J80" ca="1">IF(OR(B80&lt;&gt;"S",CÁLCULO.FrentesPreenchidas=0),"",IF(AND(ACOMPANHAMENTO="PLE",AUTOEVENTO="Manual",OR(H80&gt;0,ORÇAMENTO!AC80="QUANT."),OR(K80="",M80=0,N80="")),"►E",IF(AND(ACOMPANHAMENTO="PLE",ORÇAMENTO!AC80="QUANT."),"►Q",IF(AND(ACOMPANHAMENTO="PLE",H80&lt;&gt;SUMPRODUCT(($Q$1:$AA$1=1)*ROUND(Q80:AA80,15))),"►S",IF(AND(COUNTIF($P$11:$AA$11,"▼")=0,H80&gt;0,I80=""),"◄M","")))))</f>
        <v/>
      </c>
      <c r="K80" s="652" t="s">
        <v>1096</v>
      </c>
      <c r="L80" s="165">
        <f t="shared" ref="L80:L92" ca="1" si="13">OFFSET(L80,-1,0)+1</f>
        <v>65</v>
      </c>
      <c r="M80" s="166" t="str">
        <f ca="1">IF($D80&lt;&gt;"Serviço","",
          IF(AUTOEVENTO="manual",$A80,
                IF(ISERROR(MATCH($A80,$A$15:OFFSET($A80,-1,0),0)),MAX($M$15:OFFSET(M80,-1,0))+1,
                      INDEX($M$15:OFFSET(M80,-1,0),MATCH($A80,$A$15:OFFSET($A80,-1,0),0)))))</f>
        <v/>
      </c>
      <c r="N80" s="167" t="str">
        <f ca="1">IF($D80&lt;&gt;"Serviço","",
         IF(AUTOEVENTO="Manual",
                IF($A80=0,"&lt;-- defina o número do agrupador",
                       OFFSET(EVENTOS!$D$15,$A80-$A$15,0)),
                OFFSET($F$15,$A80,0)))</f>
        <v/>
      </c>
      <c r="O80" s="168"/>
      <c r="Q80" s="168"/>
      <c r="R80" s="169"/>
      <c r="S80" s="169"/>
      <c r="T80" s="169"/>
      <c r="U80" s="169"/>
      <c r="V80" s="169"/>
      <c r="W80" s="169"/>
      <c r="X80" s="169"/>
      <c r="Y80" s="169"/>
      <c r="Z80" s="170"/>
      <c r="AB80" s="453">
        <f ca="1">IF(AND($D80="Serviço",AB$12&lt;&gt;0,$H80&gt;0,OR(AUTOEVENTO&lt;&gt;"manual",$M80&lt;&gt;$A$15)),
        IF(Import.TipoArredondamento&lt;&gt;"TransfereGOV",
              ROUND(OFFSET($P80,0,AB$13),15-13*ORÇAMENTO!$AF$7)/$H80*OFFSET(ORÇAMENTO!$X$15,ROW(AB80)-ROW(AB$15),0),
              ROUND(ROUND(OFFSET($P80,0,AB$13),15-13*ORÇAMENTO!$AF$7)*OFFSET(ORÇAMENTO!$W$15,ROW(AB80)-ROW(AB$15),0),15-13*ORÇAMENTO!$AF$11)),
         0)</f>
        <v>0</v>
      </c>
      <c r="AC80" s="453">
        <f ca="1">IF(AND($D80="Serviço",AC$12&lt;&gt;0,$H80&gt;0,OR(AUTOEVENTO&lt;&gt;"manual",$M80&lt;&gt;$A$15)),
        IF(Import.TipoArredondamento&lt;&gt;"TransfereGOV",
              ROUND(OFFSET($P80,0,AC$13),15-13*ORÇAMENTO!$AF$7)/$H80*OFFSET(ORÇAMENTO!$X$15,ROW(AC80)-ROW(AC$15),0),
              ROUND(ROUND(OFFSET($P80,0,AC$13),15-13*ORÇAMENTO!$AF$7)*OFFSET(ORÇAMENTO!$W$15,ROW(AC80)-ROW(AC$15),0),15-13*ORÇAMENTO!$AF$11)),
         0)</f>
        <v>0</v>
      </c>
      <c r="AD80" s="453">
        <f ca="1">IF(AND($D80="Serviço",AD$12&lt;&gt;0,$H80&gt;0,OR(AUTOEVENTO&lt;&gt;"manual",$M80&lt;&gt;$A$15)),
        IF(Import.TipoArredondamento&lt;&gt;"TransfereGOV",
              ROUND(OFFSET($P80,0,AD$13),15-13*ORÇAMENTO!$AF$7)/$H80*OFFSET(ORÇAMENTO!$X$15,ROW(AD80)-ROW(AD$15),0),
              ROUND(ROUND(OFFSET($P80,0,AD$13),15-13*ORÇAMENTO!$AF$7)*OFFSET(ORÇAMENTO!$W$15,ROW(AD80)-ROW(AD$15),0),15-13*ORÇAMENTO!$AF$11)),
         0)</f>
        <v>0</v>
      </c>
      <c r="AE80" s="453">
        <f ca="1">IF(AND($D80="Serviço",AE$12&lt;&gt;0,$H80&gt;0,OR(AUTOEVENTO&lt;&gt;"manual",$M80&lt;&gt;$A$15)),
        IF(Import.TipoArredondamento&lt;&gt;"TransfereGOV",
              ROUND(OFFSET($P80,0,AE$13),15-13*ORÇAMENTO!$AF$7)/$H80*OFFSET(ORÇAMENTO!$X$15,ROW(AE80)-ROW(AE$15),0),
              ROUND(ROUND(OFFSET($P80,0,AE$13),15-13*ORÇAMENTO!$AF$7)*OFFSET(ORÇAMENTO!$W$15,ROW(AE80)-ROW(AE$15),0),15-13*ORÇAMENTO!$AF$11)),
         0)</f>
        <v>0</v>
      </c>
      <c r="AF80" s="453">
        <f ca="1">IF(AND($D80="Serviço",AF$12&lt;&gt;0,$H80&gt;0,OR(AUTOEVENTO&lt;&gt;"manual",$M80&lt;&gt;$A$15)),
        IF(Import.TipoArredondamento&lt;&gt;"TransfereGOV",
              ROUND(OFFSET($P80,0,AF$13),15-13*ORÇAMENTO!$AF$7)/$H80*OFFSET(ORÇAMENTO!$X$15,ROW(AF80)-ROW(AF$15),0),
              ROUND(ROUND(OFFSET($P80,0,AF$13),15-13*ORÇAMENTO!$AF$7)*OFFSET(ORÇAMENTO!$W$15,ROW(AF80)-ROW(AF$15),0),15-13*ORÇAMENTO!$AF$11)),
         0)</f>
        <v>0</v>
      </c>
      <c r="AG80" s="453">
        <f ca="1">IF(AND($D80="Serviço",AG$12&lt;&gt;0,$H80&gt;0,OR(AUTOEVENTO&lt;&gt;"manual",$M80&lt;&gt;$A$15)),
        IF(Import.TipoArredondamento&lt;&gt;"TransfereGOV",
              ROUND(OFFSET($P80,0,AG$13),15-13*ORÇAMENTO!$AF$7)/$H80*OFFSET(ORÇAMENTO!$X$15,ROW(AG80)-ROW(AG$15),0),
              ROUND(ROUND(OFFSET($P80,0,AG$13),15-13*ORÇAMENTO!$AF$7)*OFFSET(ORÇAMENTO!$W$15,ROW(AG80)-ROW(AG$15),0),15-13*ORÇAMENTO!$AF$11)),
         0)</f>
        <v>0</v>
      </c>
      <c r="AH80" s="453">
        <f ca="1">IF(AND($D80="Serviço",AH$12&lt;&gt;0,$H80&gt;0,OR(AUTOEVENTO&lt;&gt;"manual",$M80&lt;&gt;$A$15)),
        IF(Import.TipoArredondamento&lt;&gt;"TransfereGOV",
              ROUND(OFFSET($P80,0,AH$13),15-13*ORÇAMENTO!$AF$7)/$H80*OFFSET(ORÇAMENTO!$X$15,ROW(AH80)-ROW(AH$15),0),
              ROUND(ROUND(OFFSET($P80,0,AH$13),15-13*ORÇAMENTO!$AF$7)*OFFSET(ORÇAMENTO!$W$15,ROW(AH80)-ROW(AH$15),0),15-13*ORÇAMENTO!$AF$11)),
         0)</f>
        <v>0</v>
      </c>
      <c r="AI80" s="453">
        <f ca="1">IF(AND($D80="Serviço",AI$12&lt;&gt;0,$H80&gt;0,OR(AUTOEVENTO&lt;&gt;"manual",$M80&lt;&gt;$A$15)),
        IF(Import.TipoArredondamento&lt;&gt;"TransfereGOV",
              ROUND(OFFSET($P80,0,AI$13),15-13*ORÇAMENTO!$AF$7)/$H80*OFFSET(ORÇAMENTO!$X$15,ROW(AI80)-ROW(AI$15),0),
              ROUND(ROUND(OFFSET($P80,0,AI$13),15-13*ORÇAMENTO!$AF$7)*OFFSET(ORÇAMENTO!$W$15,ROW(AI80)-ROW(AI$15),0),15-13*ORÇAMENTO!$AF$11)),
         0)</f>
        <v>0</v>
      </c>
      <c r="AJ80" s="453">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3">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M80" s="171">
        <f ca="1">IF(OR($D80&lt;&gt;"Serviço",AND(AUTOEVENTO="Manual",$M80=$A$15)),0,
         IF(OFFSET(CRONOPLE!$F$15,$M80-$A$15,AM$13)=0,10^12,OFFSET(CRONOPLE!$F$15,$M80-$A$15,AM$13)))</f>
        <v>0</v>
      </c>
      <c r="AN80" s="171">
        <f ca="1">IF(OR($D80&lt;&gt;"Serviço",AND(AUTOEVENTO="Manual",$M80=$A$15)),0,
         IF(OFFSET(CRONOPLE!$F$15,$M80-$A$15,AN$13)=0,10^12,OFFSET(CRONOPLE!$F$15,$M80-$A$15,AN$13)))</f>
        <v>0</v>
      </c>
      <c r="AO80" s="171">
        <f ca="1">IF(OR($D80&lt;&gt;"Serviço",AND(AUTOEVENTO="Manual",$M80=$A$15)),0,
         IF(OFFSET(CRONOPLE!$F$15,$M80-$A$15,AO$13)=0,10^12,OFFSET(CRONOPLE!$F$15,$M80-$A$15,AO$13)))</f>
        <v>0</v>
      </c>
      <c r="AP80" s="171">
        <f ca="1">IF(OR($D80&lt;&gt;"Serviço",AND(AUTOEVENTO="Manual",$M80=$A$15)),0,
         IF(OFFSET(CRONOPLE!$F$15,$M80-$A$15,AP$13)=0,10^12,OFFSET(CRONOPLE!$F$15,$M80-$A$15,AP$13)))</f>
        <v>0</v>
      </c>
      <c r="AQ80" s="171">
        <f ca="1">IF(OR($D80&lt;&gt;"Serviço",AND(AUTOEVENTO="Manual",$M80=$A$15)),0,
         IF(OFFSET(CRONOPLE!$F$15,$M80-$A$15,AQ$13)=0,10^12,OFFSET(CRONOPLE!$F$15,$M80-$A$15,AQ$13)))</f>
        <v>0</v>
      </c>
      <c r="AR80" s="171">
        <f ca="1">IF(OR($D80&lt;&gt;"Serviço",AND(AUTOEVENTO="Manual",$M80=$A$15)),0,
         IF(OFFSET(CRONOPLE!$F$15,$M80-$A$15,AR$13)=0,10^12,OFFSET(CRONOPLE!$F$15,$M80-$A$15,AR$13)))</f>
        <v>0</v>
      </c>
      <c r="AS80" s="171">
        <f ca="1">IF(OR($D80&lt;&gt;"Serviço",AND(AUTOEVENTO="Manual",$M80=$A$15)),0,
         IF(OFFSET(CRONOPLE!$F$15,$M80-$A$15,AS$13)=0,10^12,OFFSET(CRONOPLE!$F$15,$M80-$A$15,AS$13)))</f>
        <v>0</v>
      </c>
      <c r="AT80" s="171">
        <f ca="1">IF(OR($D80&lt;&gt;"Serviço",AND(AUTOEVENTO="Manual",$M80=$A$15)),0,
         IF(OFFSET(CRONOPLE!$F$15,$M80-$A$15,AT$13)=0,10^12,OFFSET(CRONOPLE!$F$15,$M80-$A$15,AT$13)))</f>
        <v>0</v>
      </c>
      <c r="AU80" s="171">
        <f ca="1">IF(OR($D80&lt;&gt;"Serviço",AND(AUTOEVENTO="Manual",$M80=$A$15)),0,
         IF(OFFSET(CRONOPLE!$F$15,$M80-$A$15,AU$13)=0,10^12,OFFSET(CRONOPLE!$F$15,$M80-$A$15,AU$13)))</f>
        <v>0</v>
      </c>
      <c r="AV80" s="171">
        <f ca="1">IF(OR($D80&lt;&gt;"Serviço",AND(AUTOEVENTO="Manual",$M80=$A$15)),0,
         IF(OFFSET(CRONOPLE!$F$15,$M80-$A$15,AV$13)=0,10^12,OFFSET(CRONOPLE!$F$15,$M80-$A$15,AV$13)))</f>
        <v>0</v>
      </c>
      <c r="AX80" s="172" cm="1">
        <f t="array" aca="1" ref="AX80" ca="1">IF(OR($D80&lt;&gt;"Serviço",AND(AUTOEVENTO="Manual",$M80=$A$15),$M80&gt;(ROW(PLE.lastrow)-ROW(PLE.firstrow))),0,
           IF(OFFSET(PLE!$G$15,$M80-$A$15,AX$13)="",10^12,OFFSET(PLE!$G$15,$M80-$A$15,AX$13)))</f>
        <v>0</v>
      </c>
      <c r="AY80" s="172" cm="1">
        <f t="array" aca="1" ref="AY80" ca="1">IF(OR($D80&lt;&gt;"Serviço",AND(AUTOEVENTO="Manual",$M80=$A$15),$M80&gt;(ROW(PLE.lastrow)-ROW(PLE.firstrow))),0,
           IF(OFFSET(PLE!$G$15,$M80-$A$15,AY$13)="",10^12,OFFSET(PLE!$G$15,$M80-$A$15,AY$13)))</f>
        <v>0</v>
      </c>
      <c r="AZ80" s="172" cm="1">
        <f t="array" aca="1" ref="AZ80" ca="1">IF(OR($D80&lt;&gt;"Serviço",AND(AUTOEVENTO="Manual",$M80=$A$15),$M80&gt;(ROW(PLE.lastrow)-ROW(PLE.firstrow))),0,
           IF(OFFSET(PLE!$G$15,$M80-$A$15,AZ$13)="",10^12,OFFSET(PLE!$G$15,$M80-$A$15,AZ$13)))</f>
        <v>0</v>
      </c>
      <c r="BA80" s="172" cm="1">
        <f t="array" aca="1" ref="BA80" ca="1">IF(OR($D80&lt;&gt;"Serviço",AND(AUTOEVENTO="Manual",$M80=$A$15),$M80&gt;(ROW(PLE.lastrow)-ROW(PLE.firstrow))),0,
           IF(OFFSET(PLE!$G$15,$M80-$A$15,BA$13)="",10^12,OFFSET(PLE!$G$15,$M80-$A$15,BA$13)))</f>
        <v>0</v>
      </c>
      <c r="BB80" s="172" cm="1">
        <f t="array" aca="1" ref="BB80" ca="1">IF(OR($D80&lt;&gt;"Serviço",AND(AUTOEVENTO="Manual",$M80=$A$15),$M80&gt;(ROW(PLE.lastrow)-ROW(PLE.firstrow))),0,
           IF(OFFSET(PLE!$G$15,$M80-$A$15,BB$13)="",10^12,OFFSET(PLE!$G$15,$M80-$A$15,BB$13)))</f>
        <v>0</v>
      </c>
      <c r="BC80" s="172" cm="1">
        <f t="array" aca="1" ref="BC80" ca="1">IF(OR($D80&lt;&gt;"Serviço",AND(AUTOEVENTO="Manual",$M80=$A$15),$M80&gt;(ROW(PLE.lastrow)-ROW(PLE.firstrow))),0,
           IF(OFFSET(PLE!$G$15,$M80-$A$15,BC$13)="",10^12,OFFSET(PLE!$G$15,$M80-$A$15,BC$13)))</f>
        <v>0</v>
      </c>
      <c r="BD80" s="172" cm="1">
        <f t="array" aca="1" ref="BD80" ca="1">IF(OR($D80&lt;&gt;"Serviço",AND(AUTOEVENTO="Manual",$M80=$A$15),$M80&gt;(ROW(PLE.lastrow)-ROW(PLE.firstrow))),0,
           IF(OFFSET(PLE!$G$15,$M80-$A$15,BD$13)="",10^12,OFFSET(PLE!$G$15,$M80-$A$15,BD$13)))</f>
        <v>0</v>
      </c>
      <c r="BE80" s="172" cm="1">
        <f t="array" aca="1" ref="BE80" ca="1">IF(OR($D80&lt;&gt;"Serviço",AND(AUTOEVENTO="Manual",$M80=$A$15),$M80&gt;(ROW(PLE.lastrow)-ROW(PLE.firstrow))),0,
           IF(OFFSET(PLE!$G$15,$M80-$A$15,BE$13)="",10^12,OFFSET(PLE!$G$15,$M80-$A$15,BE$13)))</f>
        <v>0</v>
      </c>
      <c r="BF80" s="172" cm="1">
        <f t="array" aca="1" ref="BF80" ca="1">IF(OR($D80&lt;&gt;"Serviço",AND(AUTOEVENTO="Manual",$M80=$A$15),$M80&gt;(ROW(PLE.lastrow)-ROW(PLE.firstrow))),0,
           IF(OFFSET(PLE!$G$15,$M80-$A$15,BF$13)="",10^12,OFFSET(PLE!$G$15,$M80-$A$15,BF$13)))</f>
        <v>0</v>
      </c>
      <c r="BG80" s="172" cm="1">
        <f t="array" aca="1" ref="BG80" ca="1">IF(OR($D80&lt;&gt;"Serviço",AND(AUTOEVENTO="Manual",$M80=$A$15),$M80&gt;(ROW(PLE.lastrow)-ROW(PLE.firstrow))),0,
           IF(OFFSET(PLE!$G$15,$M80-$A$15,BG$13)="",10^12,OFFSET(PLE!$G$15,$M80-$A$15,BG$13)))</f>
        <v>0</v>
      </c>
    </row>
    <row r="81" spans="1:59" ht="12.75" x14ac:dyDescent="0.2">
      <c r="A81" s="7">
        <f t="shared" ca="1" si="12"/>
        <v>7</v>
      </c>
      <c r="B81" s="7">
        <f ca="1">OFFSET(ORÇAMENTO!C$15,$L81,0)</f>
        <v>3</v>
      </c>
      <c r="C81" s="7" t="str">
        <f ca="1">OFFSET(ORÇAMENTO!L$15,$L81,0)</f>
        <v>F</v>
      </c>
      <c r="D81" s="116" t="str">
        <f ca="1">OFFSET(ORÇAMENTO!N$15,$L81,0)</f>
        <v>Nível 3</v>
      </c>
      <c r="E81" s="117" t="str">
        <f ca="1">OFFSET(ORÇAMENTO!O$15,$L81,0)</f>
        <v>1.7.1.</v>
      </c>
      <c r="F81" s="163" t="str">
        <f ca="1">OFFSET(ORÇAMENTO!R$15,$L81,0)</f>
        <v>UTM</v>
      </c>
      <c r="G81" s="164" t="str">
        <f ca="1">IF($D81&lt;&gt;"Serviço","",OFFSET(ORÇAMENTO!S$15,$L81,0))</f>
        <v/>
      </c>
      <c r="H81" s="122" cm="1">
        <f t="array" aca="1" ref="H81" ca="1">IF($D81&lt;&gt;"Serviço",0,IF(ACOMPANHAMENTO="BM",ROUND(OFFSET(ORÇAMENTO!AJ$15,$L81,0),15-13*ORÇAMENTO!$AF$7),IF(IFERROR(CÁLCULO.FrentesPreenchidas,0)=0,0,SUM(ROUND(OFFSET($P81,0,1,1,CÁLCULO.FrentesPreenchidas),15-13*ORÇAMENTO!$AF$7)))))</f>
        <v>0</v>
      </c>
      <c r="I81" s="468"/>
      <c r="J81" s="651" t="str" cm="1">
        <f t="array" aca="1" ref="J81" ca="1">IF(OR(B81&lt;&gt;"S",CÁLCULO.FrentesPreenchidas=0),"",IF(AND(ACOMPANHAMENTO="PLE",AUTOEVENTO="Manual",OR(H81&gt;0,ORÇAMENTO!AC81="QUANT."),OR(K81="",M81=0,N81="")),"►E",IF(AND(ACOMPANHAMENTO="PLE",ORÇAMENTO!AC81="QUANT."),"►Q",IF(AND(ACOMPANHAMENTO="PLE",H81&lt;&gt;SUMPRODUCT(($Q$1:$AA$1=1)*ROUND(Q81:AA81,15))),"►S",IF(AND(COUNTIF($P$11:$AA$11,"▼")=0,H81&gt;0,I81=""),"◄M","")))))</f>
        <v/>
      </c>
      <c r="K81" s="652" t="s">
        <v>1096</v>
      </c>
      <c r="L81" s="165">
        <f t="shared" ca="1" si="13"/>
        <v>66</v>
      </c>
      <c r="M81" s="166" t="str">
        <f ca="1">IF($D81&lt;&gt;"Serviço","",
          IF(AUTOEVENTO="manual",$A81,
                IF(ISERROR(MATCH($A81,$A$15:OFFSET($A81,-1,0),0)),MAX($M$15:OFFSET(M81,-1,0))+1,
                      INDEX($M$15:OFFSET(M81,-1,0),MATCH($A81,$A$15:OFFSET($A81,-1,0),0)))))</f>
        <v/>
      </c>
      <c r="N81" s="167" t="str">
        <f ca="1">IF($D81&lt;&gt;"Serviço","",
         IF(AUTOEVENTO="Manual",
                IF($A81=0,"&lt;-- defina o número do agrupador",
                       OFFSET(EVENTOS!$D$15,$A81-$A$15,0)),
                OFFSET($F$15,$A81,0)))</f>
        <v/>
      </c>
      <c r="O81" s="168"/>
      <c r="Q81" s="168"/>
      <c r="R81" s="169"/>
      <c r="S81" s="169"/>
      <c r="T81" s="169"/>
      <c r="U81" s="169"/>
      <c r="V81" s="169"/>
      <c r="W81" s="169"/>
      <c r="X81" s="169"/>
      <c r="Y81" s="169"/>
      <c r="Z81" s="170"/>
      <c r="AB81" s="453">
        <f ca="1">IF(AND($D81="Serviço",AB$12&lt;&gt;0,$H81&gt;0,OR(AUTOEVENTO&lt;&gt;"manual",$M81&lt;&gt;$A$15)),
        IF(Import.TipoArredondamento&lt;&gt;"TransfereGOV",
              ROUND(OFFSET($P81,0,AB$13),15-13*ORÇAMENTO!$AF$7)/$H81*OFFSET(ORÇAMENTO!$X$15,ROW(AB81)-ROW(AB$15),0),
              ROUND(ROUND(OFFSET($P81,0,AB$13),15-13*ORÇAMENTO!$AF$7)*OFFSET(ORÇAMENTO!$W$15,ROW(AB81)-ROW(AB$15),0),15-13*ORÇAMENTO!$AF$11)),
         0)</f>
        <v>0</v>
      </c>
      <c r="AC81" s="453">
        <f ca="1">IF(AND($D81="Serviço",AC$12&lt;&gt;0,$H81&gt;0,OR(AUTOEVENTO&lt;&gt;"manual",$M81&lt;&gt;$A$15)),
        IF(Import.TipoArredondamento&lt;&gt;"TransfereGOV",
              ROUND(OFFSET($P81,0,AC$13),15-13*ORÇAMENTO!$AF$7)/$H81*OFFSET(ORÇAMENTO!$X$15,ROW(AC81)-ROW(AC$15),0),
              ROUND(ROUND(OFFSET($P81,0,AC$13),15-13*ORÇAMENTO!$AF$7)*OFFSET(ORÇAMENTO!$W$15,ROW(AC81)-ROW(AC$15),0),15-13*ORÇAMENTO!$AF$11)),
         0)</f>
        <v>0</v>
      </c>
      <c r="AD81" s="453">
        <f ca="1">IF(AND($D81="Serviço",AD$12&lt;&gt;0,$H81&gt;0,OR(AUTOEVENTO&lt;&gt;"manual",$M81&lt;&gt;$A$15)),
        IF(Import.TipoArredondamento&lt;&gt;"TransfereGOV",
              ROUND(OFFSET($P81,0,AD$13),15-13*ORÇAMENTO!$AF$7)/$H81*OFFSET(ORÇAMENTO!$X$15,ROW(AD81)-ROW(AD$15),0),
              ROUND(ROUND(OFFSET($P81,0,AD$13),15-13*ORÇAMENTO!$AF$7)*OFFSET(ORÇAMENTO!$W$15,ROW(AD81)-ROW(AD$15),0),15-13*ORÇAMENTO!$AF$11)),
         0)</f>
        <v>0</v>
      </c>
      <c r="AE81" s="453">
        <f ca="1">IF(AND($D81="Serviço",AE$12&lt;&gt;0,$H81&gt;0,OR(AUTOEVENTO&lt;&gt;"manual",$M81&lt;&gt;$A$15)),
        IF(Import.TipoArredondamento&lt;&gt;"TransfereGOV",
              ROUND(OFFSET($P81,0,AE$13),15-13*ORÇAMENTO!$AF$7)/$H81*OFFSET(ORÇAMENTO!$X$15,ROW(AE81)-ROW(AE$15),0),
              ROUND(ROUND(OFFSET($P81,0,AE$13),15-13*ORÇAMENTO!$AF$7)*OFFSET(ORÇAMENTO!$W$15,ROW(AE81)-ROW(AE$15),0),15-13*ORÇAMENTO!$AF$11)),
         0)</f>
        <v>0</v>
      </c>
      <c r="AF81" s="453">
        <f ca="1">IF(AND($D81="Serviço",AF$12&lt;&gt;0,$H81&gt;0,OR(AUTOEVENTO&lt;&gt;"manual",$M81&lt;&gt;$A$15)),
        IF(Import.TipoArredondamento&lt;&gt;"TransfereGOV",
              ROUND(OFFSET($P81,0,AF$13),15-13*ORÇAMENTO!$AF$7)/$H81*OFFSET(ORÇAMENTO!$X$15,ROW(AF81)-ROW(AF$15),0),
              ROUND(ROUND(OFFSET($P81,0,AF$13),15-13*ORÇAMENTO!$AF$7)*OFFSET(ORÇAMENTO!$W$15,ROW(AF81)-ROW(AF$15),0),15-13*ORÇAMENTO!$AF$11)),
         0)</f>
        <v>0</v>
      </c>
      <c r="AG81" s="453">
        <f ca="1">IF(AND($D81="Serviço",AG$12&lt;&gt;0,$H81&gt;0,OR(AUTOEVENTO&lt;&gt;"manual",$M81&lt;&gt;$A$15)),
        IF(Import.TipoArredondamento&lt;&gt;"TransfereGOV",
              ROUND(OFFSET($P81,0,AG$13),15-13*ORÇAMENTO!$AF$7)/$H81*OFFSET(ORÇAMENTO!$X$15,ROW(AG81)-ROW(AG$15),0),
              ROUND(ROUND(OFFSET($P81,0,AG$13),15-13*ORÇAMENTO!$AF$7)*OFFSET(ORÇAMENTO!$W$15,ROW(AG81)-ROW(AG$15),0),15-13*ORÇAMENTO!$AF$11)),
         0)</f>
        <v>0</v>
      </c>
      <c r="AH81" s="453">
        <f ca="1">IF(AND($D81="Serviço",AH$12&lt;&gt;0,$H81&gt;0,OR(AUTOEVENTO&lt;&gt;"manual",$M81&lt;&gt;$A$15)),
        IF(Import.TipoArredondamento&lt;&gt;"TransfereGOV",
              ROUND(OFFSET($P81,0,AH$13),15-13*ORÇAMENTO!$AF$7)/$H81*OFFSET(ORÇAMENTO!$X$15,ROW(AH81)-ROW(AH$15),0),
              ROUND(ROUND(OFFSET($P81,0,AH$13),15-13*ORÇAMENTO!$AF$7)*OFFSET(ORÇAMENTO!$W$15,ROW(AH81)-ROW(AH$15),0),15-13*ORÇAMENTO!$AF$11)),
         0)</f>
        <v>0</v>
      </c>
      <c r="AI81" s="453">
        <f ca="1">IF(AND($D81="Serviço",AI$12&lt;&gt;0,$H81&gt;0,OR(AUTOEVENTO&lt;&gt;"manual",$M81&lt;&gt;$A$15)),
        IF(Import.TipoArredondamento&lt;&gt;"TransfereGOV",
              ROUND(OFFSET($P81,0,AI$13),15-13*ORÇAMENTO!$AF$7)/$H81*OFFSET(ORÇAMENTO!$X$15,ROW(AI81)-ROW(AI$15),0),
              ROUND(ROUND(OFFSET($P81,0,AI$13),15-13*ORÇAMENTO!$AF$7)*OFFSET(ORÇAMENTO!$W$15,ROW(AI81)-ROW(AI$15),0),15-13*ORÇAMENTO!$AF$11)),
         0)</f>
        <v>0</v>
      </c>
      <c r="AJ81" s="453">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3">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M81" s="171">
        <f ca="1">IF(OR($D81&lt;&gt;"Serviço",AND(AUTOEVENTO="Manual",$M81=$A$15)),0,
         IF(OFFSET(CRONOPLE!$F$15,$M81-$A$15,AM$13)=0,10^12,OFFSET(CRONOPLE!$F$15,$M81-$A$15,AM$13)))</f>
        <v>0</v>
      </c>
      <c r="AN81" s="171">
        <f ca="1">IF(OR($D81&lt;&gt;"Serviço",AND(AUTOEVENTO="Manual",$M81=$A$15)),0,
         IF(OFFSET(CRONOPLE!$F$15,$M81-$A$15,AN$13)=0,10^12,OFFSET(CRONOPLE!$F$15,$M81-$A$15,AN$13)))</f>
        <v>0</v>
      </c>
      <c r="AO81" s="171">
        <f ca="1">IF(OR($D81&lt;&gt;"Serviço",AND(AUTOEVENTO="Manual",$M81=$A$15)),0,
         IF(OFFSET(CRONOPLE!$F$15,$M81-$A$15,AO$13)=0,10^12,OFFSET(CRONOPLE!$F$15,$M81-$A$15,AO$13)))</f>
        <v>0</v>
      </c>
      <c r="AP81" s="171">
        <f ca="1">IF(OR($D81&lt;&gt;"Serviço",AND(AUTOEVENTO="Manual",$M81=$A$15)),0,
         IF(OFFSET(CRONOPLE!$F$15,$M81-$A$15,AP$13)=0,10^12,OFFSET(CRONOPLE!$F$15,$M81-$A$15,AP$13)))</f>
        <v>0</v>
      </c>
      <c r="AQ81" s="171">
        <f ca="1">IF(OR($D81&lt;&gt;"Serviço",AND(AUTOEVENTO="Manual",$M81=$A$15)),0,
         IF(OFFSET(CRONOPLE!$F$15,$M81-$A$15,AQ$13)=0,10^12,OFFSET(CRONOPLE!$F$15,$M81-$A$15,AQ$13)))</f>
        <v>0</v>
      </c>
      <c r="AR81" s="171">
        <f ca="1">IF(OR($D81&lt;&gt;"Serviço",AND(AUTOEVENTO="Manual",$M81=$A$15)),0,
         IF(OFFSET(CRONOPLE!$F$15,$M81-$A$15,AR$13)=0,10^12,OFFSET(CRONOPLE!$F$15,$M81-$A$15,AR$13)))</f>
        <v>0</v>
      </c>
      <c r="AS81" s="171">
        <f ca="1">IF(OR($D81&lt;&gt;"Serviço",AND(AUTOEVENTO="Manual",$M81=$A$15)),0,
         IF(OFFSET(CRONOPLE!$F$15,$M81-$A$15,AS$13)=0,10^12,OFFSET(CRONOPLE!$F$15,$M81-$A$15,AS$13)))</f>
        <v>0</v>
      </c>
      <c r="AT81" s="171">
        <f ca="1">IF(OR($D81&lt;&gt;"Serviço",AND(AUTOEVENTO="Manual",$M81=$A$15)),0,
         IF(OFFSET(CRONOPLE!$F$15,$M81-$A$15,AT$13)=0,10^12,OFFSET(CRONOPLE!$F$15,$M81-$A$15,AT$13)))</f>
        <v>0</v>
      </c>
      <c r="AU81" s="171">
        <f ca="1">IF(OR($D81&lt;&gt;"Serviço",AND(AUTOEVENTO="Manual",$M81=$A$15)),0,
         IF(OFFSET(CRONOPLE!$F$15,$M81-$A$15,AU$13)=0,10^12,OFFSET(CRONOPLE!$F$15,$M81-$A$15,AU$13)))</f>
        <v>0</v>
      </c>
      <c r="AV81" s="171">
        <f ca="1">IF(OR($D81&lt;&gt;"Serviço",AND(AUTOEVENTO="Manual",$M81=$A$15)),0,
         IF(OFFSET(CRONOPLE!$F$15,$M81-$A$15,AV$13)=0,10^12,OFFSET(CRONOPLE!$F$15,$M81-$A$15,AV$13)))</f>
        <v>0</v>
      </c>
      <c r="AX81" s="172" cm="1">
        <f t="array" aca="1" ref="AX81" ca="1">IF(OR($D81&lt;&gt;"Serviço",AND(AUTOEVENTO="Manual",$M81=$A$15),$M81&gt;(ROW(PLE.lastrow)-ROW(PLE.firstrow))),0,
           IF(OFFSET(PLE!$G$15,$M81-$A$15,AX$13)="",10^12,OFFSET(PLE!$G$15,$M81-$A$15,AX$13)))</f>
        <v>0</v>
      </c>
      <c r="AY81" s="172" cm="1">
        <f t="array" aca="1" ref="AY81" ca="1">IF(OR($D81&lt;&gt;"Serviço",AND(AUTOEVENTO="Manual",$M81=$A$15),$M81&gt;(ROW(PLE.lastrow)-ROW(PLE.firstrow))),0,
           IF(OFFSET(PLE!$G$15,$M81-$A$15,AY$13)="",10^12,OFFSET(PLE!$G$15,$M81-$A$15,AY$13)))</f>
        <v>0</v>
      </c>
      <c r="AZ81" s="172" cm="1">
        <f t="array" aca="1" ref="AZ81" ca="1">IF(OR($D81&lt;&gt;"Serviço",AND(AUTOEVENTO="Manual",$M81=$A$15),$M81&gt;(ROW(PLE.lastrow)-ROW(PLE.firstrow))),0,
           IF(OFFSET(PLE!$G$15,$M81-$A$15,AZ$13)="",10^12,OFFSET(PLE!$G$15,$M81-$A$15,AZ$13)))</f>
        <v>0</v>
      </c>
      <c r="BA81" s="172" cm="1">
        <f t="array" aca="1" ref="BA81" ca="1">IF(OR($D81&lt;&gt;"Serviço",AND(AUTOEVENTO="Manual",$M81=$A$15),$M81&gt;(ROW(PLE.lastrow)-ROW(PLE.firstrow))),0,
           IF(OFFSET(PLE!$G$15,$M81-$A$15,BA$13)="",10^12,OFFSET(PLE!$G$15,$M81-$A$15,BA$13)))</f>
        <v>0</v>
      </c>
      <c r="BB81" s="172" cm="1">
        <f t="array" aca="1" ref="BB81" ca="1">IF(OR($D81&lt;&gt;"Serviço",AND(AUTOEVENTO="Manual",$M81=$A$15),$M81&gt;(ROW(PLE.lastrow)-ROW(PLE.firstrow))),0,
           IF(OFFSET(PLE!$G$15,$M81-$A$15,BB$13)="",10^12,OFFSET(PLE!$G$15,$M81-$A$15,BB$13)))</f>
        <v>0</v>
      </c>
      <c r="BC81" s="172" cm="1">
        <f t="array" aca="1" ref="BC81" ca="1">IF(OR($D81&lt;&gt;"Serviço",AND(AUTOEVENTO="Manual",$M81=$A$15),$M81&gt;(ROW(PLE.lastrow)-ROW(PLE.firstrow))),0,
           IF(OFFSET(PLE!$G$15,$M81-$A$15,BC$13)="",10^12,OFFSET(PLE!$G$15,$M81-$A$15,BC$13)))</f>
        <v>0</v>
      </c>
      <c r="BD81" s="172" cm="1">
        <f t="array" aca="1" ref="BD81" ca="1">IF(OR($D81&lt;&gt;"Serviço",AND(AUTOEVENTO="Manual",$M81=$A$15),$M81&gt;(ROW(PLE.lastrow)-ROW(PLE.firstrow))),0,
           IF(OFFSET(PLE!$G$15,$M81-$A$15,BD$13)="",10^12,OFFSET(PLE!$G$15,$M81-$A$15,BD$13)))</f>
        <v>0</v>
      </c>
      <c r="BE81" s="172" cm="1">
        <f t="array" aca="1" ref="BE81" ca="1">IF(OR($D81&lt;&gt;"Serviço",AND(AUTOEVENTO="Manual",$M81=$A$15),$M81&gt;(ROW(PLE.lastrow)-ROW(PLE.firstrow))),0,
           IF(OFFSET(PLE!$G$15,$M81-$A$15,BE$13)="",10^12,OFFSET(PLE!$G$15,$M81-$A$15,BE$13)))</f>
        <v>0</v>
      </c>
      <c r="BF81" s="172" cm="1">
        <f t="array" aca="1" ref="BF81" ca="1">IF(OR($D81&lt;&gt;"Serviço",AND(AUTOEVENTO="Manual",$M81=$A$15),$M81&gt;(ROW(PLE.lastrow)-ROW(PLE.firstrow))),0,
           IF(OFFSET(PLE!$G$15,$M81-$A$15,BF$13)="",10^12,OFFSET(PLE!$G$15,$M81-$A$15,BF$13)))</f>
        <v>0</v>
      </c>
      <c r="BG81" s="172" cm="1">
        <f t="array" aca="1" ref="BG81" ca="1">IF(OR($D81&lt;&gt;"Serviço",AND(AUTOEVENTO="Manual",$M81=$A$15),$M81&gt;(ROW(PLE.lastrow)-ROW(PLE.firstrow))),0,
           IF(OFFSET(PLE!$G$15,$M81-$A$15,BG$13)="",10^12,OFFSET(PLE!$G$15,$M81-$A$15,BG$13)))</f>
        <v>0</v>
      </c>
    </row>
    <row r="82" spans="1:59" ht="51" x14ac:dyDescent="0.2">
      <c r="A82" s="7">
        <f t="shared" ca="1" si="12"/>
        <v>7</v>
      </c>
      <c r="B82" s="7" t="str">
        <f ca="1">OFFSET(ORÇAMENTO!C$15,$L82,0)</f>
        <v>S</v>
      </c>
      <c r="C82" s="7" t="str">
        <f ca="1">OFFSET(ORÇAMENTO!L$15,$L82,0)</f>
        <v>F</v>
      </c>
      <c r="D82" s="116" t="str">
        <f ca="1">OFFSET(ORÇAMENTO!N$15,$L82,0)</f>
        <v>Serviço</v>
      </c>
      <c r="E82" s="117" t="str">
        <f ca="1">OFFSET(ORÇAMENTO!O$15,$L82,0)</f>
        <v>1.7.1.1.</v>
      </c>
      <c r="F82" s="163" t="str">
        <f ca="1">OFFSET(ORÇAMENTO!R$15,$L82,0)</f>
        <v>(Código não identificado nas referências)</v>
      </c>
      <c r="G82" s="164" t="str">
        <f ca="1">IF($D82&lt;&gt;"Serviço","",OFFSET(ORÇAMENTO!S$15,$L82,0))</f>
        <v>UN</v>
      </c>
      <c r="H82" s="122" cm="1">
        <f t="array" aca="1" ref="H82" ca="1">IF($D82&lt;&gt;"Serviço",0,IF(ACOMPANHAMENTO="BM",ROUND(OFFSET(ORÇAMENTO!AJ$15,$L82,0),15-13*ORÇAMENTO!$AF$7),IF(IFERROR(CÁLCULO.FrentesPreenchidas,0)=0,0,SUM(ROUND(OFFSET($P82,0,1,1,CÁLCULO.FrentesPreenchidas),15-13*ORÇAMENTO!$AF$7)))))</f>
        <v>1</v>
      </c>
      <c r="I82" s="468" t="s">
        <v>1042</v>
      </c>
      <c r="J82" s="651" t="str" cm="1">
        <f t="array" aca="1" ref="J82" ca="1">IF(OR(B82&lt;&gt;"S",CÁLCULO.FrentesPreenchidas=0),"",IF(AND(ACOMPANHAMENTO="PLE",AUTOEVENTO="Manual",OR(H82&gt;0,ORÇAMENTO!AC82="QUANT."),OR(K82="",M82=0,N82="")),"►E",IF(AND(ACOMPANHAMENTO="PLE",ORÇAMENTO!AC82="QUANT."),"►Q",IF(AND(ACOMPANHAMENTO="PLE",H82&lt;&gt;SUMPRODUCT(($Q$1:$AA$1=1)*ROUND(Q82:AA82,15))),"►S",IF(AND(COUNTIF($P$11:$AA$11,"▼")=0,H82&gt;0,I82=""),"◄M","")))))</f>
        <v/>
      </c>
      <c r="K82" s="652" t="s">
        <v>1096</v>
      </c>
      <c r="L82" s="165">
        <f t="shared" ca="1" si="13"/>
        <v>67</v>
      </c>
      <c r="M82" s="166">
        <f ca="1">IF($D82&lt;&gt;"Serviço","",
          IF(AUTOEVENTO="manual",$A82,
                IF(ISERROR(MATCH($A82,$A$15:OFFSET($A82,-1,0),0)),MAX($M$15:OFFSET(M82,-1,0))+1,
                      INDEX($M$15:OFFSET(M82,-1,0),MATCH($A82,$A$15:OFFSET($A82,-1,0),0)))))</f>
        <v>7</v>
      </c>
      <c r="N82" s="167" t="str">
        <f ca="1">IF($D82&lt;&gt;"Serviço","",
         IF(AUTOEVENTO="Manual",
                IF($A82=0,"&lt;-- defina o número do agrupador",
                       OFFSET(EVENTOS!$D$15,$A82-$A$15,0)),
                OFFSET($F$15,$A82,0)))</f>
        <v>EQUIPAMENTOS</v>
      </c>
      <c r="O82" s="168"/>
      <c r="Q82" s="168"/>
      <c r="R82" s="169"/>
      <c r="S82" s="169"/>
      <c r="T82" s="169"/>
      <c r="U82" s="169"/>
      <c r="V82" s="169"/>
      <c r="W82" s="169"/>
      <c r="X82" s="169"/>
      <c r="Y82" s="169"/>
      <c r="Z82" s="170">
        <v>1</v>
      </c>
      <c r="AB82" s="453">
        <f ca="1">IF(AND($D82="Serviço",AB$12&lt;&gt;0,$H82&gt;0,OR(AUTOEVENTO&lt;&gt;"manual",$M82&lt;&gt;$A$15)),
        IF(Import.TipoArredondamento&lt;&gt;"TransfereGOV",
              ROUND(OFFSET($P82,0,AB$13),15-13*ORÇAMENTO!$AF$7)/$H82*OFFSET(ORÇAMENTO!$X$15,ROW(AB82)-ROW(AB$15),0),
              ROUND(ROUND(OFFSET($P82,0,AB$13),15-13*ORÇAMENTO!$AF$7)*OFFSET(ORÇAMENTO!$W$15,ROW(AB82)-ROW(AB$15),0),15-13*ORÇAMENTO!$AF$11)),
         0)</f>
        <v>0</v>
      </c>
      <c r="AC82" s="453">
        <f ca="1">IF(AND($D82="Serviço",AC$12&lt;&gt;0,$H82&gt;0,OR(AUTOEVENTO&lt;&gt;"manual",$M82&lt;&gt;$A$15)),
        IF(Import.TipoArredondamento&lt;&gt;"TransfereGOV",
              ROUND(OFFSET($P82,0,AC$13),15-13*ORÇAMENTO!$AF$7)/$H82*OFFSET(ORÇAMENTO!$X$15,ROW(AC82)-ROW(AC$15),0),
              ROUND(ROUND(OFFSET($P82,0,AC$13),15-13*ORÇAMENTO!$AF$7)*OFFSET(ORÇAMENTO!$W$15,ROW(AC82)-ROW(AC$15),0),15-13*ORÇAMENTO!$AF$11)),
         0)</f>
        <v>0</v>
      </c>
      <c r="AD82" s="453">
        <f ca="1">IF(AND($D82="Serviço",AD$12&lt;&gt;0,$H82&gt;0,OR(AUTOEVENTO&lt;&gt;"manual",$M82&lt;&gt;$A$15)),
        IF(Import.TipoArredondamento&lt;&gt;"TransfereGOV",
              ROUND(OFFSET($P82,0,AD$13),15-13*ORÇAMENTO!$AF$7)/$H82*OFFSET(ORÇAMENTO!$X$15,ROW(AD82)-ROW(AD$15),0),
              ROUND(ROUND(OFFSET($P82,0,AD$13),15-13*ORÇAMENTO!$AF$7)*OFFSET(ORÇAMENTO!$W$15,ROW(AD82)-ROW(AD$15),0),15-13*ORÇAMENTO!$AF$11)),
         0)</f>
        <v>0</v>
      </c>
      <c r="AE82" s="453">
        <f ca="1">IF(AND($D82="Serviço",AE$12&lt;&gt;0,$H82&gt;0,OR(AUTOEVENTO&lt;&gt;"manual",$M82&lt;&gt;$A$15)),
        IF(Import.TipoArredondamento&lt;&gt;"TransfereGOV",
              ROUND(OFFSET($P82,0,AE$13),15-13*ORÇAMENTO!$AF$7)/$H82*OFFSET(ORÇAMENTO!$X$15,ROW(AE82)-ROW(AE$15),0),
              ROUND(ROUND(OFFSET($P82,0,AE$13),15-13*ORÇAMENTO!$AF$7)*OFFSET(ORÇAMENTO!$W$15,ROW(AE82)-ROW(AE$15),0),15-13*ORÇAMENTO!$AF$11)),
         0)</f>
        <v>0</v>
      </c>
      <c r="AF82" s="453">
        <f ca="1">IF(AND($D82="Serviço",AF$12&lt;&gt;0,$H82&gt;0,OR(AUTOEVENTO&lt;&gt;"manual",$M82&lt;&gt;$A$15)),
        IF(Import.TipoArredondamento&lt;&gt;"TransfereGOV",
              ROUND(OFFSET($P82,0,AF$13),15-13*ORÇAMENTO!$AF$7)/$H82*OFFSET(ORÇAMENTO!$X$15,ROW(AF82)-ROW(AF$15),0),
              ROUND(ROUND(OFFSET($P82,0,AF$13),15-13*ORÇAMENTO!$AF$7)*OFFSET(ORÇAMENTO!$W$15,ROW(AF82)-ROW(AF$15),0),15-13*ORÇAMENTO!$AF$11)),
         0)</f>
        <v>0</v>
      </c>
      <c r="AG82" s="453">
        <f ca="1">IF(AND($D82="Serviço",AG$12&lt;&gt;0,$H82&gt;0,OR(AUTOEVENTO&lt;&gt;"manual",$M82&lt;&gt;$A$15)),
        IF(Import.TipoArredondamento&lt;&gt;"TransfereGOV",
              ROUND(OFFSET($P82,0,AG$13),15-13*ORÇAMENTO!$AF$7)/$H82*OFFSET(ORÇAMENTO!$X$15,ROW(AG82)-ROW(AG$15),0),
              ROUND(ROUND(OFFSET($P82,0,AG$13),15-13*ORÇAMENTO!$AF$7)*OFFSET(ORÇAMENTO!$W$15,ROW(AG82)-ROW(AG$15),0),15-13*ORÇAMENTO!$AF$11)),
         0)</f>
        <v>0</v>
      </c>
      <c r="AH82" s="453">
        <f ca="1">IF(AND($D82="Serviço",AH$12&lt;&gt;0,$H82&gt;0,OR(AUTOEVENTO&lt;&gt;"manual",$M82&lt;&gt;$A$15)),
        IF(Import.TipoArredondamento&lt;&gt;"TransfereGOV",
              ROUND(OFFSET($P82,0,AH$13),15-13*ORÇAMENTO!$AF$7)/$H82*OFFSET(ORÇAMENTO!$X$15,ROW(AH82)-ROW(AH$15),0),
              ROUND(ROUND(OFFSET($P82,0,AH$13),15-13*ORÇAMENTO!$AF$7)*OFFSET(ORÇAMENTO!$W$15,ROW(AH82)-ROW(AH$15),0),15-13*ORÇAMENTO!$AF$11)),
         0)</f>
        <v>0</v>
      </c>
      <c r="AI82" s="453">
        <f ca="1">IF(AND($D82="Serviço",AI$12&lt;&gt;0,$H82&gt;0,OR(AUTOEVENTO&lt;&gt;"manual",$M82&lt;&gt;$A$15)),
        IF(Import.TipoArredondamento&lt;&gt;"TransfereGOV",
              ROUND(OFFSET($P82,0,AI$13),15-13*ORÇAMENTO!$AF$7)/$H82*OFFSET(ORÇAMENTO!$X$15,ROW(AI82)-ROW(AI$15),0),
              ROUND(ROUND(OFFSET($P82,0,AI$13),15-13*ORÇAMENTO!$AF$7)*OFFSET(ORÇAMENTO!$W$15,ROW(AI82)-ROW(AI$15),0),15-13*ORÇAMENTO!$AF$11)),
         0)</f>
        <v>0</v>
      </c>
      <c r="AJ82" s="453">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3">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14039431.68</v>
      </c>
      <c r="AM82" s="171">
        <f ca="1">IF(OR($D82&lt;&gt;"Serviço",AND(AUTOEVENTO="Manual",$M82=$A$15)),0,
         IF(OFFSET(CRONOPLE!$F$15,$M82-$A$15,AM$13)=0,10^12,OFFSET(CRONOPLE!$F$15,$M82-$A$15,AM$13)))</f>
        <v>1000000000000</v>
      </c>
      <c r="AN82" s="171">
        <f ca="1">IF(OR($D82&lt;&gt;"Serviço",AND(AUTOEVENTO="Manual",$M82=$A$15)),0,
         IF(OFFSET(CRONOPLE!$F$15,$M82-$A$15,AN$13)=0,10^12,OFFSET(CRONOPLE!$F$15,$M82-$A$15,AN$13)))</f>
        <v>1000000000000</v>
      </c>
      <c r="AO82" s="171">
        <f ca="1">IF(OR($D82&lt;&gt;"Serviço",AND(AUTOEVENTO="Manual",$M82=$A$15)),0,
         IF(OFFSET(CRONOPLE!$F$15,$M82-$A$15,AO$13)=0,10^12,OFFSET(CRONOPLE!$F$15,$M82-$A$15,AO$13)))</f>
        <v>1000000000000</v>
      </c>
      <c r="AP82" s="171">
        <f ca="1">IF(OR($D82&lt;&gt;"Serviço",AND(AUTOEVENTO="Manual",$M82=$A$15)),0,
         IF(OFFSET(CRONOPLE!$F$15,$M82-$A$15,AP$13)=0,10^12,OFFSET(CRONOPLE!$F$15,$M82-$A$15,AP$13)))</f>
        <v>1000000000000</v>
      </c>
      <c r="AQ82" s="171">
        <f ca="1">IF(OR($D82&lt;&gt;"Serviço",AND(AUTOEVENTO="Manual",$M82=$A$15)),0,
         IF(OFFSET(CRONOPLE!$F$15,$M82-$A$15,AQ$13)=0,10^12,OFFSET(CRONOPLE!$F$15,$M82-$A$15,AQ$13)))</f>
        <v>1000000000000</v>
      </c>
      <c r="AR82" s="171">
        <f ca="1">IF(OR($D82&lt;&gt;"Serviço",AND(AUTOEVENTO="Manual",$M82=$A$15)),0,
         IF(OFFSET(CRONOPLE!$F$15,$M82-$A$15,AR$13)=0,10^12,OFFSET(CRONOPLE!$F$15,$M82-$A$15,AR$13)))</f>
        <v>1000000000000</v>
      </c>
      <c r="AS82" s="171">
        <f ca="1">IF(OR($D82&lt;&gt;"Serviço",AND(AUTOEVENTO="Manual",$M82=$A$15)),0,
         IF(OFFSET(CRONOPLE!$F$15,$M82-$A$15,AS$13)=0,10^12,OFFSET(CRONOPLE!$F$15,$M82-$A$15,AS$13)))</f>
        <v>1000000000000</v>
      </c>
      <c r="AT82" s="171">
        <f ca="1">IF(OR($D82&lt;&gt;"Serviço",AND(AUTOEVENTO="Manual",$M82=$A$15)),0,
         IF(OFFSET(CRONOPLE!$F$15,$M82-$A$15,AT$13)=0,10^12,OFFSET(CRONOPLE!$F$15,$M82-$A$15,AT$13)))</f>
        <v>1000000000000</v>
      </c>
      <c r="AU82" s="171">
        <f ca="1">IF(OR($D82&lt;&gt;"Serviço",AND(AUTOEVENTO="Manual",$M82=$A$15)),0,
         IF(OFFSET(CRONOPLE!$F$15,$M82-$A$15,AU$13)=0,10^12,OFFSET(CRONOPLE!$F$15,$M82-$A$15,AU$13)))</f>
        <v>9</v>
      </c>
      <c r="AV82" s="171">
        <f ca="1">IF(OR($D82&lt;&gt;"Serviço",AND(AUTOEVENTO="Manual",$M82=$A$15)),0,
         IF(OFFSET(CRONOPLE!$F$15,$M82-$A$15,AV$13)=0,10^12,OFFSET(CRONOPLE!$F$15,$M82-$A$15,AV$13)))</f>
        <v>10</v>
      </c>
      <c r="AX82" s="172" cm="1">
        <f t="array" aca="1" ref="AX82" ca="1">IF(OR($D82&lt;&gt;"Serviço",AND(AUTOEVENTO="Manual",$M82=$A$15),$M82&gt;(ROW(PLE.lastrow)-ROW(PLE.firstrow))),0,
           IF(OFFSET(PLE!$G$15,$M82-$A$15,AX$13)="",10^12,OFFSET(PLE!$G$15,$M82-$A$15,AX$13)))</f>
        <v>1000000000000</v>
      </c>
      <c r="AY82" s="172" cm="1">
        <f t="array" aca="1" ref="AY82" ca="1">IF(OR($D82&lt;&gt;"Serviço",AND(AUTOEVENTO="Manual",$M82=$A$15),$M82&gt;(ROW(PLE.lastrow)-ROW(PLE.firstrow))),0,
           IF(OFFSET(PLE!$G$15,$M82-$A$15,AY$13)="",10^12,OFFSET(PLE!$G$15,$M82-$A$15,AY$13)))</f>
        <v>1000000000000</v>
      </c>
      <c r="AZ82" s="172" cm="1">
        <f t="array" aca="1" ref="AZ82" ca="1">IF(OR($D82&lt;&gt;"Serviço",AND(AUTOEVENTO="Manual",$M82=$A$15),$M82&gt;(ROW(PLE.lastrow)-ROW(PLE.firstrow))),0,
           IF(OFFSET(PLE!$G$15,$M82-$A$15,AZ$13)="",10^12,OFFSET(PLE!$G$15,$M82-$A$15,AZ$13)))</f>
        <v>1000000000000</v>
      </c>
      <c r="BA82" s="172" cm="1">
        <f t="array" aca="1" ref="BA82" ca="1">IF(OR($D82&lt;&gt;"Serviço",AND(AUTOEVENTO="Manual",$M82=$A$15),$M82&gt;(ROW(PLE.lastrow)-ROW(PLE.firstrow))),0,
           IF(OFFSET(PLE!$G$15,$M82-$A$15,BA$13)="",10^12,OFFSET(PLE!$G$15,$M82-$A$15,BA$13)))</f>
        <v>1000000000000</v>
      </c>
      <c r="BB82" s="172" cm="1">
        <f t="array" aca="1" ref="BB82" ca="1">IF(OR($D82&lt;&gt;"Serviço",AND(AUTOEVENTO="Manual",$M82=$A$15),$M82&gt;(ROW(PLE.lastrow)-ROW(PLE.firstrow))),0,
           IF(OFFSET(PLE!$G$15,$M82-$A$15,BB$13)="",10^12,OFFSET(PLE!$G$15,$M82-$A$15,BB$13)))</f>
        <v>1000000000000</v>
      </c>
      <c r="BC82" s="172" cm="1">
        <f t="array" aca="1" ref="BC82" ca="1">IF(OR($D82&lt;&gt;"Serviço",AND(AUTOEVENTO="Manual",$M82=$A$15),$M82&gt;(ROW(PLE.lastrow)-ROW(PLE.firstrow))),0,
           IF(OFFSET(PLE!$G$15,$M82-$A$15,BC$13)="",10^12,OFFSET(PLE!$G$15,$M82-$A$15,BC$13)))</f>
        <v>1000000000000</v>
      </c>
      <c r="BD82" s="172" cm="1">
        <f t="array" aca="1" ref="BD82" ca="1">IF(OR($D82&lt;&gt;"Serviço",AND(AUTOEVENTO="Manual",$M82=$A$15),$M82&gt;(ROW(PLE.lastrow)-ROW(PLE.firstrow))),0,
           IF(OFFSET(PLE!$G$15,$M82-$A$15,BD$13)="",10^12,OFFSET(PLE!$G$15,$M82-$A$15,BD$13)))</f>
        <v>1000000000000</v>
      </c>
      <c r="BE82" s="172" cm="1">
        <f t="array" aca="1" ref="BE82" ca="1">IF(OR($D82&lt;&gt;"Serviço",AND(AUTOEVENTO="Manual",$M82=$A$15),$M82&gt;(ROW(PLE.lastrow)-ROW(PLE.firstrow))),0,
           IF(OFFSET(PLE!$G$15,$M82-$A$15,BE$13)="",10^12,OFFSET(PLE!$G$15,$M82-$A$15,BE$13)))</f>
        <v>1000000000000</v>
      </c>
      <c r="BF82" s="172" cm="1">
        <f t="array" aca="1" ref="BF82" ca="1">IF(OR($D82&lt;&gt;"Serviço",AND(AUTOEVENTO="Manual",$M82=$A$15),$M82&gt;(ROW(PLE.lastrow)-ROW(PLE.firstrow))),0,
           IF(OFFSET(PLE!$G$15,$M82-$A$15,BF$13)="",10^12,OFFSET(PLE!$G$15,$M82-$A$15,BF$13)))</f>
        <v>1000000000000</v>
      </c>
      <c r="BG82" s="172" cm="1">
        <f t="array" aca="1" ref="BG82" ca="1">IF(OR($D82&lt;&gt;"Serviço",AND(AUTOEVENTO="Manual",$M82=$A$15),$M82&gt;(ROW(PLE.lastrow)-ROW(PLE.firstrow))),0,
           IF(OFFSET(PLE!$G$15,$M82-$A$15,BG$13)="",10^12,OFFSET(PLE!$G$15,$M82-$A$15,BG$13)))</f>
        <v>1000000000000</v>
      </c>
    </row>
    <row r="83" spans="1:59" ht="12.75" x14ac:dyDescent="0.2">
      <c r="A83" s="7">
        <f t="shared" ca="1" si="12"/>
        <v>7</v>
      </c>
      <c r="B83" s="7">
        <f ca="1">OFFSET(ORÇAMENTO!C$15,$L83,0)</f>
        <v>3</v>
      </c>
      <c r="C83" s="7" t="str">
        <f ca="1">OFFSET(ORÇAMENTO!L$15,$L83,0)</f>
        <v>F</v>
      </c>
      <c r="D83" s="116" t="str">
        <f ca="1">OFFSET(ORÇAMENTO!N$15,$L83,0)</f>
        <v>Nível 3</v>
      </c>
      <c r="E83" s="117" t="str">
        <f ca="1">OFFSET(ORÇAMENTO!O$15,$L83,0)</f>
        <v>1.7.2.</v>
      </c>
      <c r="F83" s="163" t="str">
        <f ca="1">OFFSET(ORÇAMENTO!R$15,$L83,0)</f>
        <v>BALANÇA</v>
      </c>
      <c r="G83" s="164" t="str">
        <f ca="1">IF($D83&lt;&gt;"Serviço","",OFFSET(ORÇAMENTO!S$15,$L83,0))</f>
        <v/>
      </c>
      <c r="H83" s="122" cm="1">
        <f t="array" aca="1" ref="H83" ca="1">IF($D83&lt;&gt;"Serviço",0,IF(ACOMPANHAMENTO="BM",ROUND(OFFSET(ORÇAMENTO!AJ$15,$L83,0),15-13*ORÇAMENTO!$AF$7),IF(IFERROR(CÁLCULO.FrentesPreenchidas,0)=0,0,SUM(ROUND(OFFSET($P83,0,1,1,CÁLCULO.FrentesPreenchidas),15-13*ORÇAMENTO!$AF$7)))))</f>
        <v>0</v>
      </c>
      <c r="I83" s="468"/>
      <c r="J83" s="651" t="str" cm="1">
        <f t="array" aca="1" ref="J83" ca="1">IF(OR(B83&lt;&gt;"S",CÁLCULO.FrentesPreenchidas=0),"",IF(AND(ACOMPANHAMENTO="PLE",AUTOEVENTO="Manual",OR(H83&gt;0,ORÇAMENTO!AC83="QUANT."),OR(K83="",M83=0,N83="")),"►E",IF(AND(ACOMPANHAMENTO="PLE",ORÇAMENTO!AC83="QUANT."),"►Q",IF(AND(ACOMPANHAMENTO="PLE",H83&lt;&gt;SUMPRODUCT(($Q$1:$AA$1=1)*ROUND(Q83:AA83,15))),"►S",IF(AND(COUNTIF($P$11:$AA$11,"▼")=0,H83&gt;0,I83=""),"◄M","")))))</f>
        <v/>
      </c>
      <c r="K83" s="652" t="s">
        <v>1096</v>
      </c>
      <c r="L83" s="165">
        <f t="shared" ca="1" si="13"/>
        <v>68</v>
      </c>
      <c r="M83" s="166" t="str">
        <f ca="1">IF($D83&lt;&gt;"Serviço","",
          IF(AUTOEVENTO="manual",$A83,
                IF(ISERROR(MATCH($A83,$A$15:OFFSET($A83,-1,0),0)),MAX($M$15:OFFSET(M83,-1,0))+1,
                      INDEX($M$15:OFFSET(M83,-1,0),MATCH($A83,$A$15:OFFSET($A83,-1,0),0)))))</f>
        <v/>
      </c>
      <c r="N83" s="167" t="str">
        <f ca="1">IF($D83&lt;&gt;"Serviço","",
         IF(AUTOEVENTO="Manual",
                IF($A83=0,"&lt;-- defina o número do agrupador",
                       OFFSET(EVENTOS!$D$15,$A83-$A$15,0)),
                OFFSET($F$15,$A83,0)))</f>
        <v/>
      </c>
      <c r="O83" s="168"/>
      <c r="Q83" s="168"/>
      <c r="R83" s="169"/>
      <c r="S83" s="169"/>
      <c r="T83" s="169"/>
      <c r="U83" s="169"/>
      <c r="V83" s="169"/>
      <c r="W83" s="169"/>
      <c r="X83" s="169"/>
      <c r="Y83" s="169"/>
      <c r="Z83" s="170"/>
      <c r="AB83" s="453">
        <f ca="1">IF(AND($D83="Serviço",AB$12&lt;&gt;0,$H83&gt;0,OR(AUTOEVENTO&lt;&gt;"manual",$M83&lt;&gt;$A$15)),
        IF(Import.TipoArredondamento&lt;&gt;"TransfereGOV",
              ROUND(OFFSET($P83,0,AB$13),15-13*ORÇAMENTO!$AF$7)/$H83*OFFSET(ORÇAMENTO!$X$15,ROW(AB83)-ROW(AB$15),0),
              ROUND(ROUND(OFFSET($P83,0,AB$13),15-13*ORÇAMENTO!$AF$7)*OFFSET(ORÇAMENTO!$W$15,ROW(AB83)-ROW(AB$15),0),15-13*ORÇAMENTO!$AF$11)),
         0)</f>
        <v>0</v>
      </c>
      <c r="AC83" s="453">
        <f ca="1">IF(AND($D83="Serviço",AC$12&lt;&gt;0,$H83&gt;0,OR(AUTOEVENTO&lt;&gt;"manual",$M83&lt;&gt;$A$15)),
        IF(Import.TipoArredondamento&lt;&gt;"TransfereGOV",
              ROUND(OFFSET($P83,0,AC$13),15-13*ORÇAMENTO!$AF$7)/$H83*OFFSET(ORÇAMENTO!$X$15,ROW(AC83)-ROW(AC$15),0),
              ROUND(ROUND(OFFSET($P83,0,AC$13),15-13*ORÇAMENTO!$AF$7)*OFFSET(ORÇAMENTO!$W$15,ROW(AC83)-ROW(AC$15),0),15-13*ORÇAMENTO!$AF$11)),
         0)</f>
        <v>0</v>
      </c>
      <c r="AD83" s="453">
        <f ca="1">IF(AND($D83="Serviço",AD$12&lt;&gt;0,$H83&gt;0,OR(AUTOEVENTO&lt;&gt;"manual",$M83&lt;&gt;$A$15)),
        IF(Import.TipoArredondamento&lt;&gt;"TransfereGOV",
              ROUND(OFFSET($P83,0,AD$13),15-13*ORÇAMENTO!$AF$7)/$H83*OFFSET(ORÇAMENTO!$X$15,ROW(AD83)-ROW(AD$15),0),
              ROUND(ROUND(OFFSET($P83,0,AD$13),15-13*ORÇAMENTO!$AF$7)*OFFSET(ORÇAMENTO!$W$15,ROW(AD83)-ROW(AD$15),0),15-13*ORÇAMENTO!$AF$11)),
         0)</f>
        <v>0</v>
      </c>
      <c r="AE83" s="453">
        <f ca="1">IF(AND($D83="Serviço",AE$12&lt;&gt;0,$H83&gt;0,OR(AUTOEVENTO&lt;&gt;"manual",$M83&lt;&gt;$A$15)),
        IF(Import.TipoArredondamento&lt;&gt;"TransfereGOV",
              ROUND(OFFSET($P83,0,AE$13),15-13*ORÇAMENTO!$AF$7)/$H83*OFFSET(ORÇAMENTO!$X$15,ROW(AE83)-ROW(AE$15),0),
              ROUND(ROUND(OFFSET($P83,0,AE$13),15-13*ORÇAMENTO!$AF$7)*OFFSET(ORÇAMENTO!$W$15,ROW(AE83)-ROW(AE$15),0),15-13*ORÇAMENTO!$AF$11)),
         0)</f>
        <v>0</v>
      </c>
      <c r="AF83" s="453">
        <f ca="1">IF(AND($D83="Serviço",AF$12&lt;&gt;0,$H83&gt;0,OR(AUTOEVENTO&lt;&gt;"manual",$M83&lt;&gt;$A$15)),
        IF(Import.TipoArredondamento&lt;&gt;"TransfereGOV",
              ROUND(OFFSET($P83,0,AF$13),15-13*ORÇAMENTO!$AF$7)/$H83*OFFSET(ORÇAMENTO!$X$15,ROW(AF83)-ROW(AF$15),0),
              ROUND(ROUND(OFFSET($P83,0,AF$13),15-13*ORÇAMENTO!$AF$7)*OFFSET(ORÇAMENTO!$W$15,ROW(AF83)-ROW(AF$15),0),15-13*ORÇAMENTO!$AF$11)),
         0)</f>
        <v>0</v>
      </c>
      <c r="AG83" s="453">
        <f ca="1">IF(AND($D83="Serviço",AG$12&lt;&gt;0,$H83&gt;0,OR(AUTOEVENTO&lt;&gt;"manual",$M83&lt;&gt;$A$15)),
        IF(Import.TipoArredondamento&lt;&gt;"TransfereGOV",
              ROUND(OFFSET($P83,0,AG$13),15-13*ORÇAMENTO!$AF$7)/$H83*OFFSET(ORÇAMENTO!$X$15,ROW(AG83)-ROW(AG$15),0),
              ROUND(ROUND(OFFSET($P83,0,AG$13),15-13*ORÇAMENTO!$AF$7)*OFFSET(ORÇAMENTO!$W$15,ROW(AG83)-ROW(AG$15),0),15-13*ORÇAMENTO!$AF$11)),
         0)</f>
        <v>0</v>
      </c>
      <c r="AH83" s="453">
        <f ca="1">IF(AND($D83="Serviço",AH$12&lt;&gt;0,$H83&gt;0,OR(AUTOEVENTO&lt;&gt;"manual",$M83&lt;&gt;$A$15)),
        IF(Import.TipoArredondamento&lt;&gt;"TransfereGOV",
              ROUND(OFFSET($P83,0,AH$13),15-13*ORÇAMENTO!$AF$7)/$H83*OFFSET(ORÇAMENTO!$X$15,ROW(AH83)-ROW(AH$15),0),
              ROUND(ROUND(OFFSET($P83,0,AH$13),15-13*ORÇAMENTO!$AF$7)*OFFSET(ORÇAMENTO!$W$15,ROW(AH83)-ROW(AH$15),0),15-13*ORÇAMENTO!$AF$11)),
         0)</f>
        <v>0</v>
      </c>
      <c r="AI83" s="453">
        <f ca="1">IF(AND($D83="Serviço",AI$12&lt;&gt;0,$H83&gt;0,OR(AUTOEVENTO&lt;&gt;"manual",$M83&lt;&gt;$A$15)),
        IF(Import.TipoArredondamento&lt;&gt;"TransfereGOV",
              ROUND(OFFSET($P83,0,AI$13),15-13*ORÇAMENTO!$AF$7)/$H83*OFFSET(ORÇAMENTO!$X$15,ROW(AI83)-ROW(AI$15),0),
              ROUND(ROUND(OFFSET($P83,0,AI$13),15-13*ORÇAMENTO!$AF$7)*OFFSET(ORÇAMENTO!$W$15,ROW(AI83)-ROW(AI$15),0),15-13*ORÇAMENTO!$AF$11)),
         0)</f>
        <v>0</v>
      </c>
      <c r="AJ83" s="453">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3">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M83" s="171">
        <f ca="1">IF(OR($D83&lt;&gt;"Serviço",AND(AUTOEVENTO="Manual",$M83=$A$15)),0,
         IF(OFFSET(CRONOPLE!$F$15,$M83-$A$15,AM$13)=0,10^12,OFFSET(CRONOPLE!$F$15,$M83-$A$15,AM$13)))</f>
        <v>0</v>
      </c>
      <c r="AN83" s="171">
        <f ca="1">IF(OR($D83&lt;&gt;"Serviço",AND(AUTOEVENTO="Manual",$M83=$A$15)),0,
         IF(OFFSET(CRONOPLE!$F$15,$M83-$A$15,AN$13)=0,10^12,OFFSET(CRONOPLE!$F$15,$M83-$A$15,AN$13)))</f>
        <v>0</v>
      </c>
      <c r="AO83" s="171">
        <f ca="1">IF(OR($D83&lt;&gt;"Serviço",AND(AUTOEVENTO="Manual",$M83=$A$15)),0,
         IF(OFFSET(CRONOPLE!$F$15,$M83-$A$15,AO$13)=0,10^12,OFFSET(CRONOPLE!$F$15,$M83-$A$15,AO$13)))</f>
        <v>0</v>
      </c>
      <c r="AP83" s="171">
        <f ca="1">IF(OR($D83&lt;&gt;"Serviço",AND(AUTOEVENTO="Manual",$M83=$A$15)),0,
         IF(OFFSET(CRONOPLE!$F$15,$M83-$A$15,AP$13)=0,10^12,OFFSET(CRONOPLE!$F$15,$M83-$A$15,AP$13)))</f>
        <v>0</v>
      </c>
      <c r="AQ83" s="171">
        <f ca="1">IF(OR($D83&lt;&gt;"Serviço",AND(AUTOEVENTO="Manual",$M83=$A$15)),0,
         IF(OFFSET(CRONOPLE!$F$15,$M83-$A$15,AQ$13)=0,10^12,OFFSET(CRONOPLE!$F$15,$M83-$A$15,AQ$13)))</f>
        <v>0</v>
      </c>
      <c r="AR83" s="171">
        <f ca="1">IF(OR($D83&lt;&gt;"Serviço",AND(AUTOEVENTO="Manual",$M83=$A$15)),0,
         IF(OFFSET(CRONOPLE!$F$15,$M83-$A$15,AR$13)=0,10^12,OFFSET(CRONOPLE!$F$15,$M83-$A$15,AR$13)))</f>
        <v>0</v>
      </c>
      <c r="AS83" s="171">
        <f ca="1">IF(OR($D83&lt;&gt;"Serviço",AND(AUTOEVENTO="Manual",$M83=$A$15)),0,
         IF(OFFSET(CRONOPLE!$F$15,$M83-$A$15,AS$13)=0,10^12,OFFSET(CRONOPLE!$F$15,$M83-$A$15,AS$13)))</f>
        <v>0</v>
      </c>
      <c r="AT83" s="171">
        <f ca="1">IF(OR($D83&lt;&gt;"Serviço",AND(AUTOEVENTO="Manual",$M83=$A$15)),0,
         IF(OFFSET(CRONOPLE!$F$15,$M83-$A$15,AT$13)=0,10^12,OFFSET(CRONOPLE!$F$15,$M83-$A$15,AT$13)))</f>
        <v>0</v>
      </c>
      <c r="AU83" s="171">
        <f ca="1">IF(OR($D83&lt;&gt;"Serviço",AND(AUTOEVENTO="Manual",$M83=$A$15)),0,
         IF(OFFSET(CRONOPLE!$F$15,$M83-$A$15,AU$13)=0,10^12,OFFSET(CRONOPLE!$F$15,$M83-$A$15,AU$13)))</f>
        <v>0</v>
      </c>
      <c r="AV83" s="171">
        <f ca="1">IF(OR($D83&lt;&gt;"Serviço",AND(AUTOEVENTO="Manual",$M83=$A$15)),0,
         IF(OFFSET(CRONOPLE!$F$15,$M83-$A$15,AV$13)=0,10^12,OFFSET(CRONOPLE!$F$15,$M83-$A$15,AV$13)))</f>
        <v>0</v>
      </c>
      <c r="AX83" s="172" cm="1">
        <f t="array" aca="1" ref="AX83" ca="1">IF(OR($D83&lt;&gt;"Serviço",AND(AUTOEVENTO="Manual",$M83=$A$15),$M83&gt;(ROW(PLE.lastrow)-ROW(PLE.firstrow))),0,
           IF(OFFSET(PLE!$G$15,$M83-$A$15,AX$13)="",10^12,OFFSET(PLE!$G$15,$M83-$A$15,AX$13)))</f>
        <v>0</v>
      </c>
      <c r="AY83" s="172" cm="1">
        <f t="array" aca="1" ref="AY83" ca="1">IF(OR($D83&lt;&gt;"Serviço",AND(AUTOEVENTO="Manual",$M83=$A$15),$M83&gt;(ROW(PLE.lastrow)-ROW(PLE.firstrow))),0,
           IF(OFFSET(PLE!$G$15,$M83-$A$15,AY$13)="",10^12,OFFSET(PLE!$G$15,$M83-$A$15,AY$13)))</f>
        <v>0</v>
      </c>
      <c r="AZ83" s="172" cm="1">
        <f t="array" aca="1" ref="AZ83" ca="1">IF(OR($D83&lt;&gt;"Serviço",AND(AUTOEVENTO="Manual",$M83=$A$15),$M83&gt;(ROW(PLE.lastrow)-ROW(PLE.firstrow))),0,
           IF(OFFSET(PLE!$G$15,$M83-$A$15,AZ$13)="",10^12,OFFSET(PLE!$G$15,$M83-$A$15,AZ$13)))</f>
        <v>0</v>
      </c>
      <c r="BA83" s="172" cm="1">
        <f t="array" aca="1" ref="BA83" ca="1">IF(OR($D83&lt;&gt;"Serviço",AND(AUTOEVENTO="Manual",$M83=$A$15),$M83&gt;(ROW(PLE.lastrow)-ROW(PLE.firstrow))),0,
           IF(OFFSET(PLE!$G$15,$M83-$A$15,BA$13)="",10^12,OFFSET(PLE!$G$15,$M83-$A$15,BA$13)))</f>
        <v>0</v>
      </c>
      <c r="BB83" s="172" cm="1">
        <f t="array" aca="1" ref="BB83" ca="1">IF(OR($D83&lt;&gt;"Serviço",AND(AUTOEVENTO="Manual",$M83=$A$15),$M83&gt;(ROW(PLE.lastrow)-ROW(PLE.firstrow))),0,
           IF(OFFSET(PLE!$G$15,$M83-$A$15,BB$13)="",10^12,OFFSET(PLE!$G$15,$M83-$A$15,BB$13)))</f>
        <v>0</v>
      </c>
      <c r="BC83" s="172" cm="1">
        <f t="array" aca="1" ref="BC83" ca="1">IF(OR($D83&lt;&gt;"Serviço",AND(AUTOEVENTO="Manual",$M83=$A$15),$M83&gt;(ROW(PLE.lastrow)-ROW(PLE.firstrow))),0,
           IF(OFFSET(PLE!$G$15,$M83-$A$15,BC$13)="",10^12,OFFSET(PLE!$G$15,$M83-$A$15,BC$13)))</f>
        <v>0</v>
      </c>
      <c r="BD83" s="172" cm="1">
        <f t="array" aca="1" ref="BD83" ca="1">IF(OR($D83&lt;&gt;"Serviço",AND(AUTOEVENTO="Manual",$M83=$A$15),$M83&gt;(ROW(PLE.lastrow)-ROW(PLE.firstrow))),0,
           IF(OFFSET(PLE!$G$15,$M83-$A$15,BD$13)="",10^12,OFFSET(PLE!$G$15,$M83-$A$15,BD$13)))</f>
        <v>0</v>
      </c>
      <c r="BE83" s="172" cm="1">
        <f t="array" aca="1" ref="BE83" ca="1">IF(OR($D83&lt;&gt;"Serviço",AND(AUTOEVENTO="Manual",$M83=$A$15),$M83&gt;(ROW(PLE.lastrow)-ROW(PLE.firstrow))),0,
           IF(OFFSET(PLE!$G$15,$M83-$A$15,BE$13)="",10^12,OFFSET(PLE!$G$15,$M83-$A$15,BE$13)))</f>
        <v>0</v>
      </c>
      <c r="BF83" s="172" cm="1">
        <f t="array" aca="1" ref="BF83" ca="1">IF(OR($D83&lt;&gt;"Serviço",AND(AUTOEVENTO="Manual",$M83=$A$15),$M83&gt;(ROW(PLE.lastrow)-ROW(PLE.firstrow))),0,
           IF(OFFSET(PLE!$G$15,$M83-$A$15,BF$13)="",10^12,OFFSET(PLE!$G$15,$M83-$A$15,BF$13)))</f>
        <v>0</v>
      </c>
      <c r="BG83" s="172" cm="1">
        <f t="array" aca="1" ref="BG83" ca="1">IF(OR($D83&lt;&gt;"Serviço",AND(AUTOEVENTO="Manual",$M83=$A$15),$M83&gt;(ROW(PLE.lastrow)-ROW(PLE.firstrow))),0,
           IF(OFFSET(PLE!$G$15,$M83-$A$15,BG$13)="",10^12,OFFSET(PLE!$G$15,$M83-$A$15,BG$13)))</f>
        <v>0</v>
      </c>
    </row>
    <row r="84" spans="1:59" ht="89.25" x14ac:dyDescent="0.2">
      <c r="A84" s="7">
        <f t="shared" ca="1" si="12"/>
        <v>7</v>
      </c>
      <c r="B84" s="7" t="str">
        <f ca="1">OFFSET(ORÇAMENTO!C$15,$L84,0)</f>
        <v>S</v>
      </c>
      <c r="C84" s="7" t="str">
        <f ca="1">OFFSET(ORÇAMENTO!L$15,$L84,0)</f>
        <v>F</v>
      </c>
      <c r="D84" s="116" t="str">
        <f ca="1">OFFSET(ORÇAMENTO!N$15,$L84,0)</f>
        <v>Serviço</v>
      </c>
      <c r="E84" s="117" t="str">
        <f ca="1">OFFSET(ORÇAMENTO!O$15,$L84,0)</f>
        <v>1.7.2.1.</v>
      </c>
      <c r="F84" s="163" t="str">
        <f ca="1">OFFSET(ORÇAMENTO!R$15,$L84,0)</f>
        <v>(Código não identificado nas referências)</v>
      </c>
      <c r="G84" s="164" t="str">
        <f ca="1">IF($D84&lt;&gt;"Serviço","",OFFSET(ORÇAMENTO!S$15,$L84,0))</f>
        <v>UN</v>
      </c>
      <c r="H84" s="122" cm="1">
        <f t="array" aca="1" ref="H84" ca="1">IF($D84&lt;&gt;"Serviço",0,IF(ACOMPANHAMENTO="BM",ROUND(OFFSET(ORÇAMENTO!AJ$15,$L84,0),15-13*ORÇAMENTO!$AF$7),IF(IFERROR(CÁLCULO.FrentesPreenchidas,0)=0,0,SUM(ROUND(OFFSET($P84,0,1,1,CÁLCULO.FrentesPreenchidas),15-13*ORÇAMENTO!$AF$7)))))</f>
        <v>1</v>
      </c>
      <c r="I84" s="468" t="s">
        <v>1042</v>
      </c>
      <c r="J84" s="651" t="str" cm="1">
        <f t="array" aca="1" ref="J84" ca="1">IF(OR(B84&lt;&gt;"S",CÁLCULO.FrentesPreenchidas=0),"",IF(AND(ACOMPANHAMENTO="PLE",AUTOEVENTO="Manual",OR(H84&gt;0,ORÇAMENTO!AC84="QUANT."),OR(K84="",M84=0,N84="")),"►E",IF(AND(ACOMPANHAMENTO="PLE",ORÇAMENTO!AC84="QUANT."),"►Q",IF(AND(ACOMPANHAMENTO="PLE",H84&lt;&gt;SUMPRODUCT(($Q$1:$AA$1=1)*ROUND(Q84:AA84,15))),"►S",IF(AND(COUNTIF($P$11:$AA$11,"▼")=0,H84&gt;0,I84=""),"◄M","")))))</f>
        <v/>
      </c>
      <c r="K84" s="652" t="s">
        <v>1096</v>
      </c>
      <c r="L84" s="165">
        <f t="shared" ca="1" si="13"/>
        <v>69</v>
      </c>
      <c r="M84" s="166">
        <f ca="1">IF($D84&lt;&gt;"Serviço","",
          IF(AUTOEVENTO="manual",$A84,
                IF(ISERROR(MATCH($A84,$A$15:OFFSET($A84,-1,0),0)),MAX($M$15:OFFSET(M84,-1,0))+1,
                      INDEX($M$15:OFFSET(M84,-1,0),MATCH($A84,$A$15:OFFSET($A84,-1,0),0)))))</f>
        <v>7</v>
      </c>
      <c r="N84" s="167" t="str">
        <f ca="1">IF($D84&lt;&gt;"Serviço","",
         IF(AUTOEVENTO="Manual",
                IF($A84=0,"&lt;-- defina o número do agrupador",
                       OFFSET(EVENTOS!$D$15,$A84-$A$15,0)),
                OFFSET($F$15,$A84,0)))</f>
        <v>EQUIPAMENTOS</v>
      </c>
      <c r="O84" s="168"/>
      <c r="Q84" s="168"/>
      <c r="R84" s="169"/>
      <c r="S84" s="169"/>
      <c r="T84" s="169"/>
      <c r="U84" s="169"/>
      <c r="V84" s="169"/>
      <c r="W84" s="169"/>
      <c r="X84" s="169"/>
      <c r="Y84" s="169">
        <v>1</v>
      </c>
      <c r="Z84" s="170"/>
      <c r="AB84" s="453">
        <f ca="1">IF(AND($D84="Serviço",AB$12&lt;&gt;0,$H84&gt;0,OR(AUTOEVENTO&lt;&gt;"manual",$M84&lt;&gt;$A$15)),
        IF(Import.TipoArredondamento&lt;&gt;"TransfereGOV",
              ROUND(OFFSET($P84,0,AB$13),15-13*ORÇAMENTO!$AF$7)/$H84*OFFSET(ORÇAMENTO!$X$15,ROW(AB84)-ROW(AB$15),0),
              ROUND(ROUND(OFFSET($P84,0,AB$13),15-13*ORÇAMENTO!$AF$7)*OFFSET(ORÇAMENTO!$W$15,ROW(AB84)-ROW(AB$15),0),15-13*ORÇAMENTO!$AF$11)),
         0)</f>
        <v>0</v>
      </c>
      <c r="AC84" s="453">
        <f ca="1">IF(AND($D84="Serviço",AC$12&lt;&gt;0,$H84&gt;0,OR(AUTOEVENTO&lt;&gt;"manual",$M84&lt;&gt;$A$15)),
        IF(Import.TipoArredondamento&lt;&gt;"TransfereGOV",
              ROUND(OFFSET($P84,0,AC$13),15-13*ORÇAMENTO!$AF$7)/$H84*OFFSET(ORÇAMENTO!$X$15,ROW(AC84)-ROW(AC$15),0),
              ROUND(ROUND(OFFSET($P84,0,AC$13),15-13*ORÇAMENTO!$AF$7)*OFFSET(ORÇAMENTO!$W$15,ROW(AC84)-ROW(AC$15),0),15-13*ORÇAMENTO!$AF$11)),
         0)</f>
        <v>0</v>
      </c>
      <c r="AD84" s="453">
        <f ca="1">IF(AND($D84="Serviço",AD$12&lt;&gt;0,$H84&gt;0,OR(AUTOEVENTO&lt;&gt;"manual",$M84&lt;&gt;$A$15)),
        IF(Import.TipoArredondamento&lt;&gt;"TransfereGOV",
              ROUND(OFFSET($P84,0,AD$13),15-13*ORÇAMENTO!$AF$7)/$H84*OFFSET(ORÇAMENTO!$X$15,ROW(AD84)-ROW(AD$15),0),
              ROUND(ROUND(OFFSET($P84,0,AD$13),15-13*ORÇAMENTO!$AF$7)*OFFSET(ORÇAMENTO!$W$15,ROW(AD84)-ROW(AD$15),0),15-13*ORÇAMENTO!$AF$11)),
         0)</f>
        <v>0</v>
      </c>
      <c r="AE84" s="453">
        <f ca="1">IF(AND($D84="Serviço",AE$12&lt;&gt;0,$H84&gt;0,OR(AUTOEVENTO&lt;&gt;"manual",$M84&lt;&gt;$A$15)),
        IF(Import.TipoArredondamento&lt;&gt;"TransfereGOV",
              ROUND(OFFSET($P84,0,AE$13),15-13*ORÇAMENTO!$AF$7)/$H84*OFFSET(ORÇAMENTO!$X$15,ROW(AE84)-ROW(AE$15),0),
              ROUND(ROUND(OFFSET($P84,0,AE$13),15-13*ORÇAMENTO!$AF$7)*OFFSET(ORÇAMENTO!$W$15,ROW(AE84)-ROW(AE$15),0),15-13*ORÇAMENTO!$AF$11)),
         0)</f>
        <v>0</v>
      </c>
      <c r="AF84" s="453">
        <f ca="1">IF(AND($D84="Serviço",AF$12&lt;&gt;0,$H84&gt;0,OR(AUTOEVENTO&lt;&gt;"manual",$M84&lt;&gt;$A$15)),
        IF(Import.TipoArredondamento&lt;&gt;"TransfereGOV",
              ROUND(OFFSET($P84,0,AF$13),15-13*ORÇAMENTO!$AF$7)/$H84*OFFSET(ORÇAMENTO!$X$15,ROW(AF84)-ROW(AF$15),0),
              ROUND(ROUND(OFFSET($P84,0,AF$13),15-13*ORÇAMENTO!$AF$7)*OFFSET(ORÇAMENTO!$W$15,ROW(AF84)-ROW(AF$15),0),15-13*ORÇAMENTO!$AF$11)),
         0)</f>
        <v>0</v>
      </c>
      <c r="AG84" s="453">
        <f ca="1">IF(AND($D84="Serviço",AG$12&lt;&gt;0,$H84&gt;0,OR(AUTOEVENTO&lt;&gt;"manual",$M84&lt;&gt;$A$15)),
        IF(Import.TipoArredondamento&lt;&gt;"TransfereGOV",
              ROUND(OFFSET($P84,0,AG$13),15-13*ORÇAMENTO!$AF$7)/$H84*OFFSET(ORÇAMENTO!$X$15,ROW(AG84)-ROW(AG$15),0),
              ROUND(ROUND(OFFSET($P84,0,AG$13),15-13*ORÇAMENTO!$AF$7)*OFFSET(ORÇAMENTO!$W$15,ROW(AG84)-ROW(AG$15),0),15-13*ORÇAMENTO!$AF$11)),
         0)</f>
        <v>0</v>
      </c>
      <c r="AH84" s="453">
        <f ca="1">IF(AND($D84="Serviço",AH$12&lt;&gt;0,$H84&gt;0,OR(AUTOEVENTO&lt;&gt;"manual",$M84&lt;&gt;$A$15)),
        IF(Import.TipoArredondamento&lt;&gt;"TransfereGOV",
              ROUND(OFFSET($P84,0,AH$13),15-13*ORÇAMENTO!$AF$7)/$H84*OFFSET(ORÇAMENTO!$X$15,ROW(AH84)-ROW(AH$15),0),
              ROUND(ROUND(OFFSET($P84,0,AH$13),15-13*ORÇAMENTO!$AF$7)*OFFSET(ORÇAMENTO!$W$15,ROW(AH84)-ROW(AH$15),0),15-13*ORÇAMENTO!$AF$11)),
         0)</f>
        <v>0</v>
      </c>
      <c r="AI84" s="453">
        <f ca="1">IF(AND($D84="Serviço",AI$12&lt;&gt;0,$H84&gt;0,OR(AUTOEVENTO&lt;&gt;"manual",$M84&lt;&gt;$A$15)),
        IF(Import.TipoArredondamento&lt;&gt;"TransfereGOV",
              ROUND(OFFSET($P84,0,AI$13),15-13*ORÇAMENTO!$AF$7)/$H84*OFFSET(ORÇAMENTO!$X$15,ROW(AI84)-ROW(AI$15),0),
              ROUND(ROUND(OFFSET($P84,0,AI$13),15-13*ORÇAMENTO!$AF$7)*OFFSET(ORÇAMENTO!$W$15,ROW(AI84)-ROW(AI$15),0),15-13*ORÇAMENTO!$AF$11)),
         0)</f>
        <v>0</v>
      </c>
      <c r="AJ84" s="453">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288388.8</v>
      </c>
      <c r="AK84" s="453">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M84" s="171">
        <f ca="1">IF(OR($D84&lt;&gt;"Serviço",AND(AUTOEVENTO="Manual",$M84=$A$15)),0,
         IF(OFFSET(CRONOPLE!$F$15,$M84-$A$15,AM$13)=0,10^12,OFFSET(CRONOPLE!$F$15,$M84-$A$15,AM$13)))</f>
        <v>1000000000000</v>
      </c>
      <c r="AN84" s="171">
        <f ca="1">IF(OR($D84&lt;&gt;"Serviço",AND(AUTOEVENTO="Manual",$M84=$A$15)),0,
         IF(OFFSET(CRONOPLE!$F$15,$M84-$A$15,AN$13)=0,10^12,OFFSET(CRONOPLE!$F$15,$M84-$A$15,AN$13)))</f>
        <v>1000000000000</v>
      </c>
      <c r="AO84" s="171">
        <f ca="1">IF(OR($D84&lt;&gt;"Serviço",AND(AUTOEVENTO="Manual",$M84=$A$15)),0,
         IF(OFFSET(CRONOPLE!$F$15,$M84-$A$15,AO$13)=0,10^12,OFFSET(CRONOPLE!$F$15,$M84-$A$15,AO$13)))</f>
        <v>1000000000000</v>
      </c>
      <c r="AP84" s="171">
        <f ca="1">IF(OR($D84&lt;&gt;"Serviço",AND(AUTOEVENTO="Manual",$M84=$A$15)),0,
         IF(OFFSET(CRONOPLE!$F$15,$M84-$A$15,AP$13)=0,10^12,OFFSET(CRONOPLE!$F$15,$M84-$A$15,AP$13)))</f>
        <v>1000000000000</v>
      </c>
      <c r="AQ84" s="171">
        <f ca="1">IF(OR($D84&lt;&gt;"Serviço",AND(AUTOEVENTO="Manual",$M84=$A$15)),0,
         IF(OFFSET(CRONOPLE!$F$15,$M84-$A$15,AQ$13)=0,10^12,OFFSET(CRONOPLE!$F$15,$M84-$A$15,AQ$13)))</f>
        <v>1000000000000</v>
      </c>
      <c r="AR84" s="171">
        <f ca="1">IF(OR($D84&lt;&gt;"Serviço",AND(AUTOEVENTO="Manual",$M84=$A$15)),0,
         IF(OFFSET(CRONOPLE!$F$15,$M84-$A$15,AR$13)=0,10^12,OFFSET(CRONOPLE!$F$15,$M84-$A$15,AR$13)))</f>
        <v>1000000000000</v>
      </c>
      <c r="AS84" s="171">
        <f ca="1">IF(OR($D84&lt;&gt;"Serviço",AND(AUTOEVENTO="Manual",$M84=$A$15)),0,
         IF(OFFSET(CRONOPLE!$F$15,$M84-$A$15,AS$13)=0,10^12,OFFSET(CRONOPLE!$F$15,$M84-$A$15,AS$13)))</f>
        <v>1000000000000</v>
      </c>
      <c r="AT84" s="171">
        <f ca="1">IF(OR($D84&lt;&gt;"Serviço",AND(AUTOEVENTO="Manual",$M84=$A$15)),0,
         IF(OFFSET(CRONOPLE!$F$15,$M84-$A$15,AT$13)=0,10^12,OFFSET(CRONOPLE!$F$15,$M84-$A$15,AT$13)))</f>
        <v>1000000000000</v>
      </c>
      <c r="AU84" s="171">
        <f ca="1">IF(OR($D84&lt;&gt;"Serviço",AND(AUTOEVENTO="Manual",$M84=$A$15)),0,
         IF(OFFSET(CRONOPLE!$F$15,$M84-$A$15,AU$13)=0,10^12,OFFSET(CRONOPLE!$F$15,$M84-$A$15,AU$13)))</f>
        <v>9</v>
      </c>
      <c r="AV84" s="171">
        <f ca="1">IF(OR($D84&lt;&gt;"Serviço",AND(AUTOEVENTO="Manual",$M84=$A$15)),0,
         IF(OFFSET(CRONOPLE!$F$15,$M84-$A$15,AV$13)=0,10^12,OFFSET(CRONOPLE!$F$15,$M84-$A$15,AV$13)))</f>
        <v>10</v>
      </c>
      <c r="AX84" s="172" cm="1">
        <f t="array" aca="1" ref="AX84" ca="1">IF(OR($D84&lt;&gt;"Serviço",AND(AUTOEVENTO="Manual",$M84=$A$15),$M84&gt;(ROW(PLE.lastrow)-ROW(PLE.firstrow))),0,
           IF(OFFSET(PLE!$G$15,$M84-$A$15,AX$13)="",10^12,OFFSET(PLE!$G$15,$M84-$A$15,AX$13)))</f>
        <v>1000000000000</v>
      </c>
      <c r="AY84" s="172" cm="1">
        <f t="array" aca="1" ref="AY84" ca="1">IF(OR($D84&lt;&gt;"Serviço",AND(AUTOEVENTO="Manual",$M84=$A$15),$M84&gt;(ROW(PLE.lastrow)-ROW(PLE.firstrow))),0,
           IF(OFFSET(PLE!$G$15,$M84-$A$15,AY$13)="",10^12,OFFSET(PLE!$G$15,$M84-$A$15,AY$13)))</f>
        <v>1000000000000</v>
      </c>
      <c r="AZ84" s="172" cm="1">
        <f t="array" aca="1" ref="AZ84" ca="1">IF(OR($D84&lt;&gt;"Serviço",AND(AUTOEVENTO="Manual",$M84=$A$15),$M84&gt;(ROW(PLE.lastrow)-ROW(PLE.firstrow))),0,
           IF(OFFSET(PLE!$G$15,$M84-$A$15,AZ$13)="",10^12,OFFSET(PLE!$G$15,$M84-$A$15,AZ$13)))</f>
        <v>1000000000000</v>
      </c>
      <c r="BA84" s="172" cm="1">
        <f t="array" aca="1" ref="BA84" ca="1">IF(OR($D84&lt;&gt;"Serviço",AND(AUTOEVENTO="Manual",$M84=$A$15),$M84&gt;(ROW(PLE.lastrow)-ROW(PLE.firstrow))),0,
           IF(OFFSET(PLE!$G$15,$M84-$A$15,BA$13)="",10^12,OFFSET(PLE!$G$15,$M84-$A$15,BA$13)))</f>
        <v>1000000000000</v>
      </c>
      <c r="BB84" s="172" cm="1">
        <f t="array" aca="1" ref="BB84" ca="1">IF(OR($D84&lt;&gt;"Serviço",AND(AUTOEVENTO="Manual",$M84=$A$15),$M84&gt;(ROW(PLE.lastrow)-ROW(PLE.firstrow))),0,
           IF(OFFSET(PLE!$G$15,$M84-$A$15,BB$13)="",10^12,OFFSET(PLE!$G$15,$M84-$A$15,BB$13)))</f>
        <v>1000000000000</v>
      </c>
      <c r="BC84" s="172" cm="1">
        <f t="array" aca="1" ref="BC84" ca="1">IF(OR($D84&lt;&gt;"Serviço",AND(AUTOEVENTO="Manual",$M84=$A$15),$M84&gt;(ROW(PLE.lastrow)-ROW(PLE.firstrow))),0,
           IF(OFFSET(PLE!$G$15,$M84-$A$15,BC$13)="",10^12,OFFSET(PLE!$G$15,$M84-$A$15,BC$13)))</f>
        <v>1000000000000</v>
      </c>
      <c r="BD84" s="172" cm="1">
        <f t="array" aca="1" ref="BD84" ca="1">IF(OR($D84&lt;&gt;"Serviço",AND(AUTOEVENTO="Manual",$M84=$A$15),$M84&gt;(ROW(PLE.lastrow)-ROW(PLE.firstrow))),0,
           IF(OFFSET(PLE!$G$15,$M84-$A$15,BD$13)="",10^12,OFFSET(PLE!$G$15,$M84-$A$15,BD$13)))</f>
        <v>1000000000000</v>
      </c>
      <c r="BE84" s="172" cm="1">
        <f t="array" aca="1" ref="BE84" ca="1">IF(OR($D84&lt;&gt;"Serviço",AND(AUTOEVENTO="Manual",$M84=$A$15),$M84&gt;(ROW(PLE.lastrow)-ROW(PLE.firstrow))),0,
           IF(OFFSET(PLE!$G$15,$M84-$A$15,BE$13)="",10^12,OFFSET(PLE!$G$15,$M84-$A$15,BE$13)))</f>
        <v>1000000000000</v>
      </c>
      <c r="BF84" s="172" cm="1">
        <f t="array" aca="1" ref="BF84" ca="1">IF(OR($D84&lt;&gt;"Serviço",AND(AUTOEVENTO="Manual",$M84=$A$15),$M84&gt;(ROW(PLE.lastrow)-ROW(PLE.firstrow))),0,
           IF(OFFSET(PLE!$G$15,$M84-$A$15,BF$13)="",10^12,OFFSET(PLE!$G$15,$M84-$A$15,BF$13)))</f>
        <v>1000000000000</v>
      </c>
      <c r="BG84" s="172" cm="1">
        <f t="array" aca="1" ref="BG84" ca="1">IF(OR($D84&lt;&gt;"Serviço",AND(AUTOEVENTO="Manual",$M84=$A$15),$M84&gt;(ROW(PLE.lastrow)-ROW(PLE.firstrow))),0,
           IF(OFFSET(PLE!$G$15,$M84-$A$15,BG$13)="",10^12,OFFSET(PLE!$G$15,$M84-$A$15,BG$13)))</f>
        <v>1000000000000</v>
      </c>
    </row>
    <row r="85" spans="1:59" ht="12.75" x14ac:dyDescent="0.2">
      <c r="A85" s="7">
        <f t="shared" ca="1" si="12"/>
        <v>8</v>
      </c>
      <c r="B85" s="7">
        <f ca="1">OFFSET(ORÇAMENTO!C$15,$L85,0)</f>
        <v>2</v>
      </c>
      <c r="C85" s="7" t="str">
        <f ca="1">OFFSET(ORÇAMENTO!L$15,$L85,0)</f>
        <v>F</v>
      </c>
      <c r="D85" s="116" t="str">
        <f ca="1">OFFSET(ORÇAMENTO!N$15,$L85,0)</f>
        <v>Nível 2</v>
      </c>
      <c r="E85" s="117" t="str">
        <f ca="1">OFFSET(ORÇAMENTO!O$15,$L85,0)</f>
        <v>1.8.</v>
      </c>
      <c r="F85" s="163" t="str">
        <f ca="1">OFFSET(ORÇAMENTO!R$15,$L85,0)</f>
        <v>SUBESTAÇÃO</v>
      </c>
      <c r="G85" s="164" t="str">
        <f ca="1">IF($D85&lt;&gt;"Serviço","",OFFSET(ORÇAMENTO!S$15,$L85,0))</f>
        <v/>
      </c>
      <c r="H85" s="122" cm="1">
        <f t="array" aca="1" ref="H85" ca="1">IF($D85&lt;&gt;"Serviço",0,IF(ACOMPANHAMENTO="BM",ROUND(OFFSET(ORÇAMENTO!AJ$15,$L85,0),15-13*ORÇAMENTO!$AF$7),IF(IFERROR(CÁLCULO.FrentesPreenchidas,0)=0,0,SUM(ROUND(OFFSET($P85,0,1,1,CÁLCULO.FrentesPreenchidas),15-13*ORÇAMENTO!$AF$7)))))</f>
        <v>0</v>
      </c>
      <c r="I85" s="468"/>
      <c r="J85" s="651" t="str" cm="1">
        <f t="array" aca="1" ref="J85" ca="1">IF(OR(B85&lt;&gt;"S",CÁLCULO.FrentesPreenchidas=0),"",IF(AND(ACOMPANHAMENTO="PLE",AUTOEVENTO="Manual",OR(H85&gt;0,ORÇAMENTO!AC85="QUANT."),OR(K85="",M85=0,N85="")),"►E",IF(AND(ACOMPANHAMENTO="PLE",ORÇAMENTO!AC85="QUANT."),"►Q",IF(AND(ACOMPANHAMENTO="PLE",H85&lt;&gt;SUMPRODUCT(($Q$1:$AA$1=1)*ROUND(Q85:AA85,15))),"►S",IF(AND(COUNTIF($P$11:$AA$11,"▼")=0,H85&gt;0,I85=""),"◄M","")))))</f>
        <v/>
      </c>
      <c r="K85" s="652" t="s">
        <v>1103</v>
      </c>
      <c r="L85" s="165">
        <f t="shared" ca="1" si="13"/>
        <v>70</v>
      </c>
      <c r="M85" s="166" t="str">
        <f ca="1">IF($D85&lt;&gt;"Serviço","",
          IF(AUTOEVENTO="manual",$A85,
                IF(ISERROR(MATCH($A85,$A$15:OFFSET($A85,-1,0),0)),MAX($M$15:OFFSET(M85,-1,0))+1,
                      INDEX($M$15:OFFSET(M85,-1,0),MATCH($A85,$A$15:OFFSET($A85,-1,0),0)))))</f>
        <v/>
      </c>
      <c r="N85" s="167" t="str">
        <f ca="1">IF($D85&lt;&gt;"Serviço","",
         IF(AUTOEVENTO="Manual",
                IF($A85=0,"&lt;-- defina o número do agrupador",
                       OFFSET(EVENTOS!$D$15,$A85-$A$15,0)),
                OFFSET($F$15,$A85,0)))</f>
        <v/>
      </c>
      <c r="O85" s="168"/>
      <c r="Q85" s="168"/>
      <c r="R85" s="169"/>
      <c r="S85" s="169"/>
      <c r="T85" s="169"/>
      <c r="U85" s="169"/>
      <c r="V85" s="169"/>
      <c r="W85" s="169"/>
      <c r="X85" s="169"/>
      <c r="Y85" s="169"/>
      <c r="Z85" s="170"/>
      <c r="AB85" s="453">
        <f ca="1">IF(AND($D85="Serviço",AB$12&lt;&gt;0,$H85&gt;0,OR(AUTOEVENTO&lt;&gt;"manual",$M85&lt;&gt;$A$15)),
        IF(Import.TipoArredondamento&lt;&gt;"TransfereGOV",
              ROUND(OFFSET($P85,0,AB$13),15-13*ORÇAMENTO!$AF$7)/$H85*OFFSET(ORÇAMENTO!$X$15,ROW(AB85)-ROW(AB$15),0),
              ROUND(ROUND(OFFSET($P85,0,AB$13),15-13*ORÇAMENTO!$AF$7)*OFFSET(ORÇAMENTO!$W$15,ROW(AB85)-ROW(AB$15),0),15-13*ORÇAMENTO!$AF$11)),
         0)</f>
        <v>0</v>
      </c>
      <c r="AC85" s="453">
        <f ca="1">IF(AND($D85="Serviço",AC$12&lt;&gt;0,$H85&gt;0,OR(AUTOEVENTO&lt;&gt;"manual",$M85&lt;&gt;$A$15)),
        IF(Import.TipoArredondamento&lt;&gt;"TransfereGOV",
              ROUND(OFFSET($P85,0,AC$13),15-13*ORÇAMENTO!$AF$7)/$H85*OFFSET(ORÇAMENTO!$X$15,ROW(AC85)-ROW(AC$15),0),
              ROUND(ROUND(OFFSET($P85,0,AC$13),15-13*ORÇAMENTO!$AF$7)*OFFSET(ORÇAMENTO!$W$15,ROW(AC85)-ROW(AC$15),0),15-13*ORÇAMENTO!$AF$11)),
         0)</f>
        <v>0</v>
      </c>
      <c r="AD85" s="453">
        <f ca="1">IF(AND($D85="Serviço",AD$12&lt;&gt;0,$H85&gt;0,OR(AUTOEVENTO&lt;&gt;"manual",$M85&lt;&gt;$A$15)),
        IF(Import.TipoArredondamento&lt;&gt;"TransfereGOV",
              ROUND(OFFSET($P85,0,AD$13),15-13*ORÇAMENTO!$AF$7)/$H85*OFFSET(ORÇAMENTO!$X$15,ROW(AD85)-ROW(AD$15),0),
              ROUND(ROUND(OFFSET($P85,0,AD$13),15-13*ORÇAMENTO!$AF$7)*OFFSET(ORÇAMENTO!$W$15,ROW(AD85)-ROW(AD$15),0),15-13*ORÇAMENTO!$AF$11)),
         0)</f>
        <v>0</v>
      </c>
      <c r="AE85" s="453">
        <f ca="1">IF(AND($D85="Serviço",AE$12&lt;&gt;0,$H85&gt;0,OR(AUTOEVENTO&lt;&gt;"manual",$M85&lt;&gt;$A$15)),
        IF(Import.TipoArredondamento&lt;&gt;"TransfereGOV",
              ROUND(OFFSET($P85,0,AE$13),15-13*ORÇAMENTO!$AF$7)/$H85*OFFSET(ORÇAMENTO!$X$15,ROW(AE85)-ROW(AE$15),0),
              ROUND(ROUND(OFFSET($P85,0,AE$13),15-13*ORÇAMENTO!$AF$7)*OFFSET(ORÇAMENTO!$W$15,ROW(AE85)-ROW(AE$15),0),15-13*ORÇAMENTO!$AF$11)),
         0)</f>
        <v>0</v>
      </c>
      <c r="AF85" s="453">
        <f ca="1">IF(AND($D85="Serviço",AF$12&lt;&gt;0,$H85&gt;0,OR(AUTOEVENTO&lt;&gt;"manual",$M85&lt;&gt;$A$15)),
        IF(Import.TipoArredondamento&lt;&gt;"TransfereGOV",
              ROUND(OFFSET($P85,0,AF$13),15-13*ORÇAMENTO!$AF$7)/$H85*OFFSET(ORÇAMENTO!$X$15,ROW(AF85)-ROW(AF$15),0),
              ROUND(ROUND(OFFSET($P85,0,AF$13),15-13*ORÇAMENTO!$AF$7)*OFFSET(ORÇAMENTO!$W$15,ROW(AF85)-ROW(AF$15),0),15-13*ORÇAMENTO!$AF$11)),
         0)</f>
        <v>0</v>
      </c>
      <c r="AG85" s="453">
        <f ca="1">IF(AND($D85="Serviço",AG$12&lt;&gt;0,$H85&gt;0,OR(AUTOEVENTO&lt;&gt;"manual",$M85&lt;&gt;$A$15)),
        IF(Import.TipoArredondamento&lt;&gt;"TransfereGOV",
              ROUND(OFFSET($P85,0,AG$13),15-13*ORÇAMENTO!$AF$7)/$H85*OFFSET(ORÇAMENTO!$X$15,ROW(AG85)-ROW(AG$15),0),
              ROUND(ROUND(OFFSET($P85,0,AG$13),15-13*ORÇAMENTO!$AF$7)*OFFSET(ORÇAMENTO!$W$15,ROW(AG85)-ROW(AG$15),0),15-13*ORÇAMENTO!$AF$11)),
         0)</f>
        <v>0</v>
      </c>
      <c r="AH85" s="453">
        <f ca="1">IF(AND($D85="Serviço",AH$12&lt;&gt;0,$H85&gt;0,OR(AUTOEVENTO&lt;&gt;"manual",$M85&lt;&gt;$A$15)),
        IF(Import.TipoArredondamento&lt;&gt;"TransfereGOV",
              ROUND(OFFSET($P85,0,AH$13),15-13*ORÇAMENTO!$AF$7)/$H85*OFFSET(ORÇAMENTO!$X$15,ROW(AH85)-ROW(AH$15),0),
              ROUND(ROUND(OFFSET($P85,0,AH$13),15-13*ORÇAMENTO!$AF$7)*OFFSET(ORÇAMENTO!$W$15,ROW(AH85)-ROW(AH$15),0),15-13*ORÇAMENTO!$AF$11)),
         0)</f>
        <v>0</v>
      </c>
      <c r="AI85" s="453">
        <f ca="1">IF(AND($D85="Serviço",AI$12&lt;&gt;0,$H85&gt;0,OR(AUTOEVENTO&lt;&gt;"manual",$M85&lt;&gt;$A$15)),
        IF(Import.TipoArredondamento&lt;&gt;"TransfereGOV",
              ROUND(OFFSET($P85,0,AI$13),15-13*ORÇAMENTO!$AF$7)/$H85*OFFSET(ORÇAMENTO!$X$15,ROW(AI85)-ROW(AI$15),0),
              ROUND(ROUND(OFFSET($P85,0,AI$13),15-13*ORÇAMENTO!$AF$7)*OFFSET(ORÇAMENTO!$W$15,ROW(AI85)-ROW(AI$15),0),15-13*ORÇAMENTO!$AF$11)),
         0)</f>
        <v>0</v>
      </c>
      <c r="AJ85" s="453">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3">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M85" s="171">
        <f ca="1">IF(OR($D85&lt;&gt;"Serviço",AND(AUTOEVENTO="Manual",$M85=$A$15)),0,
         IF(OFFSET(CRONOPLE!$F$15,$M85-$A$15,AM$13)=0,10^12,OFFSET(CRONOPLE!$F$15,$M85-$A$15,AM$13)))</f>
        <v>0</v>
      </c>
      <c r="AN85" s="171">
        <f ca="1">IF(OR($D85&lt;&gt;"Serviço",AND(AUTOEVENTO="Manual",$M85=$A$15)),0,
         IF(OFFSET(CRONOPLE!$F$15,$M85-$A$15,AN$13)=0,10^12,OFFSET(CRONOPLE!$F$15,$M85-$A$15,AN$13)))</f>
        <v>0</v>
      </c>
      <c r="AO85" s="171">
        <f ca="1">IF(OR($D85&lt;&gt;"Serviço",AND(AUTOEVENTO="Manual",$M85=$A$15)),0,
         IF(OFFSET(CRONOPLE!$F$15,$M85-$A$15,AO$13)=0,10^12,OFFSET(CRONOPLE!$F$15,$M85-$A$15,AO$13)))</f>
        <v>0</v>
      </c>
      <c r="AP85" s="171">
        <f ca="1">IF(OR($D85&lt;&gt;"Serviço",AND(AUTOEVENTO="Manual",$M85=$A$15)),0,
         IF(OFFSET(CRONOPLE!$F$15,$M85-$A$15,AP$13)=0,10^12,OFFSET(CRONOPLE!$F$15,$M85-$A$15,AP$13)))</f>
        <v>0</v>
      </c>
      <c r="AQ85" s="171">
        <f ca="1">IF(OR($D85&lt;&gt;"Serviço",AND(AUTOEVENTO="Manual",$M85=$A$15)),0,
         IF(OFFSET(CRONOPLE!$F$15,$M85-$A$15,AQ$13)=0,10^12,OFFSET(CRONOPLE!$F$15,$M85-$A$15,AQ$13)))</f>
        <v>0</v>
      </c>
      <c r="AR85" s="171">
        <f ca="1">IF(OR($D85&lt;&gt;"Serviço",AND(AUTOEVENTO="Manual",$M85=$A$15)),0,
         IF(OFFSET(CRONOPLE!$F$15,$M85-$A$15,AR$13)=0,10^12,OFFSET(CRONOPLE!$F$15,$M85-$A$15,AR$13)))</f>
        <v>0</v>
      </c>
      <c r="AS85" s="171">
        <f ca="1">IF(OR($D85&lt;&gt;"Serviço",AND(AUTOEVENTO="Manual",$M85=$A$15)),0,
         IF(OFFSET(CRONOPLE!$F$15,$M85-$A$15,AS$13)=0,10^12,OFFSET(CRONOPLE!$F$15,$M85-$A$15,AS$13)))</f>
        <v>0</v>
      </c>
      <c r="AT85" s="171">
        <f ca="1">IF(OR($D85&lt;&gt;"Serviço",AND(AUTOEVENTO="Manual",$M85=$A$15)),0,
         IF(OFFSET(CRONOPLE!$F$15,$M85-$A$15,AT$13)=0,10^12,OFFSET(CRONOPLE!$F$15,$M85-$A$15,AT$13)))</f>
        <v>0</v>
      </c>
      <c r="AU85" s="171">
        <f ca="1">IF(OR($D85&lt;&gt;"Serviço",AND(AUTOEVENTO="Manual",$M85=$A$15)),0,
         IF(OFFSET(CRONOPLE!$F$15,$M85-$A$15,AU$13)=0,10^12,OFFSET(CRONOPLE!$F$15,$M85-$A$15,AU$13)))</f>
        <v>0</v>
      </c>
      <c r="AV85" s="171">
        <f ca="1">IF(OR($D85&lt;&gt;"Serviço",AND(AUTOEVENTO="Manual",$M85=$A$15)),0,
         IF(OFFSET(CRONOPLE!$F$15,$M85-$A$15,AV$13)=0,10^12,OFFSET(CRONOPLE!$F$15,$M85-$A$15,AV$13)))</f>
        <v>0</v>
      </c>
      <c r="AX85" s="172" cm="1">
        <f t="array" aca="1" ref="AX85" ca="1">IF(OR($D85&lt;&gt;"Serviço",AND(AUTOEVENTO="Manual",$M85=$A$15),$M85&gt;(ROW(PLE.lastrow)-ROW(PLE.firstrow))),0,
           IF(OFFSET(PLE!$G$15,$M85-$A$15,AX$13)="",10^12,OFFSET(PLE!$G$15,$M85-$A$15,AX$13)))</f>
        <v>0</v>
      </c>
      <c r="AY85" s="172" cm="1">
        <f t="array" aca="1" ref="AY85" ca="1">IF(OR($D85&lt;&gt;"Serviço",AND(AUTOEVENTO="Manual",$M85=$A$15),$M85&gt;(ROW(PLE.lastrow)-ROW(PLE.firstrow))),0,
           IF(OFFSET(PLE!$G$15,$M85-$A$15,AY$13)="",10^12,OFFSET(PLE!$G$15,$M85-$A$15,AY$13)))</f>
        <v>0</v>
      </c>
      <c r="AZ85" s="172" cm="1">
        <f t="array" aca="1" ref="AZ85" ca="1">IF(OR($D85&lt;&gt;"Serviço",AND(AUTOEVENTO="Manual",$M85=$A$15),$M85&gt;(ROW(PLE.lastrow)-ROW(PLE.firstrow))),0,
           IF(OFFSET(PLE!$G$15,$M85-$A$15,AZ$13)="",10^12,OFFSET(PLE!$G$15,$M85-$A$15,AZ$13)))</f>
        <v>0</v>
      </c>
      <c r="BA85" s="172" cm="1">
        <f t="array" aca="1" ref="BA85" ca="1">IF(OR($D85&lt;&gt;"Serviço",AND(AUTOEVENTO="Manual",$M85=$A$15),$M85&gt;(ROW(PLE.lastrow)-ROW(PLE.firstrow))),0,
           IF(OFFSET(PLE!$G$15,$M85-$A$15,BA$13)="",10^12,OFFSET(PLE!$G$15,$M85-$A$15,BA$13)))</f>
        <v>0</v>
      </c>
      <c r="BB85" s="172" cm="1">
        <f t="array" aca="1" ref="BB85" ca="1">IF(OR($D85&lt;&gt;"Serviço",AND(AUTOEVENTO="Manual",$M85=$A$15),$M85&gt;(ROW(PLE.lastrow)-ROW(PLE.firstrow))),0,
           IF(OFFSET(PLE!$G$15,$M85-$A$15,BB$13)="",10^12,OFFSET(PLE!$G$15,$M85-$A$15,BB$13)))</f>
        <v>0</v>
      </c>
      <c r="BC85" s="172" cm="1">
        <f t="array" aca="1" ref="BC85" ca="1">IF(OR($D85&lt;&gt;"Serviço",AND(AUTOEVENTO="Manual",$M85=$A$15),$M85&gt;(ROW(PLE.lastrow)-ROW(PLE.firstrow))),0,
           IF(OFFSET(PLE!$G$15,$M85-$A$15,BC$13)="",10^12,OFFSET(PLE!$G$15,$M85-$A$15,BC$13)))</f>
        <v>0</v>
      </c>
      <c r="BD85" s="172" cm="1">
        <f t="array" aca="1" ref="BD85" ca="1">IF(OR($D85&lt;&gt;"Serviço",AND(AUTOEVENTO="Manual",$M85=$A$15),$M85&gt;(ROW(PLE.lastrow)-ROW(PLE.firstrow))),0,
           IF(OFFSET(PLE!$G$15,$M85-$A$15,BD$13)="",10^12,OFFSET(PLE!$G$15,$M85-$A$15,BD$13)))</f>
        <v>0</v>
      </c>
      <c r="BE85" s="172" cm="1">
        <f t="array" aca="1" ref="BE85" ca="1">IF(OR($D85&lt;&gt;"Serviço",AND(AUTOEVENTO="Manual",$M85=$A$15),$M85&gt;(ROW(PLE.lastrow)-ROW(PLE.firstrow))),0,
           IF(OFFSET(PLE!$G$15,$M85-$A$15,BE$13)="",10^12,OFFSET(PLE!$G$15,$M85-$A$15,BE$13)))</f>
        <v>0</v>
      </c>
      <c r="BF85" s="172" cm="1">
        <f t="array" aca="1" ref="BF85" ca="1">IF(OR($D85&lt;&gt;"Serviço",AND(AUTOEVENTO="Manual",$M85=$A$15),$M85&gt;(ROW(PLE.lastrow)-ROW(PLE.firstrow))),0,
           IF(OFFSET(PLE!$G$15,$M85-$A$15,BF$13)="",10^12,OFFSET(PLE!$G$15,$M85-$A$15,BF$13)))</f>
        <v>0</v>
      </c>
      <c r="BG85" s="172" cm="1">
        <f t="array" aca="1" ref="BG85" ca="1">IF(OR($D85&lt;&gt;"Serviço",AND(AUTOEVENTO="Manual",$M85=$A$15),$M85&gt;(ROW(PLE.lastrow)-ROW(PLE.firstrow))),0,
           IF(OFFSET(PLE!$G$15,$M85-$A$15,BG$13)="",10^12,OFFSET(PLE!$G$15,$M85-$A$15,BG$13)))</f>
        <v>0</v>
      </c>
    </row>
    <row r="86" spans="1:59" ht="89.25" x14ac:dyDescent="0.2">
      <c r="A86" s="7">
        <f t="shared" ca="1" si="12"/>
        <v>8</v>
      </c>
      <c r="B86" s="7" t="str">
        <f ca="1">OFFSET(ORÇAMENTO!C$15,$L86,0)</f>
        <v>S</v>
      </c>
      <c r="C86" s="7" t="str">
        <f ca="1">OFFSET(ORÇAMENTO!L$15,$L86,0)</f>
        <v>F</v>
      </c>
      <c r="D86" s="116" t="str">
        <f ca="1">OFFSET(ORÇAMENTO!N$15,$L86,0)</f>
        <v>Serviço</v>
      </c>
      <c r="E86" s="117" t="str">
        <f ca="1">OFFSET(ORÇAMENTO!O$15,$L86,0)</f>
        <v>1.8.0.1.</v>
      </c>
      <c r="F86" s="163" t="str">
        <f ca="1">OFFSET(ORÇAMENTO!R$15,$L86,0)</f>
        <v>(Código não identificado nas referências)</v>
      </c>
      <c r="G86" s="164" t="str">
        <f ca="1">IF($D86&lt;&gt;"Serviço","",OFFSET(ORÇAMENTO!S$15,$L86,0))</f>
        <v>UN</v>
      </c>
      <c r="H86" s="122" cm="1">
        <f t="array" aca="1" ref="H86" ca="1">IF($D86&lt;&gt;"Serviço",0,IF(ACOMPANHAMENTO="BM",ROUND(OFFSET(ORÇAMENTO!AJ$15,$L86,0),15-13*ORÇAMENTO!$AF$7),IF(IFERROR(CÁLCULO.FrentesPreenchidas,0)=0,0,SUM(ROUND(OFFSET($P86,0,1,1,CÁLCULO.FrentesPreenchidas),15-13*ORÇAMENTO!$AF$7)))))</f>
        <v>1</v>
      </c>
      <c r="I86" s="468" t="s">
        <v>1042</v>
      </c>
      <c r="J86" s="651" t="str" cm="1">
        <f t="array" aca="1" ref="J86" ca="1">IF(OR(B86&lt;&gt;"S",CÁLCULO.FrentesPreenchidas=0),"",IF(AND(ACOMPANHAMENTO="PLE",AUTOEVENTO="Manual",OR(H86&gt;0,ORÇAMENTO!AC86="QUANT."),OR(K86="",M86=0,N86="")),"►E",IF(AND(ACOMPANHAMENTO="PLE",ORÇAMENTO!AC86="QUANT."),"►Q",IF(AND(ACOMPANHAMENTO="PLE",H86&lt;&gt;SUMPRODUCT(($Q$1:$AA$1=1)*ROUND(Q86:AA86,15))),"►S",IF(AND(COUNTIF($P$11:$AA$11,"▼")=0,H86&gt;0,I86=""),"◄M","")))))</f>
        <v/>
      </c>
      <c r="K86" s="652" t="s">
        <v>1103</v>
      </c>
      <c r="L86" s="165">
        <f t="shared" ca="1" si="13"/>
        <v>71</v>
      </c>
      <c r="M86" s="166">
        <f ca="1">IF($D86&lt;&gt;"Serviço","",
          IF(AUTOEVENTO="manual",$A86,
                IF(ISERROR(MATCH($A86,$A$15:OFFSET($A86,-1,0),0)),MAX($M$15:OFFSET(M86,-1,0))+1,
                      INDEX($M$15:OFFSET(M86,-1,0),MATCH($A86,$A$15:OFFSET($A86,-1,0),0)))))</f>
        <v>8</v>
      </c>
      <c r="N86" s="167" t="str">
        <f ca="1">IF($D86&lt;&gt;"Serviço","",
         IF(AUTOEVENTO="Manual",
                IF($A86=0,"&lt;-- defina o número do agrupador",
                       OFFSET(EVENTOS!$D$15,$A86-$A$15,0)),
                OFFSET($F$15,$A86,0)))</f>
        <v>SUBESTAÇÃO</v>
      </c>
      <c r="O86" s="168"/>
      <c r="Q86" s="168"/>
      <c r="R86" s="169"/>
      <c r="S86" s="169"/>
      <c r="T86" s="169"/>
      <c r="U86" s="169">
        <v>0.2</v>
      </c>
      <c r="V86" s="169">
        <v>0.2</v>
      </c>
      <c r="W86" s="169">
        <v>0.2</v>
      </c>
      <c r="X86" s="169">
        <v>0.2</v>
      </c>
      <c r="Y86" s="169">
        <v>0.2</v>
      </c>
      <c r="Z86" s="170"/>
      <c r="AB86" s="453">
        <f ca="1">IF(AND($D86="Serviço",AB$12&lt;&gt;0,$H86&gt;0,OR(AUTOEVENTO&lt;&gt;"manual",$M86&lt;&gt;$A$15)),
        IF(Import.TipoArredondamento&lt;&gt;"TransfereGOV",
              ROUND(OFFSET($P86,0,AB$13),15-13*ORÇAMENTO!$AF$7)/$H86*OFFSET(ORÇAMENTO!$X$15,ROW(AB86)-ROW(AB$15),0),
              ROUND(ROUND(OFFSET($P86,0,AB$13),15-13*ORÇAMENTO!$AF$7)*OFFSET(ORÇAMENTO!$W$15,ROW(AB86)-ROW(AB$15),0),15-13*ORÇAMENTO!$AF$11)),
         0)</f>
        <v>0</v>
      </c>
      <c r="AC86" s="453">
        <f ca="1">IF(AND($D86="Serviço",AC$12&lt;&gt;0,$H86&gt;0,OR(AUTOEVENTO&lt;&gt;"manual",$M86&lt;&gt;$A$15)),
        IF(Import.TipoArredondamento&lt;&gt;"TransfereGOV",
              ROUND(OFFSET($P86,0,AC$13),15-13*ORÇAMENTO!$AF$7)/$H86*OFFSET(ORÇAMENTO!$X$15,ROW(AC86)-ROW(AC$15),0),
              ROUND(ROUND(OFFSET($P86,0,AC$13),15-13*ORÇAMENTO!$AF$7)*OFFSET(ORÇAMENTO!$W$15,ROW(AC86)-ROW(AC$15),0),15-13*ORÇAMENTO!$AF$11)),
         0)</f>
        <v>0</v>
      </c>
      <c r="AD86" s="453">
        <f ca="1">IF(AND($D86="Serviço",AD$12&lt;&gt;0,$H86&gt;0,OR(AUTOEVENTO&lt;&gt;"manual",$M86&lt;&gt;$A$15)),
        IF(Import.TipoArredondamento&lt;&gt;"TransfereGOV",
              ROUND(OFFSET($P86,0,AD$13),15-13*ORÇAMENTO!$AF$7)/$H86*OFFSET(ORÇAMENTO!$X$15,ROW(AD86)-ROW(AD$15),0),
              ROUND(ROUND(OFFSET($P86,0,AD$13),15-13*ORÇAMENTO!$AF$7)*OFFSET(ORÇAMENTO!$W$15,ROW(AD86)-ROW(AD$15),0),15-13*ORÇAMENTO!$AF$11)),
         0)</f>
        <v>0</v>
      </c>
      <c r="AE86" s="453">
        <f ca="1">IF(AND($D86="Serviço",AE$12&lt;&gt;0,$H86&gt;0,OR(AUTOEVENTO&lt;&gt;"manual",$M86&lt;&gt;$A$15)),
        IF(Import.TipoArredondamento&lt;&gt;"TransfereGOV",
              ROUND(OFFSET($P86,0,AE$13),15-13*ORÇAMENTO!$AF$7)/$H86*OFFSET(ORÇAMENTO!$X$15,ROW(AE86)-ROW(AE$15),0),
              ROUND(ROUND(OFFSET($P86,0,AE$13),15-13*ORÇAMENTO!$AF$7)*OFFSET(ORÇAMENTO!$W$15,ROW(AE86)-ROW(AE$15),0),15-13*ORÇAMENTO!$AF$11)),
         0)</f>
        <v>0</v>
      </c>
      <c r="AF86" s="453">
        <f ca="1">IF(AND($D86="Serviço",AF$12&lt;&gt;0,$H86&gt;0,OR(AUTOEVENTO&lt;&gt;"manual",$M86&lt;&gt;$A$15)),
        IF(Import.TipoArredondamento&lt;&gt;"TransfereGOV",
              ROUND(OFFSET($P86,0,AF$13),15-13*ORÇAMENTO!$AF$7)/$H86*OFFSET(ORÇAMENTO!$X$15,ROW(AF86)-ROW(AF$15),0),
              ROUND(ROUND(OFFSET($P86,0,AF$13),15-13*ORÇAMENTO!$AF$7)*OFFSET(ORÇAMENTO!$W$15,ROW(AF86)-ROW(AF$15),0),15-13*ORÇAMENTO!$AF$11)),
         0)</f>
        <v>99630.49</v>
      </c>
      <c r="AG86" s="453">
        <f ca="1">IF(AND($D86="Serviço",AG$12&lt;&gt;0,$H86&gt;0,OR(AUTOEVENTO&lt;&gt;"manual",$M86&lt;&gt;$A$15)),
        IF(Import.TipoArredondamento&lt;&gt;"TransfereGOV",
              ROUND(OFFSET($P86,0,AG$13),15-13*ORÇAMENTO!$AF$7)/$H86*OFFSET(ORÇAMENTO!$X$15,ROW(AG86)-ROW(AG$15),0),
              ROUND(ROUND(OFFSET($P86,0,AG$13),15-13*ORÇAMENTO!$AF$7)*OFFSET(ORÇAMENTO!$W$15,ROW(AG86)-ROW(AG$15),0),15-13*ORÇAMENTO!$AF$11)),
         0)</f>
        <v>99630.49</v>
      </c>
      <c r="AH86" s="453">
        <f ca="1">IF(AND($D86="Serviço",AH$12&lt;&gt;0,$H86&gt;0,OR(AUTOEVENTO&lt;&gt;"manual",$M86&lt;&gt;$A$15)),
        IF(Import.TipoArredondamento&lt;&gt;"TransfereGOV",
              ROUND(OFFSET($P86,0,AH$13),15-13*ORÇAMENTO!$AF$7)/$H86*OFFSET(ORÇAMENTO!$X$15,ROW(AH86)-ROW(AH$15),0),
              ROUND(ROUND(OFFSET($P86,0,AH$13),15-13*ORÇAMENTO!$AF$7)*OFFSET(ORÇAMENTO!$W$15,ROW(AH86)-ROW(AH$15),0),15-13*ORÇAMENTO!$AF$11)),
         0)</f>
        <v>99630.49</v>
      </c>
      <c r="AI86" s="453">
        <f ca="1">IF(AND($D86="Serviço",AI$12&lt;&gt;0,$H86&gt;0,OR(AUTOEVENTO&lt;&gt;"manual",$M86&lt;&gt;$A$15)),
        IF(Import.TipoArredondamento&lt;&gt;"TransfereGOV",
              ROUND(OFFSET($P86,0,AI$13),15-13*ORÇAMENTO!$AF$7)/$H86*OFFSET(ORÇAMENTO!$X$15,ROW(AI86)-ROW(AI$15),0),
              ROUND(ROUND(OFFSET($P86,0,AI$13),15-13*ORÇAMENTO!$AF$7)*OFFSET(ORÇAMENTO!$W$15,ROW(AI86)-ROW(AI$15),0),15-13*ORÇAMENTO!$AF$11)),
         0)</f>
        <v>99630.49</v>
      </c>
      <c r="AJ86" s="453">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99630.49</v>
      </c>
      <c r="AK86" s="453">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M86" s="171">
        <f ca="1">IF(OR($D86&lt;&gt;"Serviço",AND(AUTOEVENTO="Manual",$M86=$A$15)),0,
         IF(OFFSET(CRONOPLE!$F$15,$M86-$A$15,AM$13)=0,10^12,OFFSET(CRONOPLE!$F$15,$M86-$A$15,AM$13)))</f>
        <v>1000000000000</v>
      </c>
      <c r="AN86" s="171">
        <f ca="1">IF(OR($D86&lt;&gt;"Serviço",AND(AUTOEVENTO="Manual",$M86=$A$15)),0,
         IF(OFFSET(CRONOPLE!$F$15,$M86-$A$15,AN$13)=0,10^12,OFFSET(CRONOPLE!$F$15,$M86-$A$15,AN$13)))</f>
        <v>1000000000000</v>
      </c>
      <c r="AO86" s="171">
        <f ca="1">IF(OR($D86&lt;&gt;"Serviço",AND(AUTOEVENTO="Manual",$M86=$A$15)),0,
         IF(OFFSET(CRONOPLE!$F$15,$M86-$A$15,AO$13)=0,10^12,OFFSET(CRONOPLE!$F$15,$M86-$A$15,AO$13)))</f>
        <v>1000000000000</v>
      </c>
      <c r="AP86" s="171">
        <f ca="1">IF(OR($D86&lt;&gt;"Serviço",AND(AUTOEVENTO="Manual",$M86=$A$15)),0,
         IF(OFFSET(CRONOPLE!$F$15,$M86-$A$15,AP$13)=0,10^12,OFFSET(CRONOPLE!$F$15,$M86-$A$15,AP$13)))</f>
        <v>1000000000000</v>
      </c>
      <c r="AQ86" s="171">
        <f ca="1">IF(OR($D86&lt;&gt;"Serviço",AND(AUTOEVENTO="Manual",$M86=$A$15)),0,
         IF(OFFSET(CRONOPLE!$F$15,$M86-$A$15,AQ$13)=0,10^12,OFFSET(CRONOPLE!$F$15,$M86-$A$15,AQ$13)))</f>
        <v>5</v>
      </c>
      <c r="AR86" s="171">
        <f ca="1">IF(OR($D86&lt;&gt;"Serviço",AND(AUTOEVENTO="Manual",$M86=$A$15)),0,
         IF(OFFSET(CRONOPLE!$F$15,$M86-$A$15,AR$13)=0,10^12,OFFSET(CRONOPLE!$F$15,$M86-$A$15,AR$13)))</f>
        <v>6</v>
      </c>
      <c r="AS86" s="171">
        <f ca="1">IF(OR($D86&lt;&gt;"Serviço",AND(AUTOEVENTO="Manual",$M86=$A$15)),0,
         IF(OFFSET(CRONOPLE!$F$15,$M86-$A$15,AS$13)=0,10^12,OFFSET(CRONOPLE!$F$15,$M86-$A$15,AS$13)))</f>
        <v>7</v>
      </c>
      <c r="AT86" s="171">
        <f ca="1">IF(OR($D86&lt;&gt;"Serviço",AND(AUTOEVENTO="Manual",$M86=$A$15)),0,
         IF(OFFSET(CRONOPLE!$F$15,$M86-$A$15,AT$13)=0,10^12,OFFSET(CRONOPLE!$F$15,$M86-$A$15,AT$13)))</f>
        <v>8</v>
      </c>
      <c r="AU86" s="171">
        <f ca="1">IF(OR($D86&lt;&gt;"Serviço",AND(AUTOEVENTO="Manual",$M86=$A$15)),0,
         IF(OFFSET(CRONOPLE!$F$15,$M86-$A$15,AU$13)=0,10^12,OFFSET(CRONOPLE!$F$15,$M86-$A$15,AU$13)))</f>
        <v>9</v>
      </c>
      <c r="AV86" s="171">
        <f ca="1">IF(OR($D86&lt;&gt;"Serviço",AND(AUTOEVENTO="Manual",$M86=$A$15)),0,
         IF(OFFSET(CRONOPLE!$F$15,$M86-$A$15,AV$13)=0,10^12,OFFSET(CRONOPLE!$F$15,$M86-$A$15,AV$13)))</f>
        <v>1000000000000</v>
      </c>
      <c r="AX86" s="172" cm="1">
        <f t="array" aca="1" ref="AX86" ca="1">IF(OR($D86&lt;&gt;"Serviço",AND(AUTOEVENTO="Manual",$M86=$A$15),$M86&gt;(ROW(PLE.lastrow)-ROW(PLE.firstrow))),0,
           IF(OFFSET(PLE!$G$15,$M86-$A$15,AX$13)="",10^12,OFFSET(PLE!$G$15,$M86-$A$15,AX$13)))</f>
        <v>1000000000000</v>
      </c>
      <c r="AY86" s="172" cm="1">
        <f t="array" aca="1" ref="AY86" ca="1">IF(OR($D86&lt;&gt;"Serviço",AND(AUTOEVENTO="Manual",$M86=$A$15),$M86&gt;(ROW(PLE.lastrow)-ROW(PLE.firstrow))),0,
           IF(OFFSET(PLE!$G$15,$M86-$A$15,AY$13)="",10^12,OFFSET(PLE!$G$15,$M86-$A$15,AY$13)))</f>
        <v>1000000000000</v>
      </c>
      <c r="AZ86" s="172" cm="1">
        <f t="array" aca="1" ref="AZ86" ca="1">IF(OR($D86&lt;&gt;"Serviço",AND(AUTOEVENTO="Manual",$M86=$A$15),$M86&gt;(ROW(PLE.lastrow)-ROW(PLE.firstrow))),0,
           IF(OFFSET(PLE!$G$15,$M86-$A$15,AZ$13)="",10^12,OFFSET(PLE!$G$15,$M86-$A$15,AZ$13)))</f>
        <v>1000000000000</v>
      </c>
      <c r="BA86" s="172" cm="1">
        <f t="array" aca="1" ref="BA86" ca="1">IF(OR($D86&lt;&gt;"Serviço",AND(AUTOEVENTO="Manual",$M86=$A$15),$M86&gt;(ROW(PLE.lastrow)-ROW(PLE.firstrow))),0,
           IF(OFFSET(PLE!$G$15,$M86-$A$15,BA$13)="",10^12,OFFSET(PLE!$G$15,$M86-$A$15,BA$13)))</f>
        <v>1000000000000</v>
      </c>
      <c r="BB86" s="172" cm="1">
        <f t="array" aca="1" ref="BB86" ca="1">IF(OR($D86&lt;&gt;"Serviço",AND(AUTOEVENTO="Manual",$M86=$A$15),$M86&gt;(ROW(PLE.lastrow)-ROW(PLE.firstrow))),0,
           IF(OFFSET(PLE!$G$15,$M86-$A$15,BB$13)="",10^12,OFFSET(PLE!$G$15,$M86-$A$15,BB$13)))</f>
        <v>1000000000000</v>
      </c>
      <c r="BC86" s="172" cm="1">
        <f t="array" aca="1" ref="BC86" ca="1">IF(OR($D86&lt;&gt;"Serviço",AND(AUTOEVENTO="Manual",$M86=$A$15),$M86&gt;(ROW(PLE.lastrow)-ROW(PLE.firstrow))),0,
           IF(OFFSET(PLE!$G$15,$M86-$A$15,BC$13)="",10^12,OFFSET(PLE!$G$15,$M86-$A$15,BC$13)))</f>
        <v>1000000000000</v>
      </c>
      <c r="BD86" s="172" cm="1">
        <f t="array" aca="1" ref="BD86" ca="1">IF(OR($D86&lt;&gt;"Serviço",AND(AUTOEVENTO="Manual",$M86=$A$15),$M86&gt;(ROW(PLE.lastrow)-ROW(PLE.firstrow))),0,
           IF(OFFSET(PLE!$G$15,$M86-$A$15,BD$13)="",10^12,OFFSET(PLE!$G$15,$M86-$A$15,BD$13)))</f>
        <v>1000000000000</v>
      </c>
      <c r="BE86" s="172" cm="1">
        <f t="array" aca="1" ref="BE86" ca="1">IF(OR($D86&lt;&gt;"Serviço",AND(AUTOEVENTO="Manual",$M86=$A$15),$M86&gt;(ROW(PLE.lastrow)-ROW(PLE.firstrow))),0,
           IF(OFFSET(PLE!$G$15,$M86-$A$15,BE$13)="",10^12,OFFSET(PLE!$G$15,$M86-$A$15,BE$13)))</f>
        <v>1000000000000</v>
      </c>
      <c r="BF86" s="172" cm="1">
        <f t="array" aca="1" ref="BF86" ca="1">IF(OR($D86&lt;&gt;"Serviço",AND(AUTOEVENTO="Manual",$M86=$A$15),$M86&gt;(ROW(PLE.lastrow)-ROW(PLE.firstrow))),0,
           IF(OFFSET(PLE!$G$15,$M86-$A$15,BF$13)="",10^12,OFFSET(PLE!$G$15,$M86-$A$15,BF$13)))</f>
        <v>1000000000000</v>
      </c>
      <c r="BG86" s="172" cm="1">
        <f t="array" aca="1" ref="BG86" ca="1">IF(OR($D86&lt;&gt;"Serviço",AND(AUTOEVENTO="Manual",$M86=$A$15),$M86&gt;(ROW(PLE.lastrow)-ROW(PLE.firstrow))),0,
           IF(OFFSET(PLE!$G$15,$M86-$A$15,BG$13)="",10^12,OFFSET(PLE!$G$15,$M86-$A$15,BG$13)))</f>
        <v>1000000000000</v>
      </c>
    </row>
    <row r="87" spans="1:59" ht="12.75" x14ac:dyDescent="0.2">
      <c r="A87" s="7">
        <f t="shared" ca="1" si="12"/>
        <v>9</v>
      </c>
      <c r="B87" s="7">
        <f ca="1">OFFSET(ORÇAMENTO!C$15,$L87,0)</f>
        <v>2</v>
      </c>
      <c r="C87" s="7" t="str">
        <f ca="1">OFFSET(ORÇAMENTO!L$15,$L87,0)</f>
        <v>F</v>
      </c>
      <c r="D87" s="116" t="str">
        <f ca="1">OFFSET(ORÇAMENTO!N$15,$L87,0)</f>
        <v>Nível 2</v>
      </c>
      <c r="E87" s="117" t="str">
        <f ca="1">OFFSET(ORÇAMENTO!O$15,$L87,0)</f>
        <v>1.9.</v>
      </c>
      <c r="F87" s="163" t="str">
        <f ca="1">OFFSET(ORÇAMENTO!R$15,$L87,0)</f>
        <v>POÇO</v>
      </c>
      <c r="G87" s="164" t="str">
        <f ca="1">IF($D87&lt;&gt;"Serviço","",OFFSET(ORÇAMENTO!S$15,$L87,0))</f>
        <v/>
      </c>
      <c r="H87" s="122" cm="1">
        <f t="array" aca="1" ref="H87" ca="1">IF($D87&lt;&gt;"Serviço",0,IF(ACOMPANHAMENTO="BM",ROUND(OFFSET(ORÇAMENTO!AJ$15,$L87,0),15-13*ORÇAMENTO!$AF$7),IF(IFERROR(CÁLCULO.FrentesPreenchidas,0)=0,0,SUM(ROUND(OFFSET($P87,0,1,1,CÁLCULO.FrentesPreenchidas),15-13*ORÇAMENTO!$AF$7)))))</f>
        <v>0</v>
      </c>
      <c r="I87" s="468"/>
      <c r="J87" s="651" t="str" cm="1">
        <f t="array" aca="1" ref="J87" ca="1">IF(OR(B87&lt;&gt;"S",CÁLCULO.FrentesPreenchidas=0),"",IF(AND(ACOMPANHAMENTO="PLE",AUTOEVENTO="Manual",OR(H87&gt;0,ORÇAMENTO!AC87="QUANT."),OR(K87="",M87=0,N87="")),"►E",IF(AND(ACOMPANHAMENTO="PLE",ORÇAMENTO!AC87="QUANT."),"►Q",IF(AND(ACOMPANHAMENTO="PLE",H87&lt;&gt;SUMPRODUCT(($Q$1:$AA$1=1)*ROUND(Q87:AA87,15))),"►S",IF(AND(COUNTIF($P$11:$AA$11,"▼")=0,H87&gt;0,I87=""),"◄M","")))))</f>
        <v/>
      </c>
      <c r="K87" s="652" t="s">
        <v>1101</v>
      </c>
      <c r="L87" s="165">
        <f t="shared" ca="1" si="13"/>
        <v>72</v>
      </c>
      <c r="M87" s="166" t="str">
        <f ca="1">IF($D87&lt;&gt;"Serviço","",
          IF(AUTOEVENTO="manual",$A87,
                IF(ISERROR(MATCH($A87,$A$15:OFFSET($A87,-1,0),0)),MAX($M$15:OFFSET(M87,-1,0))+1,
                      INDEX($M$15:OFFSET(M87,-1,0),MATCH($A87,$A$15:OFFSET($A87,-1,0),0)))))</f>
        <v/>
      </c>
      <c r="N87" s="167" t="str">
        <f ca="1">IF($D87&lt;&gt;"Serviço","",
         IF(AUTOEVENTO="Manual",
                IF($A87=0,"&lt;-- defina o número do agrupador",
                       OFFSET(EVENTOS!$D$15,$A87-$A$15,0)),
                OFFSET($F$15,$A87,0)))</f>
        <v/>
      </c>
      <c r="O87" s="168"/>
      <c r="Q87" s="168"/>
      <c r="R87" s="169"/>
      <c r="S87" s="169"/>
      <c r="T87" s="169"/>
      <c r="U87" s="169"/>
      <c r="V87" s="169"/>
      <c r="W87" s="169"/>
      <c r="X87" s="169"/>
      <c r="Y87" s="169"/>
      <c r="Z87" s="170"/>
      <c r="AB87" s="453">
        <f ca="1">IF(AND($D87="Serviço",AB$12&lt;&gt;0,$H87&gt;0,OR(AUTOEVENTO&lt;&gt;"manual",$M87&lt;&gt;$A$15)),
        IF(Import.TipoArredondamento&lt;&gt;"TransfereGOV",
              ROUND(OFFSET($P87,0,AB$13),15-13*ORÇAMENTO!$AF$7)/$H87*OFFSET(ORÇAMENTO!$X$15,ROW(AB87)-ROW(AB$15),0),
              ROUND(ROUND(OFFSET($P87,0,AB$13),15-13*ORÇAMENTO!$AF$7)*OFFSET(ORÇAMENTO!$W$15,ROW(AB87)-ROW(AB$15),0),15-13*ORÇAMENTO!$AF$11)),
         0)</f>
        <v>0</v>
      </c>
      <c r="AC87" s="453">
        <f ca="1">IF(AND($D87="Serviço",AC$12&lt;&gt;0,$H87&gt;0,OR(AUTOEVENTO&lt;&gt;"manual",$M87&lt;&gt;$A$15)),
        IF(Import.TipoArredondamento&lt;&gt;"TransfereGOV",
              ROUND(OFFSET($P87,0,AC$13),15-13*ORÇAMENTO!$AF$7)/$H87*OFFSET(ORÇAMENTO!$X$15,ROW(AC87)-ROW(AC$15),0),
              ROUND(ROUND(OFFSET($P87,0,AC$13),15-13*ORÇAMENTO!$AF$7)*OFFSET(ORÇAMENTO!$W$15,ROW(AC87)-ROW(AC$15),0),15-13*ORÇAMENTO!$AF$11)),
         0)</f>
        <v>0</v>
      </c>
      <c r="AD87" s="453">
        <f ca="1">IF(AND($D87="Serviço",AD$12&lt;&gt;0,$H87&gt;0,OR(AUTOEVENTO&lt;&gt;"manual",$M87&lt;&gt;$A$15)),
        IF(Import.TipoArredondamento&lt;&gt;"TransfereGOV",
              ROUND(OFFSET($P87,0,AD$13),15-13*ORÇAMENTO!$AF$7)/$H87*OFFSET(ORÇAMENTO!$X$15,ROW(AD87)-ROW(AD$15),0),
              ROUND(ROUND(OFFSET($P87,0,AD$13),15-13*ORÇAMENTO!$AF$7)*OFFSET(ORÇAMENTO!$W$15,ROW(AD87)-ROW(AD$15),0),15-13*ORÇAMENTO!$AF$11)),
         0)</f>
        <v>0</v>
      </c>
      <c r="AE87" s="453">
        <f ca="1">IF(AND($D87="Serviço",AE$12&lt;&gt;0,$H87&gt;0,OR(AUTOEVENTO&lt;&gt;"manual",$M87&lt;&gt;$A$15)),
        IF(Import.TipoArredondamento&lt;&gt;"TransfereGOV",
              ROUND(OFFSET($P87,0,AE$13),15-13*ORÇAMENTO!$AF$7)/$H87*OFFSET(ORÇAMENTO!$X$15,ROW(AE87)-ROW(AE$15),0),
              ROUND(ROUND(OFFSET($P87,0,AE$13),15-13*ORÇAMENTO!$AF$7)*OFFSET(ORÇAMENTO!$W$15,ROW(AE87)-ROW(AE$15),0),15-13*ORÇAMENTO!$AF$11)),
         0)</f>
        <v>0</v>
      </c>
      <c r="AF87" s="453">
        <f ca="1">IF(AND($D87="Serviço",AF$12&lt;&gt;0,$H87&gt;0,OR(AUTOEVENTO&lt;&gt;"manual",$M87&lt;&gt;$A$15)),
        IF(Import.TipoArredondamento&lt;&gt;"TransfereGOV",
              ROUND(OFFSET($P87,0,AF$13),15-13*ORÇAMENTO!$AF$7)/$H87*OFFSET(ORÇAMENTO!$X$15,ROW(AF87)-ROW(AF$15),0),
              ROUND(ROUND(OFFSET($P87,0,AF$13),15-13*ORÇAMENTO!$AF$7)*OFFSET(ORÇAMENTO!$W$15,ROW(AF87)-ROW(AF$15),0),15-13*ORÇAMENTO!$AF$11)),
         0)</f>
        <v>0</v>
      </c>
      <c r="AG87" s="453">
        <f ca="1">IF(AND($D87="Serviço",AG$12&lt;&gt;0,$H87&gt;0,OR(AUTOEVENTO&lt;&gt;"manual",$M87&lt;&gt;$A$15)),
        IF(Import.TipoArredondamento&lt;&gt;"TransfereGOV",
              ROUND(OFFSET($P87,0,AG$13),15-13*ORÇAMENTO!$AF$7)/$H87*OFFSET(ORÇAMENTO!$X$15,ROW(AG87)-ROW(AG$15),0),
              ROUND(ROUND(OFFSET($P87,0,AG$13),15-13*ORÇAMENTO!$AF$7)*OFFSET(ORÇAMENTO!$W$15,ROW(AG87)-ROW(AG$15),0),15-13*ORÇAMENTO!$AF$11)),
         0)</f>
        <v>0</v>
      </c>
      <c r="AH87" s="453">
        <f ca="1">IF(AND($D87="Serviço",AH$12&lt;&gt;0,$H87&gt;0,OR(AUTOEVENTO&lt;&gt;"manual",$M87&lt;&gt;$A$15)),
        IF(Import.TipoArredondamento&lt;&gt;"TransfereGOV",
              ROUND(OFFSET($P87,0,AH$13),15-13*ORÇAMENTO!$AF$7)/$H87*OFFSET(ORÇAMENTO!$X$15,ROW(AH87)-ROW(AH$15),0),
              ROUND(ROUND(OFFSET($P87,0,AH$13),15-13*ORÇAMENTO!$AF$7)*OFFSET(ORÇAMENTO!$W$15,ROW(AH87)-ROW(AH$15),0),15-13*ORÇAMENTO!$AF$11)),
         0)</f>
        <v>0</v>
      </c>
      <c r="AI87" s="453">
        <f ca="1">IF(AND($D87="Serviço",AI$12&lt;&gt;0,$H87&gt;0,OR(AUTOEVENTO&lt;&gt;"manual",$M87&lt;&gt;$A$15)),
        IF(Import.TipoArredondamento&lt;&gt;"TransfereGOV",
              ROUND(OFFSET($P87,0,AI$13),15-13*ORÇAMENTO!$AF$7)/$H87*OFFSET(ORÇAMENTO!$X$15,ROW(AI87)-ROW(AI$15),0),
              ROUND(ROUND(OFFSET($P87,0,AI$13),15-13*ORÇAMENTO!$AF$7)*OFFSET(ORÇAMENTO!$W$15,ROW(AI87)-ROW(AI$15),0),15-13*ORÇAMENTO!$AF$11)),
         0)</f>
        <v>0</v>
      </c>
      <c r="AJ87" s="453">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3">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M87" s="171">
        <f ca="1">IF(OR($D87&lt;&gt;"Serviço",AND(AUTOEVENTO="Manual",$M87=$A$15)),0,
         IF(OFFSET(CRONOPLE!$F$15,$M87-$A$15,AM$13)=0,10^12,OFFSET(CRONOPLE!$F$15,$M87-$A$15,AM$13)))</f>
        <v>0</v>
      </c>
      <c r="AN87" s="171">
        <f ca="1">IF(OR($D87&lt;&gt;"Serviço",AND(AUTOEVENTO="Manual",$M87=$A$15)),0,
         IF(OFFSET(CRONOPLE!$F$15,$M87-$A$15,AN$13)=0,10^12,OFFSET(CRONOPLE!$F$15,$M87-$A$15,AN$13)))</f>
        <v>0</v>
      </c>
      <c r="AO87" s="171">
        <f ca="1">IF(OR($D87&lt;&gt;"Serviço",AND(AUTOEVENTO="Manual",$M87=$A$15)),0,
         IF(OFFSET(CRONOPLE!$F$15,$M87-$A$15,AO$13)=0,10^12,OFFSET(CRONOPLE!$F$15,$M87-$A$15,AO$13)))</f>
        <v>0</v>
      </c>
      <c r="AP87" s="171">
        <f ca="1">IF(OR($D87&lt;&gt;"Serviço",AND(AUTOEVENTO="Manual",$M87=$A$15)),0,
         IF(OFFSET(CRONOPLE!$F$15,$M87-$A$15,AP$13)=0,10^12,OFFSET(CRONOPLE!$F$15,$M87-$A$15,AP$13)))</f>
        <v>0</v>
      </c>
      <c r="AQ87" s="171">
        <f ca="1">IF(OR($D87&lt;&gt;"Serviço",AND(AUTOEVENTO="Manual",$M87=$A$15)),0,
         IF(OFFSET(CRONOPLE!$F$15,$M87-$A$15,AQ$13)=0,10^12,OFFSET(CRONOPLE!$F$15,$M87-$A$15,AQ$13)))</f>
        <v>0</v>
      </c>
      <c r="AR87" s="171">
        <f ca="1">IF(OR($D87&lt;&gt;"Serviço",AND(AUTOEVENTO="Manual",$M87=$A$15)),0,
         IF(OFFSET(CRONOPLE!$F$15,$M87-$A$15,AR$13)=0,10^12,OFFSET(CRONOPLE!$F$15,$M87-$A$15,AR$13)))</f>
        <v>0</v>
      </c>
      <c r="AS87" s="171">
        <f ca="1">IF(OR($D87&lt;&gt;"Serviço",AND(AUTOEVENTO="Manual",$M87=$A$15)),0,
         IF(OFFSET(CRONOPLE!$F$15,$M87-$A$15,AS$13)=0,10^12,OFFSET(CRONOPLE!$F$15,$M87-$A$15,AS$13)))</f>
        <v>0</v>
      </c>
      <c r="AT87" s="171">
        <f ca="1">IF(OR($D87&lt;&gt;"Serviço",AND(AUTOEVENTO="Manual",$M87=$A$15)),0,
         IF(OFFSET(CRONOPLE!$F$15,$M87-$A$15,AT$13)=0,10^12,OFFSET(CRONOPLE!$F$15,$M87-$A$15,AT$13)))</f>
        <v>0</v>
      </c>
      <c r="AU87" s="171">
        <f ca="1">IF(OR($D87&lt;&gt;"Serviço",AND(AUTOEVENTO="Manual",$M87=$A$15)),0,
         IF(OFFSET(CRONOPLE!$F$15,$M87-$A$15,AU$13)=0,10^12,OFFSET(CRONOPLE!$F$15,$M87-$A$15,AU$13)))</f>
        <v>0</v>
      </c>
      <c r="AV87" s="171">
        <f ca="1">IF(OR($D87&lt;&gt;"Serviço",AND(AUTOEVENTO="Manual",$M87=$A$15)),0,
         IF(OFFSET(CRONOPLE!$F$15,$M87-$A$15,AV$13)=0,10^12,OFFSET(CRONOPLE!$F$15,$M87-$A$15,AV$13)))</f>
        <v>0</v>
      </c>
      <c r="AX87" s="172" cm="1">
        <f t="array" aca="1" ref="AX87" ca="1">IF(OR($D87&lt;&gt;"Serviço",AND(AUTOEVENTO="Manual",$M87=$A$15),$M87&gt;(ROW(PLE.lastrow)-ROW(PLE.firstrow))),0,
           IF(OFFSET(PLE!$G$15,$M87-$A$15,AX$13)="",10^12,OFFSET(PLE!$G$15,$M87-$A$15,AX$13)))</f>
        <v>0</v>
      </c>
      <c r="AY87" s="172" cm="1">
        <f t="array" aca="1" ref="AY87" ca="1">IF(OR($D87&lt;&gt;"Serviço",AND(AUTOEVENTO="Manual",$M87=$A$15),$M87&gt;(ROW(PLE.lastrow)-ROW(PLE.firstrow))),0,
           IF(OFFSET(PLE!$G$15,$M87-$A$15,AY$13)="",10^12,OFFSET(PLE!$G$15,$M87-$A$15,AY$13)))</f>
        <v>0</v>
      </c>
      <c r="AZ87" s="172" cm="1">
        <f t="array" aca="1" ref="AZ87" ca="1">IF(OR($D87&lt;&gt;"Serviço",AND(AUTOEVENTO="Manual",$M87=$A$15),$M87&gt;(ROW(PLE.lastrow)-ROW(PLE.firstrow))),0,
           IF(OFFSET(PLE!$G$15,$M87-$A$15,AZ$13)="",10^12,OFFSET(PLE!$G$15,$M87-$A$15,AZ$13)))</f>
        <v>0</v>
      </c>
      <c r="BA87" s="172" cm="1">
        <f t="array" aca="1" ref="BA87" ca="1">IF(OR($D87&lt;&gt;"Serviço",AND(AUTOEVENTO="Manual",$M87=$A$15),$M87&gt;(ROW(PLE.lastrow)-ROW(PLE.firstrow))),0,
           IF(OFFSET(PLE!$G$15,$M87-$A$15,BA$13)="",10^12,OFFSET(PLE!$G$15,$M87-$A$15,BA$13)))</f>
        <v>0</v>
      </c>
      <c r="BB87" s="172" cm="1">
        <f t="array" aca="1" ref="BB87" ca="1">IF(OR($D87&lt;&gt;"Serviço",AND(AUTOEVENTO="Manual",$M87=$A$15),$M87&gt;(ROW(PLE.lastrow)-ROW(PLE.firstrow))),0,
           IF(OFFSET(PLE!$G$15,$M87-$A$15,BB$13)="",10^12,OFFSET(PLE!$G$15,$M87-$A$15,BB$13)))</f>
        <v>0</v>
      </c>
      <c r="BC87" s="172" cm="1">
        <f t="array" aca="1" ref="BC87" ca="1">IF(OR($D87&lt;&gt;"Serviço",AND(AUTOEVENTO="Manual",$M87=$A$15),$M87&gt;(ROW(PLE.lastrow)-ROW(PLE.firstrow))),0,
           IF(OFFSET(PLE!$G$15,$M87-$A$15,BC$13)="",10^12,OFFSET(PLE!$G$15,$M87-$A$15,BC$13)))</f>
        <v>0</v>
      </c>
      <c r="BD87" s="172" cm="1">
        <f t="array" aca="1" ref="BD87" ca="1">IF(OR($D87&lt;&gt;"Serviço",AND(AUTOEVENTO="Manual",$M87=$A$15),$M87&gt;(ROW(PLE.lastrow)-ROW(PLE.firstrow))),0,
           IF(OFFSET(PLE!$G$15,$M87-$A$15,BD$13)="",10^12,OFFSET(PLE!$G$15,$M87-$A$15,BD$13)))</f>
        <v>0</v>
      </c>
      <c r="BE87" s="172" cm="1">
        <f t="array" aca="1" ref="BE87" ca="1">IF(OR($D87&lt;&gt;"Serviço",AND(AUTOEVENTO="Manual",$M87=$A$15),$M87&gt;(ROW(PLE.lastrow)-ROW(PLE.firstrow))),0,
           IF(OFFSET(PLE!$G$15,$M87-$A$15,BE$13)="",10^12,OFFSET(PLE!$G$15,$M87-$A$15,BE$13)))</f>
        <v>0</v>
      </c>
      <c r="BF87" s="172" cm="1">
        <f t="array" aca="1" ref="BF87" ca="1">IF(OR($D87&lt;&gt;"Serviço",AND(AUTOEVENTO="Manual",$M87=$A$15),$M87&gt;(ROW(PLE.lastrow)-ROW(PLE.firstrow))),0,
           IF(OFFSET(PLE!$G$15,$M87-$A$15,BF$13)="",10^12,OFFSET(PLE!$G$15,$M87-$A$15,BF$13)))</f>
        <v>0</v>
      </c>
      <c r="BG87" s="172" cm="1">
        <f t="array" aca="1" ref="BG87" ca="1">IF(OR($D87&lt;&gt;"Serviço",AND(AUTOEVENTO="Manual",$M87=$A$15),$M87&gt;(ROW(PLE.lastrow)-ROW(PLE.firstrow))),0,
           IF(OFFSET(PLE!$G$15,$M87-$A$15,BG$13)="",10^12,OFFSET(PLE!$G$15,$M87-$A$15,BG$13)))</f>
        <v>0</v>
      </c>
    </row>
    <row r="88" spans="1:59" ht="38.25" x14ac:dyDescent="0.2">
      <c r="A88" s="7">
        <f t="shared" ca="1" si="12"/>
        <v>9</v>
      </c>
      <c r="B88" s="7" t="str">
        <f ca="1">OFFSET(ORÇAMENTO!C$15,$L88,0)</f>
        <v>S</v>
      </c>
      <c r="C88" s="7" t="str">
        <f ca="1">OFFSET(ORÇAMENTO!L$15,$L88,0)</f>
        <v>F</v>
      </c>
      <c r="D88" s="116" t="str">
        <f ca="1">OFFSET(ORÇAMENTO!N$15,$L88,0)</f>
        <v>Serviço</v>
      </c>
      <c r="E88" s="117" t="str">
        <f ca="1">OFFSET(ORÇAMENTO!O$15,$L88,0)</f>
        <v>1.9.0.1.</v>
      </c>
      <c r="F88" s="163" t="str">
        <f ca="1">OFFSET(ORÇAMENTO!R$15,$L88,0)</f>
        <v>(Código não identificado nas referências)</v>
      </c>
      <c r="G88" s="164" t="str">
        <f ca="1">IF($D88&lt;&gt;"Serviço","",OFFSET(ORÇAMENTO!S$15,$L88,0))</f>
        <v>-</v>
      </c>
      <c r="H88" s="122" cm="1">
        <f t="array" aca="1" ref="H88" ca="1">IF($D88&lt;&gt;"Serviço",0,IF(ACOMPANHAMENTO="BM",ROUND(OFFSET(ORÇAMENTO!AJ$15,$L88,0),15-13*ORÇAMENTO!$AF$7),IF(IFERROR(CÁLCULO.FrentesPreenchidas,0)=0,0,SUM(ROUND(OFFSET($P88,0,1,1,CÁLCULO.FrentesPreenchidas),15-13*ORÇAMENTO!$AF$7)))))</f>
        <v>100</v>
      </c>
      <c r="I88" s="468" t="s">
        <v>1099</v>
      </c>
      <c r="J88" s="651" t="str" cm="1">
        <f t="array" aca="1" ref="J88" ca="1">IF(OR(B88&lt;&gt;"S",CÁLCULO.FrentesPreenchidas=0),"",IF(AND(ACOMPANHAMENTO="PLE",AUTOEVENTO="Manual",OR(H88&gt;0,ORÇAMENTO!AC88="QUANT."),OR(K88="",M88=0,N88="")),"►E",IF(AND(ACOMPANHAMENTO="PLE",ORÇAMENTO!AC88="QUANT."),"►Q",IF(AND(ACOMPANHAMENTO="PLE",H88&lt;&gt;SUMPRODUCT(($Q$1:$AA$1=1)*ROUND(Q88:AA88,15))),"►S",IF(AND(COUNTIF($P$11:$AA$11,"▼")=0,H88&gt;0,I88=""),"◄M","")))))</f>
        <v/>
      </c>
      <c r="K88" s="652" t="s">
        <v>1101</v>
      </c>
      <c r="L88" s="165">
        <f t="shared" ca="1" si="13"/>
        <v>73</v>
      </c>
      <c r="M88" s="166">
        <f ca="1">IF($D88&lt;&gt;"Serviço","",
          IF(AUTOEVENTO="manual",$A88,
                IF(ISERROR(MATCH($A88,$A$15:OFFSET($A88,-1,0),0)),MAX($M$15:OFFSET(M88,-1,0))+1,
                      INDEX($M$15:OFFSET(M88,-1,0),MATCH($A88,$A$15:OFFSET($A88,-1,0),0)))))</f>
        <v>9</v>
      </c>
      <c r="N88" s="167" t="str">
        <f ca="1">IF($D88&lt;&gt;"Serviço","",
         IF(AUTOEVENTO="Manual",
                IF($A88=0,"&lt;-- defina o número do agrupador",
                       OFFSET(EVENTOS!$D$15,$A88-$A$15,0)),
                OFFSET($F$15,$A88,0)))</f>
        <v>POÇO</v>
      </c>
      <c r="O88" s="168"/>
      <c r="Q88" s="168"/>
      <c r="R88" s="169">
        <v>50</v>
      </c>
      <c r="S88" s="169">
        <v>50</v>
      </c>
      <c r="T88" s="169"/>
      <c r="U88" s="169"/>
      <c r="V88" s="169"/>
      <c r="W88" s="169"/>
      <c r="X88" s="169"/>
      <c r="Y88" s="169"/>
      <c r="Z88" s="170"/>
      <c r="AB88" s="453">
        <f ca="1">IF(AND($D88="Serviço",AB$12&lt;&gt;0,$H88&gt;0,OR(AUTOEVENTO&lt;&gt;"manual",$M88&lt;&gt;$A$15)),
        IF(Import.TipoArredondamento&lt;&gt;"TransfereGOV",
              ROUND(OFFSET($P88,0,AB$13),15-13*ORÇAMENTO!$AF$7)/$H88*OFFSET(ORÇAMENTO!$X$15,ROW(AB88)-ROW(AB$15),0),
              ROUND(ROUND(OFFSET($P88,0,AB$13),15-13*ORÇAMENTO!$AF$7)*OFFSET(ORÇAMENTO!$W$15,ROW(AB88)-ROW(AB$15),0),15-13*ORÇAMENTO!$AF$11)),
         0)</f>
        <v>0</v>
      </c>
      <c r="AC88" s="453">
        <f ca="1">IF(AND($D88="Serviço",AC$12&lt;&gt;0,$H88&gt;0,OR(AUTOEVENTO&lt;&gt;"manual",$M88&lt;&gt;$A$15)),
        IF(Import.TipoArredondamento&lt;&gt;"TransfereGOV",
              ROUND(OFFSET($P88,0,AC$13),15-13*ORÇAMENTO!$AF$7)/$H88*OFFSET(ORÇAMENTO!$X$15,ROW(AC88)-ROW(AC$15),0),
              ROUND(ROUND(OFFSET($P88,0,AC$13),15-13*ORÇAMENTO!$AF$7)*OFFSET(ORÇAMENTO!$W$15,ROW(AC88)-ROW(AC$15),0),15-13*ORÇAMENTO!$AF$11)),
         0)</f>
        <v>27199</v>
      </c>
      <c r="AD88" s="453">
        <f ca="1">IF(AND($D88="Serviço",AD$12&lt;&gt;0,$H88&gt;0,OR(AUTOEVENTO&lt;&gt;"manual",$M88&lt;&gt;$A$15)),
        IF(Import.TipoArredondamento&lt;&gt;"TransfereGOV",
              ROUND(OFFSET($P88,0,AD$13),15-13*ORÇAMENTO!$AF$7)/$H88*OFFSET(ORÇAMENTO!$X$15,ROW(AD88)-ROW(AD$15),0),
              ROUND(ROUND(OFFSET($P88,0,AD$13),15-13*ORÇAMENTO!$AF$7)*OFFSET(ORÇAMENTO!$W$15,ROW(AD88)-ROW(AD$15),0),15-13*ORÇAMENTO!$AF$11)),
         0)</f>
        <v>27199</v>
      </c>
      <c r="AE88" s="453">
        <f ca="1">IF(AND($D88="Serviço",AE$12&lt;&gt;0,$H88&gt;0,OR(AUTOEVENTO&lt;&gt;"manual",$M88&lt;&gt;$A$15)),
        IF(Import.TipoArredondamento&lt;&gt;"TransfereGOV",
              ROUND(OFFSET($P88,0,AE$13),15-13*ORÇAMENTO!$AF$7)/$H88*OFFSET(ORÇAMENTO!$X$15,ROW(AE88)-ROW(AE$15),0),
              ROUND(ROUND(OFFSET($P88,0,AE$13),15-13*ORÇAMENTO!$AF$7)*OFFSET(ORÇAMENTO!$W$15,ROW(AE88)-ROW(AE$15),0),15-13*ORÇAMENTO!$AF$11)),
         0)</f>
        <v>0</v>
      </c>
      <c r="AF88" s="453">
        <f ca="1">IF(AND($D88="Serviço",AF$12&lt;&gt;0,$H88&gt;0,OR(AUTOEVENTO&lt;&gt;"manual",$M88&lt;&gt;$A$15)),
        IF(Import.TipoArredondamento&lt;&gt;"TransfereGOV",
              ROUND(OFFSET($P88,0,AF$13),15-13*ORÇAMENTO!$AF$7)/$H88*OFFSET(ORÇAMENTO!$X$15,ROW(AF88)-ROW(AF$15),0),
              ROUND(ROUND(OFFSET($P88,0,AF$13),15-13*ORÇAMENTO!$AF$7)*OFFSET(ORÇAMENTO!$W$15,ROW(AF88)-ROW(AF$15),0),15-13*ORÇAMENTO!$AF$11)),
         0)</f>
        <v>0</v>
      </c>
      <c r="AG88" s="453">
        <f ca="1">IF(AND($D88="Serviço",AG$12&lt;&gt;0,$H88&gt;0,OR(AUTOEVENTO&lt;&gt;"manual",$M88&lt;&gt;$A$15)),
        IF(Import.TipoArredondamento&lt;&gt;"TransfereGOV",
              ROUND(OFFSET($P88,0,AG$13),15-13*ORÇAMENTO!$AF$7)/$H88*OFFSET(ORÇAMENTO!$X$15,ROW(AG88)-ROW(AG$15),0),
              ROUND(ROUND(OFFSET($P88,0,AG$13),15-13*ORÇAMENTO!$AF$7)*OFFSET(ORÇAMENTO!$W$15,ROW(AG88)-ROW(AG$15),0),15-13*ORÇAMENTO!$AF$11)),
         0)</f>
        <v>0</v>
      </c>
      <c r="AH88" s="453">
        <f ca="1">IF(AND($D88="Serviço",AH$12&lt;&gt;0,$H88&gt;0,OR(AUTOEVENTO&lt;&gt;"manual",$M88&lt;&gt;$A$15)),
        IF(Import.TipoArredondamento&lt;&gt;"TransfereGOV",
              ROUND(OFFSET($P88,0,AH$13),15-13*ORÇAMENTO!$AF$7)/$H88*OFFSET(ORÇAMENTO!$X$15,ROW(AH88)-ROW(AH$15),0),
              ROUND(ROUND(OFFSET($P88,0,AH$13),15-13*ORÇAMENTO!$AF$7)*OFFSET(ORÇAMENTO!$W$15,ROW(AH88)-ROW(AH$15),0),15-13*ORÇAMENTO!$AF$11)),
         0)</f>
        <v>0</v>
      </c>
      <c r="AI88" s="453">
        <f ca="1">IF(AND($D88="Serviço",AI$12&lt;&gt;0,$H88&gt;0,OR(AUTOEVENTO&lt;&gt;"manual",$M88&lt;&gt;$A$15)),
        IF(Import.TipoArredondamento&lt;&gt;"TransfereGOV",
              ROUND(OFFSET($P88,0,AI$13),15-13*ORÇAMENTO!$AF$7)/$H88*OFFSET(ORÇAMENTO!$X$15,ROW(AI88)-ROW(AI$15),0),
              ROUND(ROUND(OFFSET($P88,0,AI$13),15-13*ORÇAMENTO!$AF$7)*OFFSET(ORÇAMENTO!$W$15,ROW(AI88)-ROW(AI$15),0),15-13*ORÇAMENTO!$AF$11)),
         0)</f>
        <v>0</v>
      </c>
      <c r="AJ88" s="453">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3">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M88" s="171">
        <f ca="1">IF(OR($D88&lt;&gt;"Serviço",AND(AUTOEVENTO="Manual",$M88=$A$15)),0,
         IF(OFFSET(CRONOPLE!$F$15,$M88-$A$15,AM$13)=0,10^12,OFFSET(CRONOPLE!$F$15,$M88-$A$15,AM$13)))</f>
        <v>1000000000000</v>
      </c>
      <c r="AN88" s="171">
        <f ca="1">IF(OR($D88&lt;&gt;"Serviço",AND(AUTOEVENTO="Manual",$M88=$A$15)),0,
         IF(OFFSET(CRONOPLE!$F$15,$M88-$A$15,AN$13)=0,10^12,OFFSET(CRONOPLE!$F$15,$M88-$A$15,AN$13)))</f>
        <v>2</v>
      </c>
      <c r="AO88" s="171">
        <f ca="1">IF(OR($D88&lt;&gt;"Serviço",AND(AUTOEVENTO="Manual",$M88=$A$15)),0,
         IF(OFFSET(CRONOPLE!$F$15,$M88-$A$15,AO$13)=0,10^12,OFFSET(CRONOPLE!$F$15,$M88-$A$15,AO$13)))</f>
        <v>3</v>
      </c>
      <c r="AP88" s="171">
        <f ca="1">IF(OR($D88&lt;&gt;"Serviço",AND(AUTOEVENTO="Manual",$M88=$A$15)),0,
         IF(OFFSET(CRONOPLE!$F$15,$M88-$A$15,AP$13)=0,10^12,OFFSET(CRONOPLE!$F$15,$M88-$A$15,AP$13)))</f>
        <v>1000000000000</v>
      </c>
      <c r="AQ88" s="171">
        <f ca="1">IF(OR($D88&lt;&gt;"Serviço",AND(AUTOEVENTO="Manual",$M88=$A$15)),0,
         IF(OFFSET(CRONOPLE!$F$15,$M88-$A$15,AQ$13)=0,10^12,OFFSET(CRONOPLE!$F$15,$M88-$A$15,AQ$13)))</f>
        <v>1000000000000</v>
      </c>
      <c r="AR88" s="171">
        <f ca="1">IF(OR($D88&lt;&gt;"Serviço",AND(AUTOEVENTO="Manual",$M88=$A$15)),0,
         IF(OFFSET(CRONOPLE!$F$15,$M88-$A$15,AR$13)=0,10^12,OFFSET(CRONOPLE!$F$15,$M88-$A$15,AR$13)))</f>
        <v>1000000000000</v>
      </c>
      <c r="AS88" s="171">
        <f ca="1">IF(OR($D88&lt;&gt;"Serviço",AND(AUTOEVENTO="Manual",$M88=$A$15)),0,
         IF(OFFSET(CRONOPLE!$F$15,$M88-$A$15,AS$13)=0,10^12,OFFSET(CRONOPLE!$F$15,$M88-$A$15,AS$13)))</f>
        <v>1000000000000</v>
      </c>
      <c r="AT88" s="171">
        <f ca="1">IF(OR($D88&lt;&gt;"Serviço",AND(AUTOEVENTO="Manual",$M88=$A$15)),0,
         IF(OFFSET(CRONOPLE!$F$15,$M88-$A$15,AT$13)=0,10^12,OFFSET(CRONOPLE!$F$15,$M88-$A$15,AT$13)))</f>
        <v>1000000000000</v>
      </c>
      <c r="AU88" s="171">
        <f ca="1">IF(OR($D88&lt;&gt;"Serviço",AND(AUTOEVENTO="Manual",$M88=$A$15)),0,
         IF(OFFSET(CRONOPLE!$F$15,$M88-$A$15,AU$13)=0,10^12,OFFSET(CRONOPLE!$F$15,$M88-$A$15,AU$13)))</f>
        <v>1000000000000</v>
      </c>
      <c r="AV88" s="171">
        <f ca="1">IF(OR($D88&lt;&gt;"Serviço",AND(AUTOEVENTO="Manual",$M88=$A$15)),0,
         IF(OFFSET(CRONOPLE!$F$15,$M88-$A$15,AV$13)=0,10^12,OFFSET(CRONOPLE!$F$15,$M88-$A$15,AV$13)))</f>
        <v>1000000000000</v>
      </c>
      <c r="AX88" s="172" cm="1">
        <f t="array" aca="1" ref="AX88" ca="1">IF(OR($D88&lt;&gt;"Serviço",AND(AUTOEVENTO="Manual",$M88=$A$15),$M88&gt;(ROW(PLE.lastrow)-ROW(PLE.firstrow))),0,
           IF(OFFSET(PLE!$G$15,$M88-$A$15,AX$13)="",10^12,OFFSET(PLE!$G$15,$M88-$A$15,AX$13)))</f>
        <v>1000000000000</v>
      </c>
      <c r="AY88" s="172" cm="1">
        <f t="array" aca="1" ref="AY88" ca="1">IF(OR($D88&lt;&gt;"Serviço",AND(AUTOEVENTO="Manual",$M88=$A$15),$M88&gt;(ROW(PLE.lastrow)-ROW(PLE.firstrow))),0,
           IF(OFFSET(PLE!$G$15,$M88-$A$15,AY$13)="",10^12,OFFSET(PLE!$G$15,$M88-$A$15,AY$13)))</f>
        <v>1000000000000</v>
      </c>
      <c r="AZ88" s="172" cm="1">
        <f t="array" aca="1" ref="AZ88" ca="1">IF(OR($D88&lt;&gt;"Serviço",AND(AUTOEVENTO="Manual",$M88=$A$15),$M88&gt;(ROW(PLE.lastrow)-ROW(PLE.firstrow))),0,
           IF(OFFSET(PLE!$G$15,$M88-$A$15,AZ$13)="",10^12,OFFSET(PLE!$G$15,$M88-$A$15,AZ$13)))</f>
        <v>1000000000000</v>
      </c>
      <c r="BA88" s="172" cm="1">
        <f t="array" aca="1" ref="BA88" ca="1">IF(OR($D88&lt;&gt;"Serviço",AND(AUTOEVENTO="Manual",$M88=$A$15),$M88&gt;(ROW(PLE.lastrow)-ROW(PLE.firstrow))),0,
           IF(OFFSET(PLE!$G$15,$M88-$A$15,BA$13)="",10^12,OFFSET(PLE!$G$15,$M88-$A$15,BA$13)))</f>
        <v>1000000000000</v>
      </c>
      <c r="BB88" s="172" cm="1">
        <f t="array" aca="1" ref="BB88" ca="1">IF(OR($D88&lt;&gt;"Serviço",AND(AUTOEVENTO="Manual",$M88=$A$15),$M88&gt;(ROW(PLE.lastrow)-ROW(PLE.firstrow))),0,
           IF(OFFSET(PLE!$G$15,$M88-$A$15,BB$13)="",10^12,OFFSET(PLE!$G$15,$M88-$A$15,BB$13)))</f>
        <v>1000000000000</v>
      </c>
      <c r="BC88" s="172" cm="1">
        <f t="array" aca="1" ref="BC88" ca="1">IF(OR($D88&lt;&gt;"Serviço",AND(AUTOEVENTO="Manual",$M88=$A$15),$M88&gt;(ROW(PLE.lastrow)-ROW(PLE.firstrow))),0,
           IF(OFFSET(PLE!$G$15,$M88-$A$15,BC$13)="",10^12,OFFSET(PLE!$G$15,$M88-$A$15,BC$13)))</f>
        <v>1000000000000</v>
      </c>
      <c r="BD88" s="172" cm="1">
        <f t="array" aca="1" ref="BD88" ca="1">IF(OR($D88&lt;&gt;"Serviço",AND(AUTOEVENTO="Manual",$M88=$A$15),$M88&gt;(ROW(PLE.lastrow)-ROW(PLE.firstrow))),0,
           IF(OFFSET(PLE!$G$15,$M88-$A$15,BD$13)="",10^12,OFFSET(PLE!$G$15,$M88-$A$15,BD$13)))</f>
        <v>1000000000000</v>
      </c>
      <c r="BE88" s="172" cm="1">
        <f t="array" aca="1" ref="BE88" ca="1">IF(OR($D88&lt;&gt;"Serviço",AND(AUTOEVENTO="Manual",$M88=$A$15),$M88&gt;(ROW(PLE.lastrow)-ROW(PLE.firstrow))),0,
           IF(OFFSET(PLE!$G$15,$M88-$A$15,BE$13)="",10^12,OFFSET(PLE!$G$15,$M88-$A$15,BE$13)))</f>
        <v>1000000000000</v>
      </c>
      <c r="BF88" s="172" cm="1">
        <f t="array" aca="1" ref="BF88" ca="1">IF(OR($D88&lt;&gt;"Serviço",AND(AUTOEVENTO="Manual",$M88=$A$15),$M88&gt;(ROW(PLE.lastrow)-ROW(PLE.firstrow))),0,
           IF(OFFSET(PLE!$G$15,$M88-$A$15,BF$13)="",10^12,OFFSET(PLE!$G$15,$M88-$A$15,BF$13)))</f>
        <v>1000000000000</v>
      </c>
      <c r="BG88" s="172" cm="1">
        <f t="array" aca="1" ref="BG88" ca="1">IF(OR($D88&lt;&gt;"Serviço",AND(AUTOEVENTO="Manual",$M88=$A$15),$M88&gt;(ROW(PLE.lastrow)-ROW(PLE.firstrow))),0,
           IF(OFFSET(PLE!$G$15,$M88-$A$15,BG$13)="",10^12,OFFSET(PLE!$G$15,$M88-$A$15,BG$13)))</f>
        <v>1000000000000</v>
      </c>
    </row>
    <row r="89" spans="1:59" ht="12.75" x14ac:dyDescent="0.2">
      <c r="A89" s="7">
        <f t="shared" ca="1" si="12"/>
        <v>10</v>
      </c>
      <c r="B89" s="7">
        <f ca="1">OFFSET(ORÇAMENTO!C$15,$L89,0)</f>
        <v>2</v>
      </c>
      <c r="C89" s="7" t="str">
        <f ca="1">OFFSET(ORÇAMENTO!L$15,$L89,0)</f>
        <v>F</v>
      </c>
      <c r="D89" s="116" t="str">
        <f ca="1">OFFSET(ORÇAMENTO!N$15,$L89,0)</f>
        <v>Nível 2</v>
      </c>
      <c r="E89" s="117" t="str">
        <f ca="1">OFFSET(ORÇAMENTO!O$15,$L89,0)</f>
        <v>1.10.</v>
      </c>
      <c r="F89" s="163" t="str">
        <f ca="1">OFFSET(ORÇAMENTO!R$15,$L89,0)</f>
        <v>REDE ELÉTRICA (EXTENSÃO)</v>
      </c>
      <c r="G89" s="164" t="str">
        <f ca="1">IF($D89&lt;&gt;"Serviço","",OFFSET(ORÇAMENTO!S$15,$L89,0))</f>
        <v/>
      </c>
      <c r="H89" s="122" cm="1">
        <f t="array" aca="1" ref="H89" ca="1">IF($D89&lt;&gt;"Serviço",0,IF(ACOMPANHAMENTO="BM",ROUND(OFFSET(ORÇAMENTO!AJ$15,$L89,0),15-13*ORÇAMENTO!$AF$7),IF(IFERROR(CÁLCULO.FrentesPreenchidas,0)=0,0,SUM(ROUND(OFFSET($P89,0,1,1,CÁLCULO.FrentesPreenchidas),15-13*ORÇAMENTO!$AF$7)))))</f>
        <v>0</v>
      </c>
      <c r="I89" s="468"/>
      <c r="J89" s="651" t="str" cm="1">
        <f t="array" aca="1" ref="J89" ca="1">IF(OR(B89&lt;&gt;"S",CÁLCULO.FrentesPreenchidas=0),"",IF(AND(ACOMPANHAMENTO="PLE",AUTOEVENTO="Manual",OR(H89&gt;0,ORÇAMENTO!AC89="QUANT."),OR(K89="",M89=0,N89="")),"►E",IF(AND(ACOMPANHAMENTO="PLE",ORÇAMENTO!AC89="QUANT."),"►Q",IF(AND(ACOMPANHAMENTO="PLE",H89&lt;&gt;SUMPRODUCT(($Q$1:$AA$1=1)*ROUND(Q89:AA89,15))),"►S",IF(AND(COUNTIF($P$11:$AA$11,"▼")=0,H89&gt;0,I89=""),"◄M","")))))</f>
        <v/>
      </c>
      <c r="K89" s="652" t="s">
        <v>1102</v>
      </c>
      <c r="L89" s="165">
        <f t="shared" ca="1" si="13"/>
        <v>74</v>
      </c>
      <c r="M89" s="166" t="str">
        <f ca="1">IF($D89&lt;&gt;"Serviço","",
          IF(AUTOEVENTO="manual",$A89,
                IF(ISERROR(MATCH($A89,$A$15:OFFSET($A89,-1,0),0)),MAX($M$15:OFFSET(M89,-1,0))+1,
                      INDEX($M$15:OFFSET(M89,-1,0),MATCH($A89,$A$15:OFFSET($A89,-1,0),0)))))</f>
        <v/>
      </c>
      <c r="N89" s="167" t="str">
        <f ca="1">IF($D89&lt;&gt;"Serviço","",
         IF(AUTOEVENTO="Manual",
                IF($A89=0,"&lt;-- defina o número do agrupador",
                       OFFSET(EVENTOS!$D$15,$A89-$A$15,0)),
                OFFSET($F$15,$A89,0)))</f>
        <v/>
      </c>
      <c r="O89" s="168"/>
      <c r="Q89" s="168"/>
      <c r="R89" s="169"/>
      <c r="S89" s="169"/>
      <c r="T89" s="169"/>
      <c r="U89" s="169"/>
      <c r="V89" s="169"/>
      <c r="W89" s="169"/>
      <c r="X89" s="169"/>
      <c r="Y89" s="169"/>
      <c r="Z89" s="170"/>
      <c r="AB89" s="453">
        <f ca="1">IF(AND($D89="Serviço",AB$12&lt;&gt;0,$H89&gt;0,OR(AUTOEVENTO&lt;&gt;"manual",$M89&lt;&gt;$A$15)),
        IF(Import.TipoArredondamento&lt;&gt;"TransfereGOV",
              ROUND(OFFSET($P89,0,AB$13),15-13*ORÇAMENTO!$AF$7)/$H89*OFFSET(ORÇAMENTO!$X$15,ROW(AB89)-ROW(AB$15),0),
              ROUND(ROUND(OFFSET($P89,0,AB$13),15-13*ORÇAMENTO!$AF$7)*OFFSET(ORÇAMENTO!$W$15,ROW(AB89)-ROW(AB$15),0),15-13*ORÇAMENTO!$AF$11)),
         0)</f>
        <v>0</v>
      </c>
      <c r="AC89" s="453">
        <f ca="1">IF(AND($D89="Serviço",AC$12&lt;&gt;0,$H89&gt;0,OR(AUTOEVENTO&lt;&gt;"manual",$M89&lt;&gt;$A$15)),
        IF(Import.TipoArredondamento&lt;&gt;"TransfereGOV",
              ROUND(OFFSET($P89,0,AC$13),15-13*ORÇAMENTO!$AF$7)/$H89*OFFSET(ORÇAMENTO!$X$15,ROW(AC89)-ROW(AC$15),0),
              ROUND(ROUND(OFFSET($P89,0,AC$13),15-13*ORÇAMENTO!$AF$7)*OFFSET(ORÇAMENTO!$W$15,ROW(AC89)-ROW(AC$15),0),15-13*ORÇAMENTO!$AF$11)),
         0)</f>
        <v>0</v>
      </c>
      <c r="AD89" s="453">
        <f ca="1">IF(AND($D89="Serviço",AD$12&lt;&gt;0,$H89&gt;0,OR(AUTOEVENTO&lt;&gt;"manual",$M89&lt;&gt;$A$15)),
        IF(Import.TipoArredondamento&lt;&gt;"TransfereGOV",
              ROUND(OFFSET($P89,0,AD$13),15-13*ORÇAMENTO!$AF$7)/$H89*OFFSET(ORÇAMENTO!$X$15,ROW(AD89)-ROW(AD$15),0),
              ROUND(ROUND(OFFSET($P89,0,AD$13),15-13*ORÇAMENTO!$AF$7)*OFFSET(ORÇAMENTO!$W$15,ROW(AD89)-ROW(AD$15),0),15-13*ORÇAMENTO!$AF$11)),
         0)</f>
        <v>0</v>
      </c>
      <c r="AE89" s="453">
        <f ca="1">IF(AND($D89="Serviço",AE$12&lt;&gt;0,$H89&gt;0,OR(AUTOEVENTO&lt;&gt;"manual",$M89&lt;&gt;$A$15)),
        IF(Import.TipoArredondamento&lt;&gt;"TransfereGOV",
              ROUND(OFFSET($P89,0,AE$13),15-13*ORÇAMENTO!$AF$7)/$H89*OFFSET(ORÇAMENTO!$X$15,ROW(AE89)-ROW(AE$15),0),
              ROUND(ROUND(OFFSET($P89,0,AE$13),15-13*ORÇAMENTO!$AF$7)*OFFSET(ORÇAMENTO!$W$15,ROW(AE89)-ROW(AE$15),0),15-13*ORÇAMENTO!$AF$11)),
         0)</f>
        <v>0</v>
      </c>
      <c r="AF89" s="453">
        <f ca="1">IF(AND($D89="Serviço",AF$12&lt;&gt;0,$H89&gt;0,OR(AUTOEVENTO&lt;&gt;"manual",$M89&lt;&gt;$A$15)),
        IF(Import.TipoArredondamento&lt;&gt;"TransfereGOV",
              ROUND(OFFSET($P89,0,AF$13),15-13*ORÇAMENTO!$AF$7)/$H89*OFFSET(ORÇAMENTO!$X$15,ROW(AF89)-ROW(AF$15),0),
              ROUND(ROUND(OFFSET($P89,0,AF$13),15-13*ORÇAMENTO!$AF$7)*OFFSET(ORÇAMENTO!$W$15,ROW(AF89)-ROW(AF$15),0),15-13*ORÇAMENTO!$AF$11)),
         0)</f>
        <v>0</v>
      </c>
      <c r="AG89" s="453">
        <f ca="1">IF(AND($D89="Serviço",AG$12&lt;&gt;0,$H89&gt;0,OR(AUTOEVENTO&lt;&gt;"manual",$M89&lt;&gt;$A$15)),
        IF(Import.TipoArredondamento&lt;&gt;"TransfereGOV",
              ROUND(OFFSET($P89,0,AG$13),15-13*ORÇAMENTO!$AF$7)/$H89*OFFSET(ORÇAMENTO!$X$15,ROW(AG89)-ROW(AG$15),0),
              ROUND(ROUND(OFFSET($P89,0,AG$13),15-13*ORÇAMENTO!$AF$7)*OFFSET(ORÇAMENTO!$W$15,ROW(AG89)-ROW(AG$15),0),15-13*ORÇAMENTO!$AF$11)),
         0)</f>
        <v>0</v>
      </c>
      <c r="AH89" s="453">
        <f ca="1">IF(AND($D89="Serviço",AH$12&lt;&gt;0,$H89&gt;0,OR(AUTOEVENTO&lt;&gt;"manual",$M89&lt;&gt;$A$15)),
        IF(Import.TipoArredondamento&lt;&gt;"TransfereGOV",
              ROUND(OFFSET($P89,0,AH$13),15-13*ORÇAMENTO!$AF$7)/$H89*OFFSET(ORÇAMENTO!$X$15,ROW(AH89)-ROW(AH$15),0),
              ROUND(ROUND(OFFSET($P89,0,AH$13),15-13*ORÇAMENTO!$AF$7)*OFFSET(ORÇAMENTO!$W$15,ROW(AH89)-ROW(AH$15),0),15-13*ORÇAMENTO!$AF$11)),
         0)</f>
        <v>0</v>
      </c>
      <c r="AI89" s="453">
        <f ca="1">IF(AND($D89="Serviço",AI$12&lt;&gt;0,$H89&gt;0,OR(AUTOEVENTO&lt;&gt;"manual",$M89&lt;&gt;$A$15)),
        IF(Import.TipoArredondamento&lt;&gt;"TransfereGOV",
              ROUND(OFFSET($P89,0,AI$13),15-13*ORÇAMENTO!$AF$7)/$H89*OFFSET(ORÇAMENTO!$X$15,ROW(AI89)-ROW(AI$15),0),
              ROUND(ROUND(OFFSET($P89,0,AI$13),15-13*ORÇAMENTO!$AF$7)*OFFSET(ORÇAMENTO!$W$15,ROW(AI89)-ROW(AI$15),0),15-13*ORÇAMENTO!$AF$11)),
         0)</f>
        <v>0</v>
      </c>
      <c r="AJ89" s="453">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3">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M89" s="171">
        <f ca="1">IF(OR($D89&lt;&gt;"Serviço",AND(AUTOEVENTO="Manual",$M89=$A$15)),0,
         IF(OFFSET(CRONOPLE!$F$15,$M89-$A$15,AM$13)=0,10^12,OFFSET(CRONOPLE!$F$15,$M89-$A$15,AM$13)))</f>
        <v>0</v>
      </c>
      <c r="AN89" s="171">
        <f ca="1">IF(OR($D89&lt;&gt;"Serviço",AND(AUTOEVENTO="Manual",$M89=$A$15)),0,
         IF(OFFSET(CRONOPLE!$F$15,$M89-$A$15,AN$13)=0,10^12,OFFSET(CRONOPLE!$F$15,$M89-$A$15,AN$13)))</f>
        <v>0</v>
      </c>
      <c r="AO89" s="171">
        <f ca="1">IF(OR($D89&lt;&gt;"Serviço",AND(AUTOEVENTO="Manual",$M89=$A$15)),0,
         IF(OFFSET(CRONOPLE!$F$15,$M89-$A$15,AO$13)=0,10^12,OFFSET(CRONOPLE!$F$15,$M89-$A$15,AO$13)))</f>
        <v>0</v>
      </c>
      <c r="AP89" s="171">
        <f ca="1">IF(OR($D89&lt;&gt;"Serviço",AND(AUTOEVENTO="Manual",$M89=$A$15)),0,
         IF(OFFSET(CRONOPLE!$F$15,$M89-$A$15,AP$13)=0,10^12,OFFSET(CRONOPLE!$F$15,$M89-$A$15,AP$13)))</f>
        <v>0</v>
      </c>
      <c r="AQ89" s="171">
        <f ca="1">IF(OR($D89&lt;&gt;"Serviço",AND(AUTOEVENTO="Manual",$M89=$A$15)),0,
         IF(OFFSET(CRONOPLE!$F$15,$M89-$A$15,AQ$13)=0,10^12,OFFSET(CRONOPLE!$F$15,$M89-$A$15,AQ$13)))</f>
        <v>0</v>
      </c>
      <c r="AR89" s="171">
        <f ca="1">IF(OR($D89&lt;&gt;"Serviço",AND(AUTOEVENTO="Manual",$M89=$A$15)),0,
         IF(OFFSET(CRONOPLE!$F$15,$M89-$A$15,AR$13)=0,10^12,OFFSET(CRONOPLE!$F$15,$M89-$A$15,AR$13)))</f>
        <v>0</v>
      </c>
      <c r="AS89" s="171">
        <f ca="1">IF(OR($D89&lt;&gt;"Serviço",AND(AUTOEVENTO="Manual",$M89=$A$15)),0,
         IF(OFFSET(CRONOPLE!$F$15,$M89-$A$15,AS$13)=0,10^12,OFFSET(CRONOPLE!$F$15,$M89-$A$15,AS$13)))</f>
        <v>0</v>
      </c>
      <c r="AT89" s="171">
        <f ca="1">IF(OR($D89&lt;&gt;"Serviço",AND(AUTOEVENTO="Manual",$M89=$A$15)),0,
         IF(OFFSET(CRONOPLE!$F$15,$M89-$A$15,AT$13)=0,10^12,OFFSET(CRONOPLE!$F$15,$M89-$A$15,AT$13)))</f>
        <v>0</v>
      </c>
      <c r="AU89" s="171">
        <f ca="1">IF(OR($D89&lt;&gt;"Serviço",AND(AUTOEVENTO="Manual",$M89=$A$15)),0,
         IF(OFFSET(CRONOPLE!$F$15,$M89-$A$15,AU$13)=0,10^12,OFFSET(CRONOPLE!$F$15,$M89-$A$15,AU$13)))</f>
        <v>0</v>
      </c>
      <c r="AV89" s="171">
        <f ca="1">IF(OR($D89&lt;&gt;"Serviço",AND(AUTOEVENTO="Manual",$M89=$A$15)),0,
         IF(OFFSET(CRONOPLE!$F$15,$M89-$A$15,AV$13)=0,10^12,OFFSET(CRONOPLE!$F$15,$M89-$A$15,AV$13)))</f>
        <v>0</v>
      </c>
      <c r="AX89" s="172" cm="1">
        <f t="array" aca="1" ref="AX89" ca="1">IF(OR($D89&lt;&gt;"Serviço",AND(AUTOEVENTO="Manual",$M89=$A$15),$M89&gt;(ROW(PLE.lastrow)-ROW(PLE.firstrow))),0,
           IF(OFFSET(PLE!$G$15,$M89-$A$15,AX$13)="",10^12,OFFSET(PLE!$G$15,$M89-$A$15,AX$13)))</f>
        <v>0</v>
      </c>
      <c r="AY89" s="172" cm="1">
        <f t="array" aca="1" ref="AY89" ca="1">IF(OR($D89&lt;&gt;"Serviço",AND(AUTOEVENTO="Manual",$M89=$A$15),$M89&gt;(ROW(PLE.lastrow)-ROW(PLE.firstrow))),0,
           IF(OFFSET(PLE!$G$15,$M89-$A$15,AY$13)="",10^12,OFFSET(PLE!$G$15,$M89-$A$15,AY$13)))</f>
        <v>0</v>
      </c>
      <c r="AZ89" s="172" cm="1">
        <f t="array" aca="1" ref="AZ89" ca="1">IF(OR($D89&lt;&gt;"Serviço",AND(AUTOEVENTO="Manual",$M89=$A$15),$M89&gt;(ROW(PLE.lastrow)-ROW(PLE.firstrow))),0,
           IF(OFFSET(PLE!$G$15,$M89-$A$15,AZ$13)="",10^12,OFFSET(PLE!$G$15,$M89-$A$15,AZ$13)))</f>
        <v>0</v>
      </c>
      <c r="BA89" s="172" cm="1">
        <f t="array" aca="1" ref="BA89" ca="1">IF(OR($D89&lt;&gt;"Serviço",AND(AUTOEVENTO="Manual",$M89=$A$15),$M89&gt;(ROW(PLE.lastrow)-ROW(PLE.firstrow))),0,
           IF(OFFSET(PLE!$G$15,$M89-$A$15,BA$13)="",10^12,OFFSET(PLE!$G$15,$M89-$A$15,BA$13)))</f>
        <v>0</v>
      </c>
      <c r="BB89" s="172" cm="1">
        <f t="array" aca="1" ref="BB89" ca="1">IF(OR($D89&lt;&gt;"Serviço",AND(AUTOEVENTO="Manual",$M89=$A$15),$M89&gt;(ROW(PLE.lastrow)-ROW(PLE.firstrow))),0,
           IF(OFFSET(PLE!$G$15,$M89-$A$15,BB$13)="",10^12,OFFSET(PLE!$G$15,$M89-$A$15,BB$13)))</f>
        <v>0</v>
      </c>
      <c r="BC89" s="172" cm="1">
        <f t="array" aca="1" ref="BC89" ca="1">IF(OR($D89&lt;&gt;"Serviço",AND(AUTOEVENTO="Manual",$M89=$A$15),$M89&gt;(ROW(PLE.lastrow)-ROW(PLE.firstrow))),0,
           IF(OFFSET(PLE!$G$15,$M89-$A$15,BC$13)="",10^12,OFFSET(PLE!$G$15,$M89-$A$15,BC$13)))</f>
        <v>0</v>
      </c>
      <c r="BD89" s="172" cm="1">
        <f t="array" aca="1" ref="BD89" ca="1">IF(OR($D89&lt;&gt;"Serviço",AND(AUTOEVENTO="Manual",$M89=$A$15),$M89&gt;(ROW(PLE.lastrow)-ROW(PLE.firstrow))),0,
           IF(OFFSET(PLE!$G$15,$M89-$A$15,BD$13)="",10^12,OFFSET(PLE!$G$15,$M89-$A$15,BD$13)))</f>
        <v>0</v>
      </c>
      <c r="BE89" s="172" cm="1">
        <f t="array" aca="1" ref="BE89" ca="1">IF(OR($D89&lt;&gt;"Serviço",AND(AUTOEVENTO="Manual",$M89=$A$15),$M89&gt;(ROW(PLE.lastrow)-ROW(PLE.firstrow))),0,
           IF(OFFSET(PLE!$G$15,$M89-$A$15,BE$13)="",10^12,OFFSET(PLE!$G$15,$M89-$A$15,BE$13)))</f>
        <v>0</v>
      </c>
      <c r="BF89" s="172" cm="1">
        <f t="array" aca="1" ref="BF89" ca="1">IF(OR($D89&lt;&gt;"Serviço",AND(AUTOEVENTO="Manual",$M89=$A$15),$M89&gt;(ROW(PLE.lastrow)-ROW(PLE.firstrow))),0,
           IF(OFFSET(PLE!$G$15,$M89-$A$15,BF$13)="",10^12,OFFSET(PLE!$G$15,$M89-$A$15,BF$13)))</f>
        <v>0</v>
      </c>
      <c r="BG89" s="172" cm="1">
        <f t="array" aca="1" ref="BG89" ca="1">IF(OR($D89&lt;&gt;"Serviço",AND(AUTOEVENTO="Manual",$M89=$A$15),$M89&gt;(ROW(PLE.lastrow)-ROW(PLE.firstrow))),0,
           IF(OFFSET(PLE!$G$15,$M89-$A$15,BG$13)="",10^12,OFFSET(PLE!$G$15,$M89-$A$15,BG$13)))</f>
        <v>0</v>
      </c>
    </row>
    <row r="90" spans="1:59" ht="12.75" customHeight="1" x14ac:dyDescent="0.2">
      <c r="A90" s="7">
        <f t="shared" ca="1" si="12"/>
        <v>10</v>
      </c>
      <c r="B90" s="7" t="str">
        <f ca="1">OFFSET(ORÇAMENTO!C$15,$L90,0)</f>
        <v>S</v>
      </c>
      <c r="C90" s="7" t="str">
        <f ca="1">OFFSET(ORÇAMENTO!L$15,$L90,0)</f>
        <v>F</v>
      </c>
      <c r="D90" s="116" t="str">
        <f ca="1">OFFSET(ORÇAMENTO!N$15,$L90,0)</f>
        <v>Serviço</v>
      </c>
      <c r="E90" s="117" t="str">
        <f ca="1">OFFSET(ORÇAMENTO!O$15,$L90,0)</f>
        <v>1.10.0.1.</v>
      </c>
      <c r="F90" s="163" t="str">
        <f ca="1">OFFSET(ORÇAMENTO!R$15,$L90,0)</f>
        <v>(Código não identificado nas referências)</v>
      </c>
      <c r="G90" s="164" t="str">
        <f ca="1">IF($D90&lt;&gt;"Serviço","",OFFSET(ORÇAMENTO!S$15,$L90,0))</f>
        <v>-</v>
      </c>
      <c r="H90" s="122" cm="1">
        <f t="array" aca="1" ref="H90" ca="1">IF($D90&lt;&gt;"Serviço",0,IF(ACOMPANHAMENTO="BM",ROUND(OFFSET(ORÇAMENTO!AJ$15,$L90,0),15-13*ORÇAMENTO!$AF$7),IF(IFERROR(CÁLCULO.FrentesPreenchidas,0)=0,0,SUM(ROUND(OFFSET($P90,0,1,1,CÁLCULO.FrentesPreenchidas),15-13*ORÇAMENTO!$AF$7)))))</f>
        <v>2822.1800000000003</v>
      </c>
      <c r="I90" s="468" t="s">
        <v>1090</v>
      </c>
      <c r="J90" s="651" t="str" cm="1">
        <f t="array" aca="1" ref="J90" ca="1">IF(OR(B90&lt;&gt;"S",CÁLCULO.FrentesPreenchidas=0),"",IF(AND(ACOMPANHAMENTO="PLE",AUTOEVENTO="Manual",OR(H90&gt;0,ORÇAMENTO!AC90="QUANT."),OR(K90="",M90=0,N90="")),"►E",IF(AND(ACOMPANHAMENTO="PLE",ORÇAMENTO!AC90="QUANT."),"►Q",IF(AND(ACOMPANHAMENTO="PLE",H90&lt;&gt;SUMPRODUCT(($Q$1:$AA$1=1)*ROUND(Q90:AA90,15))),"►S",IF(AND(COUNTIF($P$11:$AA$11,"▼")=0,H90&gt;0,I90=""),"◄M","")))))</f>
        <v/>
      </c>
      <c r="K90" s="652" t="s">
        <v>1102</v>
      </c>
      <c r="L90" s="165">
        <f t="shared" ca="1" si="13"/>
        <v>75</v>
      </c>
      <c r="M90" s="166">
        <f ca="1">IF($D90&lt;&gt;"Serviço","",
          IF(AUTOEVENTO="manual",$A90,
                IF(ISERROR(MATCH($A90,$A$15:OFFSET($A90,-1,0),0)),MAX($M$15:OFFSET(M90,-1,0))+1,
                      INDEX($M$15:OFFSET(M90,-1,0),MATCH($A90,$A$15:OFFSET($A90,-1,0),0)))))</f>
        <v>10</v>
      </c>
      <c r="N90" s="167" t="str">
        <f ca="1">IF($D90&lt;&gt;"Serviço","",
         IF(AUTOEVENTO="Manual",
                IF($A90=0,"&lt;-- defina o número do agrupador",
                       OFFSET(EVENTOS!$D$15,$A90-$A$15,0)),
                OFFSET($F$15,$A90,0)))</f>
        <v>REDE ELÉTRICA (EXTENSÃO)</v>
      </c>
      <c r="O90" s="168"/>
      <c r="Q90" s="168"/>
      <c r="R90" s="169">
        <v>564.44000000000005</v>
      </c>
      <c r="S90" s="169">
        <v>564.44000000000005</v>
      </c>
      <c r="T90" s="169">
        <v>564.44000000000005</v>
      </c>
      <c r="U90" s="169">
        <v>564.44000000000005</v>
      </c>
      <c r="V90" s="169">
        <v>564.41999999999996</v>
      </c>
      <c r="W90" s="169"/>
      <c r="X90" s="169"/>
      <c r="Y90" s="169"/>
      <c r="Z90" s="170"/>
      <c r="AB90" s="453">
        <f ca="1">IF(AND($D90="Serviço",AB$12&lt;&gt;0,$H90&gt;0,OR(AUTOEVENTO&lt;&gt;"manual",$M90&lt;&gt;$A$15)),
        IF(Import.TipoArredondamento&lt;&gt;"TransfereGOV",
              ROUND(OFFSET($P90,0,AB$13),15-13*ORÇAMENTO!$AF$7)/$H90*OFFSET(ORÇAMENTO!$X$15,ROW(AB90)-ROW(AB$15),0),
              ROUND(ROUND(OFFSET($P90,0,AB$13),15-13*ORÇAMENTO!$AF$7)*OFFSET(ORÇAMENTO!$W$15,ROW(AB90)-ROW(AB$15),0),15-13*ORÇAMENTO!$AF$11)),
         0)</f>
        <v>0</v>
      </c>
      <c r="AC90" s="453">
        <f ca="1">IF(AND($D90="Serviço",AC$12&lt;&gt;0,$H90&gt;0,OR(AUTOEVENTO&lt;&gt;"manual",$M90&lt;&gt;$A$15)),
        IF(Import.TipoArredondamento&lt;&gt;"TransfereGOV",
              ROUND(OFFSET($P90,0,AC$13),15-13*ORÇAMENTO!$AF$7)/$H90*OFFSET(ORÇAMENTO!$X$15,ROW(AC90)-ROW(AC$15),0),
              ROUND(ROUND(OFFSET($P90,0,AC$13),15-13*ORÇAMENTO!$AF$7)*OFFSET(ORÇAMENTO!$W$15,ROW(AC90)-ROW(AC$15),0),15-13*ORÇAMENTO!$AF$11)),
         0)</f>
        <v>17017.87</v>
      </c>
      <c r="AD90" s="453">
        <f ca="1">IF(AND($D90="Serviço",AD$12&lt;&gt;0,$H90&gt;0,OR(AUTOEVENTO&lt;&gt;"manual",$M90&lt;&gt;$A$15)),
        IF(Import.TipoArredondamento&lt;&gt;"TransfereGOV",
              ROUND(OFFSET($P90,0,AD$13),15-13*ORÇAMENTO!$AF$7)/$H90*OFFSET(ORÇAMENTO!$X$15,ROW(AD90)-ROW(AD$15),0),
              ROUND(ROUND(OFFSET($P90,0,AD$13),15-13*ORÇAMENTO!$AF$7)*OFFSET(ORÇAMENTO!$W$15,ROW(AD90)-ROW(AD$15),0),15-13*ORÇAMENTO!$AF$11)),
         0)</f>
        <v>17017.87</v>
      </c>
      <c r="AE90" s="453">
        <f ca="1">IF(AND($D90="Serviço",AE$12&lt;&gt;0,$H90&gt;0,OR(AUTOEVENTO&lt;&gt;"manual",$M90&lt;&gt;$A$15)),
        IF(Import.TipoArredondamento&lt;&gt;"TransfereGOV",
              ROUND(OFFSET($P90,0,AE$13),15-13*ORÇAMENTO!$AF$7)/$H90*OFFSET(ORÇAMENTO!$X$15,ROW(AE90)-ROW(AE$15),0),
              ROUND(ROUND(OFFSET($P90,0,AE$13),15-13*ORÇAMENTO!$AF$7)*OFFSET(ORÇAMENTO!$W$15,ROW(AE90)-ROW(AE$15),0),15-13*ORÇAMENTO!$AF$11)),
         0)</f>
        <v>17017.87</v>
      </c>
      <c r="AF90" s="453">
        <f ca="1">IF(AND($D90="Serviço",AF$12&lt;&gt;0,$H90&gt;0,OR(AUTOEVENTO&lt;&gt;"manual",$M90&lt;&gt;$A$15)),
        IF(Import.TipoArredondamento&lt;&gt;"TransfereGOV",
              ROUND(OFFSET($P90,0,AF$13),15-13*ORÇAMENTO!$AF$7)/$H90*OFFSET(ORÇAMENTO!$X$15,ROW(AF90)-ROW(AF$15),0),
              ROUND(ROUND(OFFSET($P90,0,AF$13),15-13*ORÇAMENTO!$AF$7)*OFFSET(ORÇAMENTO!$W$15,ROW(AF90)-ROW(AF$15),0),15-13*ORÇAMENTO!$AF$11)),
         0)</f>
        <v>17017.87</v>
      </c>
      <c r="AG90" s="453">
        <f ca="1">IF(AND($D90="Serviço",AG$12&lt;&gt;0,$H90&gt;0,OR(AUTOEVENTO&lt;&gt;"manual",$M90&lt;&gt;$A$15)),
        IF(Import.TipoArredondamento&lt;&gt;"TransfereGOV",
              ROUND(OFFSET($P90,0,AG$13),15-13*ORÇAMENTO!$AF$7)/$H90*OFFSET(ORÇAMENTO!$X$15,ROW(AG90)-ROW(AG$15),0),
              ROUND(ROUND(OFFSET($P90,0,AG$13),15-13*ORÇAMENTO!$AF$7)*OFFSET(ORÇAMENTO!$W$15,ROW(AG90)-ROW(AG$15),0),15-13*ORÇAMENTO!$AF$11)),
         0)</f>
        <v>17017.259999999998</v>
      </c>
      <c r="AH90" s="453">
        <f ca="1">IF(AND($D90="Serviço",AH$12&lt;&gt;0,$H90&gt;0,OR(AUTOEVENTO&lt;&gt;"manual",$M90&lt;&gt;$A$15)),
        IF(Import.TipoArredondamento&lt;&gt;"TransfereGOV",
              ROUND(OFFSET($P90,0,AH$13),15-13*ORÇAMENTO!$AF$7)/$H90*OFFSET(ORÇAMENTO!$X$15,ROW(AH90)-ROW(AH$15),0),
              ROUND(ROUND(OFFSET($P90,0,AH$13),15-13*ORÇAMENTO!$AF$7)*OFFSET(ORÇAMENTO!$W$15,ROW(AH90)-ROW(AH$15),0),15-13*ORÇAMENTO!$AF$11)),
         0)</f>
        <v>0</v>
      </c>
      <c r="AI90" s="453">
        <f ca="1">IF(AND($D90="Serviço",AI$12&lt;&gt;0,$H90&gt;0,OR(AUTOEVENTO&lt;&gt;"manual",$M90&lt;&gt;$A$15)),
        IF(Import.TipoArredondamento&lt;&gt;"TransfereGOV",
              ROUND(OFFSET($P90,0,AI$13),15-13*ORÇAMENTO!$AF$7)/$H90*OFFSET(ORÇAMENTO!$X$15,ROW(AI90)-ROW(AI$15),0),
              ROUND(ROUND(OFFSET($P90,0,AI$13),15-13*ORÇAMENTO!$AF$7)*OFFSET(ORÇAMENTO!$W$15,ROW(AI90)-ROW(AI$15),0),15-13*ORÇAMENTO!$AF$11)),
         0)</f>
        <v>0</v>
      </c>
      <c r="AJ90" s="453">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3">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M90" s="171">
        <f ca="1">IF(OR($D90&lt;&gt;"Serviço",AND(AUTOEVENTO="Manual",$M90=$A$15)),0,
         IF(OFFSET(CRONOPLE!$F$15,$M90-$A$15,AM$13)=0,10^12,OFFSET(CRONOPLE!$F$15,$M90-$A$15,AM$13)))</f>
        <v>1000000000000</v>
      </c>
      <c r="AN90" s="171">
        <f ca="1">IF(OR($D90&lt;&gt;"Serviço",AND(AUTOEVENTO="Manual",$M90=$A$15)),0,
         IF(OFFSET(CRONOPLE!$F$15,$M90-$A$15,AN$13)=0,10^12,OFFSET(CRONOPLE!$F$15,$M90-$A$15,AN$13)))</f>
        <v>2</v>
      </c>
      <c r="AO90" s="171">
        <f ca="1">IF(OR($D90&lt;&gt;"Serviço",AND(AUTOEVENTO="Manual",$M90=$A$15)),0,
         IF(OFFSET(CRONOPLE!$F$15,$M90-$A$15,AO$13)=0,10^12,OFFSET(CRONOPLE!$F$15,$M90-$A$15,AO$13)))</f>
        <v>3</v>
      </c>
      <c r="AP90" s="171">
        <f ca="1">IF(OR($D90&lt;&gt;"Serviço",AND(AUTOEVENTO="Manual",$M90=$A$15)),0,
         IF(OFFSET(CRONOPLE!$F$15,$M90-$A$15,AP$13)=0,10^12,OFFSET(CRONOPLE!$F$15,$M90-$A$15,AP$13)))</f>
        <v>4</v>
      </c>
      <c r="AQ90" s="171">
        <f ca="1">IF(OR($D90&lt;&gt;"Serviço",AND(AUTOEVENTO="Manual",$M90=$A$15)),0,
         IF(OFFSET(CRONOPLE!$F$15,$M90-$A$15,AQ$13)=0,10^12,OFFSET(CRONOPLE!$F$15,$M90-$A$15,AQ$13)))</f>
        <v>5</v>
      </c>
      <c r="AR90" s="171">
        <f ca="1">IF(OR($D90&lt;&gt;"Serviço",AND(AUTOEVENTO="Manual",$M90=$A$15)),0,
         IF(OFFSET(CRONOPLE!$F$15,$M90-$A$15,AR$13)=0,10^12,OFFSET(CRONOPLE!$F$15,$M90-$A$15,AR$13)))</f>
        <v>6</v>
      </c>
      <c r="AS90" s="171">
        <f ca="1">IF(OR($D90&lt;&gt;"Serviço",AND(AUTOEVENTO="Manual",$M90=$A$15)),0,
         IF(OFFSET(CRONOPLE!$F$15,$M90-$A$15,AS$13)=0,10^12,OFFSET(CRONOPLE!$F$15,$M90-$A$15,AS$13)))</f>
        <v>1000000000000</v>
      </c>
      <c r="AT90" s="171">
        <f ca="1">IF(OR($D90&lt;&gt;"Serviço",AND(AUTOEVENTO="Manual",$M90=$A$15)),0,
         IF(OFFSET(CRONOPLE!$F$15,$M90-$A$15,AT$13)=0,10^12,OFFSET(CRONOPLE!$F$15,$M90-$A$15,AT$13)))</f>
        <v>1000000000000</v>
      </c>
      <c r="AU90" s="171">
        <f ca="1">IF(OR($D90&lt;&gt;"Serviço",AND(AUTOEVENTO="Manual",$M90=$A$15)),0,
         IF(OFFSET(CRONOPLE!$F$15,$M90-$A$15,AU$13)=0,10^12,OFFSET(CRONOPLE!$F$15,$M90-$A$15,AU$13)))</f>
        <v>1000000000000</v>
      </c>
      <c r="AV90" s="171">
        <f ca="1">IF(OR($D90&lt;&gt;"Serviço",AND(AUTOEVENTO="Manual",$M90=$A$15)),0,
         IF(OFFSET(CRONOPLE!$F$15,$M90-$A$15,AV$13)=0,10^12,OFFSET(CRONOPLE!$F$15,$M90-$A$15,AV$13)))</f>
        <v>1000000000000</v>
      </c>
      <c r="AX90" s="172" cm="1">
        <f t="array" aca="1" ref="AX90" ca="1">IF(OR($D90&lt;&gt;"Serviço",AND(AUTOEVENTO="Manual",$M90=$A$15),$M90&gt;(ROW(PLE.lastrow)-ROW(PLE.firstrow))),0,
           IF(OFFSET(PLE!$G$15,$M90-$A$15,AX$13)="",10^12,OFFSET(PLE!$G$15,$M90-$A$15,AX$13)))</f>
        <v>1000000000000</v>
      </c>
      <c r="AY90" s="172" cm="1">
        <f t="array" aca="1" ref="AY90" ca="1">IF(OR($D90&lt;&gt;"Serviço",AND(AUTOEVENTO="Manual",$M90=$A$15),$M90&gt;(ROW(PLE.lastrow)-ROW(PLE.firstrow))),0,
           IF(OFFSET(PLE!$G$15,$M90-$A$15,AY$13)="",10^12,OFFSET(PLE!$G$15,$M90-$A$15,AY$13)))</f>
        <v>1000000000000</v>
      </c>
      <c r="AZ90" s="172" cm="1">
        <f t="array" aca="1" ref="AZ90" ca="1">IF(OR($D90&lt;&gt;"Serviço",AND(AUTOEVENTO="Manual",$M90=$A$15),$M90&gt;(ROW(PLE.lastrow)-ROW(PLE.firstrow))),0,
           IF(OFFSET(PLE!$G$15,$M90-$A$15,AZ$13)="",10^12,OFFSET(PLE!$G$15,$M90-$A$15,AZ$13)))</f>
        <v>1000000000000</v>
      </c>
      <c r="BA90" s="172" cm="1">
        <f t="array" aca="1" ref="BA90" ca="1">IF(OR($D90&lt;&gt;"Serviço",AND(AUTOEVENTO="Manual",$M90=$A$15),$M90&gt;(ROW(PLE.lastrow)-ROW(PLE.firstrow))),0,
           IF(OFFSET(PLE!$G$15,$M90-$A$15,BA$13)="",10^12,OFFSET(PLE!$G$15,$M90-$A$15,BA$13)))</f>
        <v>1000000000000</v>
      </c>
      <c r="BB90" s="172" cm="1">
        <f t="array" aca="1" ref="BB90" ca="1">IF(OR($D90&lt;&gt;"Serviço",AND(AUTOEVENTO="Manual",$M90=$A$15),$M90&gt;(ROW(PLE.lastrow)-ROW(PLE.firstrow))),0,
           IF(OFFSET(PLE!$G$15,$M90-$A$15,BB$13)="",10^12,OFFSET(PLE!$G$15,$M90-$A$15,BB$13)))</f>
        <v>1000000000000</v>
      </c>
      <c r="BC90" s="172" cm="1">
        <f t="array" aca="1" ref="BC90" ca="1">IF(OR($D90&lt;&gt;"Serviço",AND(AUTOEVENTO="Manual",$M90=$A$15),$M90&gt;(ROW(PLE.lastrow)-ROW(PLE.firstrow))),0,
           IF(OFFSET(PLE!$G$15,$M90-$A$15,BC$13)="",10^12,OFFSET(PLE!$G$15,$M90-$A$15,BC$13)))</f>
        <v>1000000000000</v>
      </c>
      <c r="BD90" s="172" cm="1">
        <f t="array" aca="1" ref="BD90" ca="1">IF(OR($D90&lt;&gt;"Serviço",AND(AUTOEVENTO="Manual",$M90=$A$15),$M90&gt;(ROW(PLE.lastrow)-ROW(PLE.firstrow))),0,
           IF(OFFSET(PLE!$G$15,$M90-$A$15,BD$13)="",10^12,OFFSET(PLE!$G$15,$M90-$A$15,BD$13)))</f>
        <v>1000000000000</v>
      </c>
      <c r="BE90" s="172" cm="1">
        <f t="array" aca="1" ref="BE90" ca="1">IF(OR($D90&lt;&gt;"Serviço",AND(AUTOEVENTO="Manual",$M90=$A$15),$M90&gt;(ROW(PLE.lastrow)-ROW(PLE.firstrow))),0,
           IF(OFFSET(PLE!$G$15,$M90-$A$15,BE$13)="",10^12,OFFSET(PLE!$G$15,$M90-$A$15,BE$13)))</f>
        <v>1000000000000</v>
      </c>
      <c r="BF90" s="172" cm="1">
        <f t="array" aca="1" ref="BF90" ca="1">IF(OR($D90&lt;&gt;"Serviço",AND(AUTOEVENTO="Manual",$M90=$A$15),$M90&gt;(ROW(PLE.lastrow)-ROW(PLE.firstrow))),0,
           IF(OFFSET(PLE!$G$15,$M90-$A$15,BF$13)="",10^12,OFFSET(PLE!$G$15,$M90-$A$15,BF$13)))</f>
        <v>1000000000000</v>
      </c>
      <c r="BG90" s="172" cm="1">
        <f t="array" aca="1" ref="BG90" ca="1">IF(OR($D90&lt;&gt;"Serviço",AND(AUTOEVENTO="Manual",$M90=$A$15),$M90&gt;(ROW(PLE.lastrow)-ROW(PLE.firstrow))),0,
           IF(OFFSET(PLE!$G$15,$M90-$A$15,BG$13)="",10^12,OFFSET(PLE!$G$15,$M90-$A$15,BG$13)))</f>
        <v>1000000000000</v>
      </c>
    </row>
    <row r="91" spans="1:59" ht="25.5" x14ac:dyDescent="0.2">
      <c r="A91" s="7">
        <f t="shared" ca="1" si="12"/>
        <v>10</v>
      </c>
      <c r="B91" s="7" t="str">
        <f ca="1">OFFSET(ORÇAMENTO!C$15,$L91,0)</f>
        <v>S</v>
      </c>
      <c r="C91" s="7" t="str">
        <f ca="1">OFFSET(ORÇAMENTO!L$15,$L91,0)</f>
        <v>F</v>
      </c>
      <c r="D91" s="116" t="str">
        <f ca="1">OFFSET(ORÇAMENTO!N$15,$L91,0)</f>
        <v>Serviço</v>
      </c>
      <c r="E91" s="117" t="str">
        <f ca="1">OFFSET(ORÇAMENTO!O$15,$L91,0)</f>
        <v>1.10.0.2.</v>
      </c>
      <c r="F91" s="163" t="str">
        <f ca="1">OFFSET(ORÇAMENTO!R$15,$L91,0)</f>
        <v>(Código não identificado nas referências)</v>
      </c>
      <c r="G91" s="164" t="str">
        <f ca="1">IF($D91&lt;&gt;"Serviço","",OFFSET(ORÇAMENTO!S$15,$L91,0))</f>
        <v>UN</v>
      </c>
      <c r="H91" s="122" cm="1">
        <f t="array" aca="1" ref="H91" ca="1">IF($D91&lt;&gt;"Serviço",0,IF(ACOMPANHAMENTO="BM",ROUND(OFFSET(ORÇAMENTO!AJ$15,$L91,0),15-13*ORÇAMENTO!$AF$7),IF(IFERROR(CÁLCULO.FrentesPreenchidas,0)=0,0,SUM(ROUND(OFFSET($P91,0,1,1,CÁLCULO.FrentesPreenchidas),15-13*ORÇAMENTO!$AF$7)))))</f>
        <v>20</v>
      </c>
      <c r="I91" s="468" t="s">
        <v>1100</v>
      </c>
      <c r="J91" s="651" t="str" cm="1">
        <f t="array" aca="1" ref="J91" ca="1">IF(OR(B91&lt;&gt;"S",CÁLCULO.FrentesPreenchidas=0),"",IF(AND(ACOMPANHAMENTO="PLE",AUTOEVENTO="Manual",OR(H91&gt;0,ORÇAMENTO!AC91="QUANT."),OR(K91="",M91=0,N91="")),"►E",IF(AND(ACOMPANHAMENTO="PLE",ORÇAMENTO!AC91="QUANT."),"►Q",IF(AND(ACOMPANHAMENTO="PLE",H91&lt;&gt;SUMPRODUCT(($Q$1:$AA$1=1)*ROUND(Q91:AA91,15))),"►S",IF(AND(COUNTIF($P$11:$AA$11,"▼")=0,H91&gt;0,I91=""),"◄M","")))))</f>
        <v/>
      </c>
      <c r="K91" s="652" t="s">
        <v>1102</v>
      </c>
      <c r="L91" s="165">
        <f t="shared" ca="1" si="13"/>
        <v>76</v>
      </c>
      <c r="M91" s="166">
        <f ca="1">IF($D91&lt;&gt;"Serviço","",
          IF(AUTOEVENTO="manual",$A91,
                IF(ISERROR(MATCH($A91,$A$15:OFFSET($A91,-1,0),0)),MAX($M$15:OFFSET(M91,-1,0))+1,
                      INDEX($M$15:OFFSET(M91,-1,0),MATCH($A91,$A$15:OFFSET($A91,-1,0),0)))))</f>
        <v>10</v>
      </c>
      <c r="N91" s="167" t="str">
        <f ca="1">IF($D91&lt;&gt;"Serviço","",
         IF(AUTOEVENTO="Manual",
                IF($A91=0,"&lt;-- defina o número do agrupador",
                       OFFSET(EVENTOS!$D$15,$A91-$A$15,0)),
                OFFSET($F$15,$A91,0)))</f>
        <v>REDE ELÉTRICA (EXTENSÃO)</v>
      </c>
      <c r="O91" s="168"/>
      <c r="Q91" s="168"/>
      <c r="R91" s="169">
        <v>4</v>
      </c>
      <c r="S91" s="169">
        <v>4</v>
      </c>
      <c r="T91" s="169">
        <v>4</v>
      </c>
      <c r="U91" s="169">
        <v>4</v>
      </c>
      <c r="V91" s="169">
        <v>4</v>
      </c>
      <c r="W91" s="169"/>
      <c r="X91" s="169"/>
      <c r="Y91" s="169"/>
      <c r="Z91" s="170"/>
      <c r="AB91" s="453">
        <f ca="1">IF(AND($D91="Serviço",AB$12&lt;&gt;0,$H91&gt;0,OR(AUTOEVENTO&lt;&gt;"manual",$M91&lt;&gt;$A$15)),
        IF(Import.TipoArredondamento&lt;&gt;"TransfereGOV",
              ROUND(OFFSET($P91,0,AB$13),15-13*ORÇAMENTO!$AF$7)/$H91*OFFSET(ORÇAMENTO!$X$15,ROW(AB91)-ROW(AB$15),0),
              ROUND(ROUND(OFFSET($P91,0,AB$13),15-13*ORÇAMENTO!$AF$7)*OFFSET(ORÇAMENTO!$W$15,ROW(AB91)-ROW(AB$15),0),15-13*ORÇAMENTO!$AF$11)),
         0)</f>
        <v>0</v>
      </c>
      <c r="AC91" s="453">
        <f ca="1">IF(AND($D91="Serviço",AC$12&lt;&gt;0,$H91&gt;0,OR(AUTOEVENTO&lt;&gt;"manual",$M91&lt;&gt;$A$15)),
        IF(Import.TipoArredondamento&lt;&gt;"TransfereGOV",
              ROUND(OFFSET($P91,0,AC$13),15-13*ORÇAMENTO!$AF$7)/$H91*OFFSET(ORÇAMENTO!$X$15,ROW(AC91)-ROW(AC$15),0),
              ROUND(ROUND(OFFSET($P91,0,AC$13),15-13*ORÇAMENTO!$AF$7)*OFFSET(ORÇAMENTO!$W$15,ROW(AC91)-ROW(AC$15),0),15-13*ORÇAMENTO!$AF$11)),
         0)</f>
        <v>24778.48</v>
      </c>
      <c r="AD91" s="453">
        <f ca="1">IF(AND($D91="Serviço",AD$12&lt;&gt;0,$H91&gt;0,OR(AUTOEVENTO&lt;&gt;"manual",$M91&lt;&gt;$A$15)),
        IF(Import.TipoArredondamento&lt;&gt;"TransfereGOV",
              ROUND(OFFSET($P91,0,AD$13),15-13*ORÇAMENTO!$AF$7)/$H91*OFFSET(ORÇAMENTO!$X$15,ROW(AD91)-ROW(AD$15),0),
              ROUND(ROUND(OFFSET($P91,0,AD$13),15-13*ORÇAMENTO!$AF$7)*OFFSET(ORÇAMENTO!$W$15,ROW(AD91)-ROW(AD$15),0),15-13*ORÇAMENTO!$AF$11)),
         0)</f>
        <v>24778.48</v>
      </c>
      <c r="AE91" s="453">
        <f ca="1">IF(AND($D91="Serviço",AE$12&lt;&gt;0,$H91&gt;0,OR(AUTOEVENTO&lt;&gt;"manual",$M91&lt;&gt;$A$15)),
        IF(Import.TipoArredondamento&lt;&gt;"TransfereGOV",
              ROUND(OFFSET($P91,0,AE$13),15-13*ORÇAMENTO!$AF$7)/$H91*OFFSET(ORÇAMENTO!$X$15,ROW(AE91)-ROW(AE$15),0),
              ROUND(ROUND(OFFSET($P91,0,AE$13),15-13*ORÇAMENTO!$AF$7)*OFFSET(ORÇAMENTO!$W$15,ROW(AE91)-ROW(AE$15),0),15-13*ORÇAMENTO!$AF$11)),
         0)</f>
        <v>24778.48</v>
      </c>
      <c r="AF91" s="453">
        <f ca="1">IF(AND($D91="Serviço",AF$12&lt;&gt;0,$H91&gt;0,OR(AUTOEVENTO&lt;&gt;"manual",$M91&lt;&gt;$A$15)),
        IF(Import.TipoArredondamento&lt;&gt;"TransfereGOV",
              ROUND(OFFSET($P91,0,AF$13),15-13*ORÇAMENTO!$AF$7)/$H91*OFFSET(ORÇAMENTO!$X$15,ROW(AF91)-ROW(AF$15),0),
              ROUND(ROUND(OFFSET($P91,0,AF$13),15-13*ORÇAMENTO!$AF$7)*OFFSET(ORÇAMENTO!$W$15,ROW(AF91)-ROW(AF$15),0),15-13*ORÇAMENTO!$AF$11)),
         0)</f>
        <v>24778.48</v>
      </c>
      <c r="AG91" s="453">
        <f ca="1">IF(AND($D91="Serviço",AG$12&lt;&gt;0,$H91&gt;0,OR(AUTOEVENTO&lt;&gt;"manual",$M91&lt;&gt;$A$15)),
        IF(Import.TipoArredondamento&lt;&gt;"TransfereGOV",
              ROUND(OFFSET($P91,0,AG$13),15-13*ORÇAMENTO!$AF$7)/$H91*OFFSET(ORÇAMENTO!$X$15,ROW(AG91)-ROW(AG$15),0),
              ROUND(ROUND(OFFSET($P91,0,AG$13),15-13*ORÇAMENTO!$AF$7)*OFFSET(ORÇAMENTO!$W$15,ROW(AG91)-ROW(AG$15),0),15-13*ORÇAMENTO!$AF$11)),
         0)</f>
        <v>24778.48</v>
      </c>
      <c r="AH91" s="453">
        <f ca="1">IF(AND($D91="Serviço",AH$12&lt;&gt;0,$H91&gt;0,OR(AUTOEVENTO&lt;&gt;"manual",$M91&lt;&gt;$A$15)),
        IF(Import.TipoArredondamento&lt;&gt;"TransfereGOV",
              ROUND(OFFSET($P91,0,AH$13),15-13*ORÇAMENTO!$AF$7)/$H91*OFFSET(ORÇAMENTO!$X$15,ROW(AH91)-ROW(AH$15),0),
              ROUND(ROUND(OFFSET($P91,0,AH$13),15-13*ORÇAMENTO!$AF$7)*OFFSET(ORÇAMENTO!$W$15,ROW(AH91)-ROW(AH$15),0),15-13*ORÇAMENTO!$AF$11)),
         0)</f>
        <v>0</v>
      </c>
      <c r="AI91" s="453">
        <f ca="1">IF(AND($D91="Serviço",AI$12&lt;&gt;0,$H91&gt;0,OR(AUTOEVENTO&lt;&gt;"manual",$M91&lt;&gt;$A$15)),
        IF(Import.TipoArredondamento&lt;&gt;"TransfereGOV",
              ROUND(OFFSET($P91,0,AI$13),15-13*ORÇAMENTO!$AF$7)/$H91*OFFSET(ORÇAMENTO!$X$15,ROW(AI91)-ROW(AI$15),0),
              ROUND(ROUND(OFFSET($P91,0,AI$13),15-13*ORÇAMENTO!$AF$7)*OFFSET(ORÇAMENTO!$W$15,ROW(AI91)-ROW(AI$15),0),15-13*ORÇAMENTO!$AF$11)),
         0)</f>
        <v>0</v>
      </c>
      <c r="AJ91" s="453">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3">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M91" s="171">
        <f ca="1">IF(OR($D91&lt;&gt;"Serviço",AND(AUTOEVENTO="Manual",$M91=$A$15)),0,
         IF(OFFSET(CRONOPLE!$F$15,$M91-$A$15,AM$13)=0,10^12,OFFSET(CRONOPLE!$F$15,$M91-$A$15,AM$13)))</f>
        <v>1000000000000</v>
      </c>
      <c r="AN91" s="171">
        <f ca="1">IF(OR($D91&lt;&gt;"Serviço",AND(AUTOEVENTO="Manual",$M91=$A$15)),0,
         IF(OFFSET(CRONOPLE!$F$15,$M91-$A$15,AN$13)=0,10^12,OFFSET(CRONOPLE!$F$15,$M91-$A$15,AN$13)))</f>
        <v>2</v>
      </c>
      <c r="AO91" s="171">
        <f ca="1">IF(OR($D91&lt;&gt;"Serviço",AND(AUTOEVENTO="Manual",$M91=$A$15)),0,
         IF(OFFSET(CRONOPLE!$F$15,$M91-$A$15,AO$13)=0,10^12,OFFSET(CRONOPLE!$F$15,$M91-$A$15,AO$13)))</f>
        <v>3</v>
      </c>
      <c r="AP91" s="171">
        <f ca="1">IF(OR($D91&lt;&gt;"Serviço",AND(AUTOEVENTO="Manual",$M91=$A$15)),0,
         IF(OFFSET(CRONOPLE!$F$15,$M91-$A$15,AP$13)=0,10^12,OFFSET(CRONOPLE!$F$15,$M91-$A$15,AP$13)))</f>
        <v>4</v>
      </c>
      <c r="AQ91" s="171">
        <f ca="1">IF(OR($D91&lt;&gt;"Serviço",AND(AUTOEVENTO="Manual",$M91=$A$15)),0,
         IF(OFFSET(CRONOPLE!$F$15,$M91-$A$15,AQ$13)=0,10^12,OFFSET(CRONOPLE!$F$15,$M91-$A$15,AQ$13)))</f>
        <v>5</v>
      </c>
      <c r="AR91" s="171">
        <f ca="1">IF(OR($D91&lt;&gt;"Serviço",AND(AUTOEVENTO="Manual",$M91=$A$15)),0,
         IF(OFFSET(CRONOPLE!$F$15,$M91-$A$15,AR$13)=0,10^12,OFFSET(CRONOPLE!$F$15,$M91-$A$15,AR$13)))</f>
        <v>6</v>
      </c>
      <c r="AS91" s="171">
        <f ca="1">IF(OR($D91&lt;&gt;"Serviço",AND(AUTOEVENTO="Manual",$M91=$A$15)),0,
         IF(OFFSET(CRONOPLE!$F$15,$M91-$A$15,AS$13)=0,10^12,OFFSET(CRONOPLE!$F$15,$M91-$A$15,AS$13)))</f>
        <v>1000000000000</v>
      </c>
      <c r="AT91" s="171">
        <f ca="1">IF(OR($D91&lt;&gt;"Serviço",AND(AUTOEVENTO="Manual",$M91=$A$15)),0,
         IF(OFFSET(CRONOPLE!$F$15,$M91-$A$15,AT$13)=0,10^12,OFFSET(CRONOPLE!$F$15,$M91-$A$15,AT$13)))</f>
        <v>1000000000000</v>
      </c>
      <c r="AU91" s="171">
        <f ca="1">IF(OR($D91&lt;&gt;"Serviço",AND(AUTOEVENTO="Manual",$M91=$A$15)),0,
         IF(OFFSET(CRONOPLE!$F$15,$M91-$A$15,AU$13)=0,10^12,OFFSET(CRONOPLE!$F$15,$M91-$A$15,AU$13)))</f>
        <v>1000000000000</v>
      </c>
      <c r="AV91" s="171">
        <f ca="1">IF(OR($D91&lt;&gt;"Serviço",AND(AUTOEVENTO="Manual",$M91=$A$15)),0,
         IF(OFFSET(CRONOPLE!$F$15,$M91-$A$15,AV$13)=0,10^12,OFFSET(CRONOPLE!$F$15,$M91-$A$15,AV$13)))</f>
        <v>1000000000000</v>
      </c>
      <c r="AX91" s="172" cm="1">
        <f t="array" aca="1" ref="AX91" ca="1">IF(OR($D91&lt;&gt;"Serviço",AND(AUTOEVENTO="Manual",$M91=$A$15),$M91&gt;(ROW(PLE.lastrow)-ROW(PLE.firstrow))),0,
           IF(OFFSET(PLE!$G$15,$M91-$A$15,AX$13)="",10^12,OFFSET(PLE!$G$15,$M91-$A$15,AX$13)))</f>
        <v>1000000000000</v>
      </c>
      <c r="AY91" s="172" cm="1">
        <f t="array" aca="1" ref="AY91" ca="1">IF(OR($D91&lt;&gt;"Serviço",AND(AUTOEVENTO="Manual",$M91=$A$15),$M91&gt;(ROW(PLE.lastrow)-ROW(PLE.firstrow))),0,
           IF(OFFSET(PLE!$G$15,$M91-$A$15,AY$13)="",10^12,OFFSET(PLE!$G$15,$M91-$A$15,AY$13)))</f>
        <v>1000000000000</v>
      </c>
      <c r="AZ91" s="172" cm="1">
        <f t="array" aca="1" ref="AZ91" ca="1">IF(OR($D91&lt;&gt;"Serviço",AND(AUTOEVENTO="Manual",$M91=$A$15),$M91&gt;(ROW(PLE.lastrow)-ROW(PLE.firstrow))),0,
           IF(OFFSET(PLE!$G$15,$M91-$A$15,AZ$13)="",10^12,OFFSET(PLE!$G$15,$M91-$A$15,AZ$13)))</f>
        <v>1000000000000</v>
      </c>
      <c r="BA91" s="172" cm="1">
        <f t="array" aca="1" ref="BA91" ca="1">IF(OR($D91&lt;&gt;"Serviço",AND(AUTOEVENTO="Manual",$M91=$A$15),$M91&gt;(ROW(PLE.lastrow)-ROW(PLE.firstrow))),0,
           IF(OFFSET(PLE!$G$15,$M91-$A$15,BA$13)="",10^12,OFFSET(PLE!$G$15,$M91-$A$15,BA$13)))</f>
        <v>1000000000000</v>
      </c>
      <c r="BB91" s="172" cm="1">
        <f t="array" aca="1" ref="BB91" ca="1">IF(OR($D91&lt;&gt;"Serviço",AND(AUTOEVENTO="Manual",$M91=$A$15),$M91&gt;(ROW(PLE.lastrow)-ROW(PLE.firstrow))),0,
           IF(OFFSET(PLE!$G$15,$M91-$A$15,BB$13)="",10^12,OFFSET(PLE!$G$15,$M91-$A$15,BB$13)))</f>
        <v>1000000000000</v>
      </c>
      <c r="BC91" s="172" cm="1">
        <f t="array" aca="1" ref="BC91" ca="1">IF(OR($D91&lt;&gt;"Serviço",AND(AUTOEVENTO="Manual",$M91=$A$15),$M91&gt;(ROW(PLE.lastrow)-ROW(PLE.firstrow))),0,
           IF(OFFSET(PLE!$G$15,$M91-$A$15,BC$13)="",10^12,OFFSET(PLE!$G$15,$M91-$A$15,BC$13)))</f>
        <v>1000000000000</v>
      </c>
      <c r="BD91" s="172" cm="1">
        <f t="array" aca="1" ref="BD91" ca="1">IF(OR($D91&lt;&gt;"Serviço",AND(AUTOEVENTO="Manual",$M91=$A$15),$M91&gt;(ROW(PLE.lastrow)-ROW(PLE.firstrow))),0,
           IF(OFFSET(PLE!$G$15,$M91-$A$15,BD$13)="",10^12,OFFSET(PLE!$G$15,$M91-$A$15,BD$13)))</f>
        <v>1000000000000</v>
      </c>
      <c r="BE91" s="172" cm="1">
        <f t="array" aca="1" ref="BE91" ca="1">IF(OR($D91&lt;&gt;"Serviço",AND(AUTOEVENTO="Manual",$M91=$A$15),$M91&gt;(ROW(PLE.lastrow)-ROW(PLE.firstrow))),0,
           IF(OFFSET(PLE!$G$15,$M91-$A$15,BE$13)="",10^12,OFFSET(PLE!$G$15,$M91-$A$15,BE$13)))</f>
        <v>1000000000000</v>
      </c>
      <c r="BF91" s="172" cm="1">
        <f t="array" aca="1" ref="BF91" ca="1">IF(OR($D91&lt;&gt;"Serviço",AND(AUTOEVENTO="Manual",$M91=$A$15),$M91&gt;(ROW(PLE.lastrow)-ROW(PLE.firstrow))),0,
           IF(OFFSET(PLE!$G$15,$M91-$A$15,BF$13)="",10^12,OFFSET(PLE!$G$15,$M91-$A$15,BF$13)))</f>
        <v>1000000000000</v>
      </c>
      <c r="BG91" s="172" cm="1">
        <f t="array" aca="1" ref="BG91" ca="1">IF(OR($D91&lt;&gt;"Serviço",AND(AUTOEVENTO="Manual",$M91=$A$15),$M91&gt;(ROW(PLE.lastrow)-ROW(PLE.firstrow))),0,
           IF(OFFSET(PLE!$G$15,$M91-$A$15,BG$13)="",10^12,OFFSET(PLE!$G$15,$M91-$A$15,BG$13)))</f>
        <v>1000000000000</v>
      </c>
    </row>
    <row r="92" spans="1:59" ht="12.75" x14ac:dyDescent="0.2">
      <c r="A92" s="7">
        <f t="shared" ca="1" si="12"/>
        <v>10</v>
      </c>
      <c r="B92" s="7" t="str">
        <f ca="1">OFFSET(ORÇAMENTO!C$15,$L92,0)</f>
        <v>S</v>
      </c>
      <c r="C92" s="7" t="str">
        <f ca="1">OFFSET(ORÇAMENTO!L$15,$L92,0)</f>
        <v>F</v>
      </c>
      <c r="D92" s="116" t="str">
        <f ca="1">OFFSET(ORÇAMENTO!N$15,$L92,0)</f>
        <v>Serviço</v>
      </c>
      <c r="E92" s="117" t="str">
        <f ca="1">OFFSET(ORÇAMENTO!O$15,$L92,0)</f>
        <v>1.10.0.3.</v>
      </c>
      <c r="F92" s="163" t="str">
        <f ca="1">OFFSET(ORÇAMENTO!R$15,$L92,0)</f>
        <v>(Código não identificado nas referências)</v>
      </c>
      <c r="G92" s="164" t="str">
        <f ca="1">IF($D92&lt;&gt;"Serviço","",OFFSET(ORÇAMENTO!S$15,$L92,0))</f>
        <v>-</v>
      </c>
      <c r="H92" s="122" cm="1">
        <f t="array" aca="1" ref="H92" ca="1">IF($D92&lt;&gt;"Serviço",0,IF(ACOMPANHAMENTO="BM",ROUND(OFFSET(ORÇAMENTO!AJ$15,$L92,0),15-13*ORÇAMENTO!$AF$7),IF(IFERROR(CÁLCULO.FrentesPreenchidas,0)=0,0,SUM(ROUND(OFFSET($P92,0,1,1,CÁLCULO.FrentesPreenchidas),15-13*ORÇAMENTO!$AF$7)))))</f>
        <v>840</v>
      </c>
      <c r="I92" s="468" t="s">
        <v>1104</v>
      </c>
      <c r="J92" s="651" t="str" cm="1">
        <f t="array" aca="1" ref="J92" ca="1">IF(OR(B92&lt;&gt;"S",CÁLCULO.FrentesPreenchidas=0),"",IF(AND(ACOMPANHAMENTO="PLE",AUTOEVENTO="Manual",OR(H92&gt;0,ORÇAMENTO!AC92="QUANT."),OR(K92="",M92=0,N92="")),"►E",IF(AND(ACOMPANHAMENTO="PLE",ORÇAMENTO!AC92="QUANT."),"►Q",IF(AND(ACOMPANHAMENTO="PLE",H92&lt;&gt;SUMPRODUCT(($Q$1:$AA$1=1)*ROUND(Q92:AA92,15))),"►S",IF(AND(COUNTIF($P$11:$AA$11,"▼")=0,H92&gt;0,I92=""),"◄M","")))))</f>
        <v/>
      </c>
      <c r="K92" s="652" t="s">
        <v>1102</v>
      </c>
      <c r="L92" s="165">
        <f t="shared" ca="1" si="13"/>
        <v>77</v>
      </c>
      <c r="M92" s="166">
        <f ca="1">IF($D92&lt;&gt;"Serviço","",
          IF(AUTOEVENTO="manual",$A92,
                IF(ISERROR(MATCH($A92,$A$15:OFFSET($A92,-1,0),0)),MAX($M$15:OFFSET(M92,-1,0))+1,
                      INDEX($M$15:OFFSET(M92,-1,0),MATCH($A92,$A$15:OFFSET($A92,-1,0),0)))))</f>
        <v>10</v>
      </c>
      <c r="N92" s="167" t="str">
        <f ca="1">IF($D92&lt;&gt;"Serviço","",
         IF(AUTOEVENTO="Manual",
                IF($A92=0,"&lt;-- defina o número do agrupador",
                       OFFSET(EVENTOS!$D$15,$A92-$A$15,0)),
                OFFSET($F$15,$A92,0)))</f>
        <v>REDE ELÉTRICA (EXTENSÃO)</v>
      </c>
      <c r="O92" s="168"/>
      <c r="Q92" s="168"/>
      <c r="R92" s="169">
        <v>168</v>
      </c>
      <c r="S92" s="169">
        <v>168</v>
      </c>
      <c r="T92" s="169">
        <v>168</v>
      </c>
      <c r="U92" s="169">
        <v>168</v>
      </c>
      <c r="V92" s="169">
        <v>168</v>
      </c>
      <c r="W92" s="169"/>
      <c r="X92" s="169"/>
      <c r="Y92" s="169"/>
      <c r="Z92" s="170"/>
      <c r="AB92" s="453">
        <f ca="1">IF(AND($D92="Serviço",AB$12&lt;&gt;0,$H92&gt;0,OR(AUTOEVENTO&lt;&gt;"manual",$M92&lt;&gt;$A$15)),
        IF(Import.TipoArredondamento&lt;&gt;"TransfereGOV",
              ROUND(OFFSET($P92,0,AB$13),15-13*ORÇAMENTO!$AF$7)/$H92*OFFSET(ORÇAMENTO!$X$15,ROW(AB92)-ROW(AB$15),0),
              ROUND(ROUND(OFFSET($P92,0,AB$13),15-13*ORÇAMENTO!$AF$7)*OFFSET(ORÇAMENTO!$W$15,ROW(AB92)-ROW(AB$15),0),15-13*ORÇAMENTO!$AF$11)),
         0)</f>
        <v>0</v>
      </c>
      <c r="AC92" s="453">
        <f ca="1">IF(AND($D92="Serviço",AC$12&lt;&gt;0,$H92&gt;0,OR(AUTOEVENTO&lt;&gt;"manual",$M92&lt;&gt;$A$15)),
        IF(Import.TipoArredondamento&lt;&gt;"TransfereGOV",
              ROUND(OFFSET($P92,0,AC$13),15-13*ORÇAMENTO!$AF$7)/$H92*OFFSET(ORÇAMENTO!$X$15,ROW(AC92)-ROW(AC$15),0),
              ROUND(ROUND(OFFSET($P92,0,AC$13),15-13*ORÇAMENTO!$AF$7)*OFFSET(ORÇAMENTO!$W$15,ROW(AC92)-ROW(AC$15),0),15-13*ORÇAMENTO!$AF$11)),
         0)</f>
        <v>7638.96</v>
      </c>
      <c r="AD92" s="453">
        <f ca="1">IF(AND($D92="Serviço",AD$12&lt;&gt;0,$H92&gt;0,OR(AUTOEVENTO&lt;&gt;"manual",$M92&lt;&gt;$A$15)),
        IF(Import.TipoArredondamento&lt;&gt;"TransfereGOV",
              ROUND(OFFSET($P92,0,AD$13),15-13*ORÇAMENTO!$AF$7)/$H92*OFFSET(ORÇAMENTO!$X$15,ROW(AD92)-ROW(AD$15),0),
              ROUND(ROUND(OFFSET($P92,0,AD$13),15-13*ORÇAMENTO!$AF$7)*OFFSET(ORÇAMENTO!$W$15,ROW(AD92)-ROW(AD$15),0),15-13*ORÇAMENTO!$AF$11)),
         0)</f>
        <v>7638.96</v>
      </c>
      <c r="AE92" s="453">
        <f ca="1">IF(AND($D92="Serviço",AE$12&lt;&gt;0,$H92&gt;0,OR(AUTOEVENTO&lt;&gt;"manual",$M92&lt;&gt;$A$15)),
        IF(Import.TipoArredondamento&lt;&gt;"TransfereGOV",
              ROUND(OFFSET($P92,0,AE$13),15-13*ORÇAMENTO!$AF$7)/$H92*OFFSET(ORÇAMENTO!$X$15,ROW(AE92)-ROW(AE$15),0),
              ROUND(ROUND(OFFSET($P92,0,AE$13),15-13*ORÇAMENTO!$AF$7)*OFFSET(ORÇAMENTO!$W$15,ROW(AE92)-ROW(AE$15),0),15-13*ORÇAMENTO!$AF$11)),
         0)</f>
        <v>7638.96</v>
      </c>
      <c r="AF92" s="453">
        <f ca="1">IF(AND($D92="Serviço",AF$12&lt;&gt;0,$H92&gt;0,OR(AUTOEVENTO&lt;&gt;"manual",$M92&lt;&gt;$A$15)),
        IF(Import.TipoArredondamento&lt;&gt;"TransfereGOV",
              ROUND(OFFSET($P92,0,AF$13),15-13*ORÇAMENTO!$AF$7)/$H92*OFFSET(ORÇAMENTO!$X$15,ROW(AF92)-ROW(AF$15),0),
              ROUND(ROUND(OFFSET($P92,0,AF$13),15-13*ORÇAMENTO!$AF$7)*OFFSET(ORÇAMENTO!$W$15,ROW(AF92)-ROW(AF$15),0),15-13*ORÇAMENTO!$AF$11)),
         0)</f>
        <v>7638.96</v>
      </c>
      <c r="AG92" s="453">
        <f ca="1">IF(AND($D92="Serviço",AG$12&lt;&gt;0,$H92&gt;0,OR(AUTOEVENTO&lt;&gt;"manual",$M92&lt;&gt;$A$15)),
        IF(Import.TipoArredondamento&lt;&gt;"TransfereGOV",
              ROUND(OFFSET($P92,0,AG$13),15-13*ORÇAMENTO!$AF$7)/$H92*OFFSET(ORÇAMENTO!$X$15,ROW(AG92)-ROW(AG$15),0),
              ROUND(ROUND(OFFSET($P92,0,AG$13),15-13*ORÇAMENTO!$AF$7)*OFFSET(ORÇAMENTO!$W$15,ROW(AG92)-ROW(AG$15),0),15-13*ORÇAMENTO!$AF$11)),
         0)</f>
        <v>7638.96</v>
      </c>
      <c r="AH92" s="453">
        <f ca="1">IF(AND($D92="Serviço",AH$12&lt;&gt;0,$H92&gt;0,OR(AUTOEVENTO&lt;&gt;"manual",$M92&lt;&gt;$A$15)),
        IF(Import.TipoArredondamento&lt;&gt;"TransfereGOV",
              ROUND(OFFSET($P92,0,AH$13),15-13*ORÇAMENTO!$AF$7)/$H92*OFFSET(ORÇAMENTO!$X$15,ROW(AH92)-ROW(AH$15),0),
              ROUND(ROUND(OFFSET($P92,0,AH$13),15-13*ORÇAMENTO!$AF$7)*OFFSET(ORÇAMENTO!$W$15,ROW(AH92)-ROW(AH$15),0),15-13*ORÇAMENTO!$AF$11)),
         0)</f>
        <v>0</v>
      </c>
      <c r="AI92" s="453">
        <f ca="1">IF(AND($D92="Serviço",AI$12&lt;&gt;0,$H92&gt;0,OR(AUTOEVENTO&lt;&gt;"manual",$M92&lt;&gt;$A$15)),
        IF(Import.TipoArredondamento&lt;&gt;"TransfereGOV",
              ROUND(OFFSET($P92,0,AI$13),15-13*ORÇAMENTO!$AF$7)/$H92*OFFSET(ORÇAMENTO!$X$15,ROW(AI92)-ROW(AI$15),0),
              ROUND(ROUND(OFFSET($P92,0,AI$13),15-13*ORÇAMENTO!$AF$7)*OFFSET(ORÇAMENTO!$W$15,ROW(AI92)-ROW(AI$15),0),15-13*ORÇAMENTO!$AF$11)),
         0)</f>
        <v>0</v>
      </c>
      <c r="AJ92" s="453">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3">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M92" s="171">
        <f ca="1">IF(OR($D92&lt;&gt;"Serviço",AND(AUTOEVENTO="Manual",$M92=$A$15)),0,
         IF(OFFSET(CRONOPLE!$F$15,$M92-$A$15,AM$13)=0,10^12,OFFSET(CRONOPLE!$F$15,$M92-$A$15,AM$13)))</f>
        <v>1000000000000</v>
      </c>
      <c r="AN92" s="171">
        <f ca="1">IF(OR($D92&lt;&gt;"Serviço",AND(AUTOEVENTO="Manual",$M92=$A$15)),0,
         IF(OFFSET(CRONOPLE!$F$15,$M92-$A$15,AN$13)=0,10^12,OFFSET(CRONOPLE!$F$15,$M92-$A$15,AN$13)))</f>
        <v>2</v>
      </c>
      <c r="AO92" s="171">
        <f ca="1">IF(OR($D92&lt;&gt;"Serviço",AND(AUTOEVENTO="Manual",$M92=$A$15)),0,
         IF(OFFSET(CRONOPLE!$F$15,$M92-$A$15,AO$13)=0,10^12,OFFSET(CRONOPLE!$F$15,$M92-$A$15,AO$13)))</f>
        <v>3</v>
      </c>
      <c r="AP92" s="171">
        <f ca="1">IF(OR($D92&lt;&gt;"Serviço",AND(AUTOEVENTO="Manual",$M92=$A$15)),0,
         IF(OFFSET(CRONOPLE!$F$15,$M92-$A$15,AP$13)=0,10^12,OFFSET(CRONOPLE!$F$15,$M92-$A$15,AP$13)))</f>
        <v>4</v>
      </c>
      <c r="AQ92" s="171">
        <f ca="1">IF(OR($D92&lt;&gt;"Serviço",AND(AUTOEVENTO="Manual",$M92=$A$15)),0,
         IF(OFFSET(CRONOPLE!$F$15,$M92-$A$15,AQ$13)=0,10^12,OFFSET(CRONOPLE!$F$15,$M92-$A$15,AQ$13)))</f>
        <v>5</v>
      </c>
      <c r="AR92" s="171">
        <f ca="1">IF(OR($D92&lt;&gt;"Serviço",AND(AUTOEVENTO="Manual",$M92=$A$15)),0,
         IF(OFFSET(CRONOPLE!$F$15,$M92-$A$15,AR$13)=0,10^12,OFFSET(CRONOPLE!$F$15,$M92-$A$15,AR$13)))</f>
        <v>6</v>
      </c>
      <c r="AS92" s="171">
        <f ca="1">IF(OR($D92&lt;&gt;"Serviço",AND(AUTOEVENTO="Manual",$M92=$A$15)),0,
         IF(OFFSET(CRONOPLE!$F$15,$M92-$A$15,AS$13)=0,10^12,OFFSET(CRONOPLE!$F$15,$M92-$A$15,AS$13)))</f>
        <v>1000000000000</v>
      </c>
      <c r="AT92" s="171">
        <f ca="1">IF(OR($D92&lt;&gt;"Serviço",AND(AUTOEVENTO="Manual",$M92=$A$15)),0,
         IF(OFFSET(CRONOPLE!$F$15,$M92-$A$15,AT$13)=0,10^12,OFFSET(CRONOPLE!$F$15,$M92-$A$15,AT$13)))</f>
        <v>1000000000000</v>
      </c>
      <c r="AU92" s="171">
        <f ca="1">IF(OR($D92&lt;&gt;"Serviço",AND(AUTOEVENTO="Manual",$M92=$A$15)),0,
         IF(OFFSET(CRONOPLE!$F$15,$M92-$A$15,AU$13)=0,10^12,OFFSET(CRONOPLE!$F$15,$M92-$A$15,AU$13)))</f>
        <v>1000000000000</v>
      </c>
      <c r="AV92" s="171">
        <f ca="1">IF(OR($D92&lt;&gt;"Serviço",AND(AUTOEVENTO="Manual",$M92=$A$15)),0,
         IF(OFFSET(CRONOPLE!$F$15,$M92-$A$15,AV$13)=0,10^12,OFFSET(CRONOPLE!$F$15,$M92-$A$15,AV$13)))</f>
        <v>1000000000000</v>
      </c>
      <c r="AX92" s="172" cm="1">
        <f t="array" aca="1" ref="AX92" ca="1">IF(OR($D92&lt;&gt;"Serviço",AND(AUTOEVENTO="Manual",$M92=$A$15),$M92&gt;(ROW(PLE.lastrow)-ROW(PLE.firstrow))),0,
           IF(OFFSET(PLE!$G$15,$M92-$A$15,AX$13)="",10^12,OFFSET(PLE!$G$15,$M92-$A$15,AX$13)))</f>
        <v>1000000000000</v>
      </c>
      <c r="AY92" s="172" cm="1">
        <f t="array" aca="1" ref="AY92" ca="1">IF(OR($D92&lt;&gt;"Serviço",AND(AUTOEVENTO="Manual",$M92=$A$15),$M92&gt;(ROW(PLE.lastrow)-ROW(PLE.firstrow))),0,
           IF(OFFSET(PLE!$G$15,$M92-$A$15,AY$13)="",10^12,OFFSET(PLE!$G$15,$M92-$A$15,AY$13)))</f>
        <v>1000000000000</v>
      </c>
      <c r="AZ92" s="172" cm="1">
        <f t="array" aca="1" ref="AZ92" ca="1">IF(OR($D92&lt;&gt;"Serviço",AND(AUTOEVENTO="Manual",$M92=$A$15),$M92&gt;(ROW(PLE.lastrow)-ROW(PLE.firstrow))),0,
           IF(OFFSET(PLE!$G$15,$M92-$A$15,AZ$13)="",10^12,OFFSET(PLE!$G$15,$M92-$A$15,AZ$13)))</f>
        <v>1000000000000</v>
      </c>
      <c r="BA92" s="172" cm="1">
        <f t="array" aca="1" ref="BA92" ca="1">IF(OR($D92&lt;&gt;"Serviço",AND(AUTOEVENTO="Manual",$M92=$A$15),$M92&gt;(ROW(PLE.lastrow)-ROW(PLE.firstrow))),0,
           IF(OFFSET(PLE!$G$15,$M92-$A$15,BA$13)="",10^12,OFFSET(PLE!$G$15,$M92-$A$15,BA$13)))</f>
        <v>1000000000000</v>
      </c>
      <c r="BB92" s="172" cm="1">
        <f t="array" aca="1" ref="BB92" ca="1">IF(OR($D92&lt;&gt;"Serviço",AND(AUTOEVENTO="Manual",$M92=$A$15),$M92&gt;(ROW(PLE.lastrow)-ROW(PLE.firstrow))),0,
           IF(OFFSET(PLE!$G$15,$M92-$A$15,BB$13)="",10^12,OFFSET(PLE!$G$15,$M92-$A$15,BB$13)))</f>
        <v>1000000000000</v>
      </c>
      <c r="BC92" s="172" cm="1">
        <f t="array" aca="1" ref="BC92" ca="1">IF(OR($D92&lt;&gt;"Serviço",AND(AUTOEVENTO="Manual",$M92=$A$15),$M92&gt;(ROW(PLE.lastrow)-ROW(PLE.firstrow))),0,
           IF(OFFSET(PLE!$G$15,$M92-$A$15,BC$13)="",10^12,OFFSET(PLE!$G$15,$M92-$A$15,BC$13)))</f>
        <v>1000000000000</v>
      </c>
      <c r="BD92" s="172" cm="1">
        <f t="array" aca="1" ref="BD92" ca="1">IF(OR($D92&lt;&gt;"Serviço",AND(AUTOEVENTO="Manual",$M92=$A$15),$M92&gt;(ROW(PLE.lastrow)-ROW(PLE.firstrow))),0,
           IF(OFFSET(PLE!$G$15,$M92-$A$15,BD$13)="",10^12,OFFSET(PLE!$G$15,$M92-$A$15,BD$13)))</f>
        <v>1000000000000</v>
      </c>
      <c r="BE92" s="172" cm="1">
        <f t="array" aca="1" ref="BE92" ca="1">IF(OR($D92&lt;&gt;"Serviço",AND(AUTOEVENTO="Manual",$M92=$A$15),$M92&gt;(ROW(PLE.lastrow)-ROW(PLE.firstrow))),0,
           IF(OFFSET(PLE!$G$15,$M92-$A$15,BE$13)="",10^12,OFFSET(PLE!$G$15,$M92-$A$15,BE$13)))</f>
        <v>1000000000000</v>
      </c>
      <c r="BF92" s="172" cm="1">
        <f t="array" aca="1" ref="BF92" ca="1">IF(OR($D92&lt;&gt;"Serviço",AND(AUTOEVENTO="Manual",$M92=$A$15),$M92&gt;(ROW(PLE.lastrow)-ROW(PLE.firstrow))),0,
           IF(OFFSET(PLE!$G$15,$M92-$A$15,BF$13)="",10^12,OFFSET(PLE!$G$15,$M92-$A$15,BF$13)))</f>
        <v>1000000000000</v>
      </c>
      <c r="BG92" s="172" cm="1">
        <f t="array" aca="1" ref="BG92" ca="1">IF(OR($D92&lt;&gt;"Serviço",AND(AUTOEVENTO="Manual",$M92=$A$15),$M92&gt;(ROW(PLE.lastrow)-ROW(PLE.firstrow))),0,
           IF(OFFSET(PLE!$G$15,$M92-$A$15,BG$13)="",10^12,OFFSET(PLE!$G$15,$M92-$A$15,BG$13)))</f>
        <v>1000000000000</v>
      </c>
    </row>
    <row r="93" spans="1:59" ht="5.0999999999999996" customHeight="1" x14ac:dyDescent="0.2">
      <c r="B93" s="7">
        <f ca="1">OFFSET(ORÇAMENTO!C$15,ROW(B93)-ROW(B$15),0)</f>
        <v>-1</v>
      </c>
      <c r="C93" s="7" t="str">
        <f ca="1">OFFSET(ORÇAMENTO!L$15,ROW(C93)-ROW(C$15),0)</f>
        <v>F</v>
      </c>
      <c r="D93" s="634" t="s">
        <v>700</v>
      </c>
      <c r="E93" s="618"/>
      <c r="F93" s="619"/>
      <c r="G93" s="619"/>
      <c r="H93" s="619"/>
      <c r="I93" s="419"/>
      <c r="K93" s="569"/>
      <c r="L93" s="165">
        <f t="shared" ref="L93" ca="1" si="14">OFFSET(L93,-1,0)+1</f>
        <v>78</v>
      </c>
      <c r="M93" s="421"/>
      <c r="N93" s="420"/>
      <c r="O93" s="635"/>
      <c r="Q93" s="618"/>
      <c r="R93" s="619"/>
      <c r="S93" s="619"/>
      <c r="T93" s="619"/>
      <c r="U93" s="619"/>
      <c r="V93" s="619"/>
      <c r="W93" s="619"/>
      <c r="X93" s="619"/>
      <c r="Y93" s="619"/>
      <c r="Z93" s="419"/>
      <c r="AB93" s="636"/>
      <c r="AC93" s="637"/>
      <c r="AD93" s="637"/>
      <c r="AE93" s="637"/>
      <c r="AF93" s="637"/>
      <c r="AG93" s="637"/>
      <c r="AH93" s="637"/>
      <c r="AI93" s="637"/>
      <c r="AJ93" s="637"/>
      <c r="AK93" s="133"/>
      <c r="AM93" s="636"/>
      <c r="AN93" s="637"/>
      <c r="AO93" s="637"/>
      <c r="AP93" s="637"/>
      <c r="AQ93" s="637"/>
      <c r="AR93" s="637"/>
      <c r="AS93" s="637"/>
      <c r="AT93" s="637"/>
      <c r="AU93" s="637"/>
      <c r="AV93" s="133"/>
      <c r="AX93" s="636"/>
      <c r="AY93" s="637"/>
      <c r="AZ93" s="637"/>
      <c r="BA93" s="637"/>
      <c r="BB93" s="637"/>
      <c r="BC93" s="637"/>
      <c r="BD93" s="637"/>
      <c r="BE93" s="637"/>
      <c r="BF93" s="637"/>
      <c r="BG93" s="133"/>
    </row>
    <row r="94" spans="1:59" ht="12.75" customHeight="1" x14ac:dyDescent="0.2"/>
    <row r="95" spans="1:59" ht="12.75" customHeight="1" x14ac:dyDescent="0.2"/>
    <row r="96" spans="1:59" ht="12.75" customHeight="1" x14ac:dyDescent="0.2"/>
    <row r="97" spans="3:25" ht="15" customHeight="1" x14ac:dyDescent="0.2">
      <c r="F97" s="179" t="str">
        <f>Import.Município</f>
        <v>BURITIZEIRO-MG</v>
      </c>
      <c r="I97" s="460"/>
      <c r="J97" s="460"/>
      <c r="K97" s="460"/>
      <c r="L97" s="460"/>
      <c r="M97" s="461"/>
      <c r="N97" s="417"/>
      <c r="T97" s="139"/>
      <c r="U97" s="139"/>
      <c r="V97" s="180"/>
      <c r="W97" s="180"/>
      <c r="X97" s="180"/>
      <c r="Y97" s="180"/>
    </row>
    <row r="98" spans="3:25" ht="12.75" customHeight="1" x14ac:dyDescent="0.2">
      <c r="F98" s="9" t="s">
        <v>693</v>
      </c>
      <c r="I98" s="181" t="s">
        <v>696</v>
      </c>
      <c r="J98" s="181"/>
      <c r="K98" s="181"/>
      <c r="L98" s="181"/>
      <c r="T98" s="181" t="s">
        <v>696</v>
      </c>
      <c r="U98" s="181"/>
    </row>
    <row r="99" spans="3:25" ht="12.75" customHeight="1" x14ac:dyDescent="0.2">
      <c r="I99" s="398" t="str">
        <f t="array" aca="1" ref="I99:I101" ca="1">OFFSET(Import.RespOrçamento,0,-1) &amp; " " &amp; Import.RespOrçamento</f>
        <v>Nome: RAFAEL LACERDA MAIA</v>
      </c>
      <c r="K99" s="79"/>
      <c r="L99" s="79"/>
      <c r="T99" s="398" t="str">
        <f t="array" aca="1" ref="T99:T101" ca="1">OFFSET(Import.RespOrçamento,0,-1) &amp; " " &amp; Import.RespOrçamento</f>
        <v>Nome: RAFAEL LACERDA MAIA</v>
      </c>
      <c r="U99" s="78"/>
    </row>
    <row r="100" spans="3:25" ht="12.75" customHeight="1" x14ac:dyDescent="0.2">
      <c r="F100" s="459">
        <f>DADOS!$C$25</f>
        <v>46107</v>
      </c>
      <c r="I100" s="398" t="str">
        <f ca="1"/>
        <v>CREA/CAU: 173.269/D</v>
      </c>
      <c r="K100" s="79"/>
      <c r="L100" s="79"/>
      <c r="T100" s="398" t="str">
        <f ca="1"/>
        <v>CREA/CAU: 173.269/D</v>
      </c>
      <c r="U100" s="78"/>
    </row>
    <row r="101" spans="3:25" ht="12.75" customHeight="1" x14ac:dyDescent="0.2">
      <c r="F101" s="140" t="s">
        <v>694</v>
      </c>
      <c r="I101" s="398" t="str">
        <f ca="1"/>
        <v>ART/RRT: MG20254479691</v>
      </c>
      <c r="K101" s="79"/>
      <c r="L101" s="79"/>
      <c r="T101" s="398" t="str">
        <f ca="1"/>
        <v>ART/RRT: MG20254479691</v>
      </c>
      <c r="U101" s="78"/>
    </row>
    <row r="102" spans="3:25" ht="12.75" customHeight="1" x14ac:dyDescent="0.2">
      <c r="C102"/>
      <c r="M102"/>
    </row>
    <row r="103" spans="3:25" ht="12.75" customHeight="1" x14ac:dyDescent="0.2">
      <c r="C103"/>
      <c r="M103"/>
    </row>
    <row r="104" spans="3:25" ht="12.75" customHeight="1" x14ac:dyDescent="0.2">
      <c r="C104"/>
      <c r="M104"/>
    </row>
    <row r="105" spans="3:25" ht="12.75" customHeight="1" x14ac:dyDescent="0.2">
      <c r="C105"/>
      <c r="M105"/>
    </row>
    <row r="106" spans="3:25" ht="12.75" customHeight="1" x14ac:dyDescent="0.2">
      <c r="C106"/>
      <c r="M106"/>
    </row>
    <row r="107" spans="3:25" ht="12.75" customHeight="1" x14ac:dyDescent="0.2">
      <c r="C107"/>
      <c r="M107"/>
    </row>
    <row r="108" spans="3:25" ht="12.75" customHeight="1" x14ac:dyDescent="0.2">
      <c r="C108"/>
      <c r="M108"/>
    </row>
    <row r="109" spans="3:25" ht="12.75" customHeight="1" x14ac:dyDescent="0.2">
      <c r="C109"/>
      <c r="M109"/>
    </row>
    <row r="110" spans="3:25" ht="12.75" customHeight="1" x14ac:dyDescent="0.2">
      <c r="C110"/>
      <c r="M110"/>
    </row>
    <row r="111" spans="3:25" ht="12.75" customHeight="1" x14ac:dyDescent="0.2">
      <c r="C111"/>
      <c r="M111"/>
    </row>
    <row r="112" spans="3:25"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61005" spans="3:13" ht="12.75" customHeight="1" x14ac:dyDescent="0.2">
      <c r="C61005"/>
      <c r="M61005"/>
    </row>
    <row r="61021" spans="3:13" ht="12.75" customHeight="1" x14ac:dyDescent="0.2">
      <c r="C61021"/>
      <c r="M61021"/>
    </row>
    <row r="61037" spans="3:13" ht="12.75" customHeight="1" x14ac:dyDescent="0.2">
      <c r="C61037"/>
      <c r="M61037"/>
    </row>
    <row r="61053" spans="3:13" ht="12.75" customHeight="1" x14ac:dyDescent="0.2">
      <c r="C61053"/>
      <c r="M61053"/>
    </row>
    <row r="61066" spans="3:13" ht="12.75" customHeight="1" x14ac:dyDescent="0.2">
      <c r="C61066"/>
      <c r="M61066"/>
    </row>
    <row r="61067" spans="3:13" ht="12.75" customHeight="1" x14ac:dyDescent="0.2">
      <c r="C61067"/>
      <c r="M61067"/>
    </row>
    <row r="61069" spans="3:13" ht="12.75" customHeight="1" x14ac:dyDescent="0.2">
      <c r="C61069"/>
      <c r="M61069"/>
    </row>
    <row r="61080" spans="3:13" ht="12.75" customHeight="1" x14ac:dyDescent="0.2">
      <c r="C61080"/>
      <c r="M61080"/>
    </row>
    <row r="61081" spans="3:13" ht="12.75" customHeight="1" x14ac:dyDescent="0.2">
      <c r="C61081"/>
      <c r="M61081"/>
    </row>
    <row r="61082" spans="3:13" ht="12.75" customHeight="1" x14ac:dyDescent="0.2">
      <c r="C61082"/>
      <c r="M61082"/>
    </row>
    <row r="61083" spans="3:13" ht="12.75" customHeight="1" x14ac:dyDescent="0.2">
      <c r="C61083"/>
      <c r="M61083"/>
    </row>
    <row r="61085" spans="3:13" ht="12.75" customHeight="1" x14ac:dyDescent="0.2">
      <c r="C61085"/>
      <c r="M61085"/>
    </row>
    <row r="61096" spans="3:13" ht="12.75" customHeight="1" x14ac:dyDescent="0.2">
      <c r="C61096"/>
      <c r="M61096"/>
    </row>
    <row r="61097" spans="3:13" ht="12.75" customHeight="1" x14ac:dyDescent="0.2">
      <c r="C61097"/>
      <c r="M61097"/>
    </row>
    <row r="61098" spans="3:13" ht="12.75" customHeight="1" x14ac:dyDescent="0.2">
      <c r="C61098"/>
      <c r="M61098"/>
    </row>
    <row r="61099" spans="3:13" ht="12.75" customHeight="1" x14ac:dyDescent="0.2">
      <c r="C61099"/>
      <c r="M61099"/>
    </row>
    <row r="61101" spans="3:13" ht="12.75" customHeight="1" x14ac:dyDescent="0.2">
      <c r="C61101"/>
      <c r="M61101"/>
    </row>
    <row r="61112" spans="3:13" ht="12.75" customHeight="1" x14ac:dyDescent="0.2">
      <c r="C61112"/>
      <c r="M61112"/>
    </row>
    <row r="61113" spans="3:13" ht="12.75" customHeight="1" x14ac:dyDescent="0.2">
      <c r="C61113"/>
      <c r="M61113"/>
    </row>
    <row r="61114" spans="3:13" ht="12.75" customHeight="1" x14ac:dyDescent="0.2">
      <c r="C61114"/>
      <c r="M61114"/>
    </row>
    <row r="61115" spans="3:13" ht="12.75" customHeight="1" x14ac:dyDescent="0.2">
      <c r="C61115"/>
      <c r="M61115"/>
    </row>
    <row r="61117" spans="3:13" ht="12.75" customHeight="1" x14ac:dyDescent="0.2">
      <c r="C61117"/>
      <c r="M61117"/>
    </row>
    <row r="61128" spans="3:13" ht="12.75" customHeight="1" x14ac:dyDescent="0.2">
      <c r="C61128"/>
      <c r="M61128"/>
    </row>
    <row r="61129" spans="3:13" ht="12.75" customHeight="1" x14ac:dyDescent="0.2">
      <c r="C61129"/>
      <c r="M61129"/>
    </row>
    <row r="61130" spans="3:13" ht="12.75" customHeight="1" x14ac:dyDescent="0.2">
      <c r="C61130"/>
      <c r="M61130"/>
    </row>
    <row r="61131" spans="3:13" ht="12.75" customHeight="1" x14ac:dyDescent="0.2">
      <c r="C61131"/>
      <c r="M61131"/>
    </row>
    <row r="61133" spans="3:13" ht="12.75" customHeight="1" x14ac:dyDescent="0.2">
      <c r="C61133"/>
      <c r="M61133"/>
    </row>
    <row r="61144" spans="3:13" ht="12.75" customHeight="1" x14ac:dyDescent="0.2">
      <c r="C61144"/>
      <c r="M61144"/>
    </row>
    <row r="61145" spans="3:13" ht="12.75" customHeight="1" x14ac:dyDescent="0.2">
      <c r="C61145"/>
      <c r="M61145"/>
    </row>
    <row r="61146" spans="3:13" ht="12.75" customHeight="1" x14ac:dyDescent="0.2">
      <c r="C61146"/>
      <c r="M61146"/>
    </row>
    <row r="61147" spans="3:13" ht="12.75" customHeight="1" x14ac:dyDescent="0.2">
      <c r="C61147"/>
      <c r="M61147"/>
    </row>
    <row r="61149" spans="3:13" ht="12.75" customHeight="1" x14ac:dyDescent="0.2">
      <c r="C61149"/>
      <c r="M61149"/>
    </row>
    <row r="61160" spans="3:13" ht="12.75" customHeight="1" x14ac:dyDescent="0.2">
      <c r="C61160"/>
      <c r="M61160"/>
    </row>
    <row r="61161" spans="3:13" ht="12.75" customHeight="1" x14ac:dyDescent="0.2">
      <c r="C61161"/>
      <c r="M61161"/>
    </row>
    <row r="61162" spans="3:13" ht="12.75" customHeight="1" x14ac:dyDescent="0.2">
      <c r="C61162"/>
      <c r="M61162"/>
    </row>
    <row r="61163" spans="3:13" ht="12.75" customHeight="1" x14ac:dyDescent="0.2">
      <c r="C61163"/>
      <c r="M61163"/>
    </row>
    <row r="61165" spans="3:13" ht="12.75" customHeight="1" x14ac:dyDescent="0.2">
      <c r="C61165"/>
      <c r="M61165"/>
    </row>
    <row r="61176" spans="3:13" ht="12.75" customHeight="1" x14ac:dyDescent="0.2">
      <c r="C61176"/>
      <c r="M61176"/>
    </row>
    <row r="61177" spans="3:13" ht="12.75" customHeight="1" x14ac:dyDescent="0.2">
      <c r="C61177"/>
      <c r="M61177"/>
    </row>
    <row r="61178" spans="3:13" ht="12.75" customHeight="1" x14ac:dyDescent="0.2">
      <c r="C61178"/>
      <c r="M61178"/>
    </row>
    <row r="61179" spans="3:13" ht="12.75" customHeight="1" x14ac:dyDescent="0.2">
      <c r="C61179"/>
      <c r="M61179"/>
    </row>
    <row r="61181" spans="3:13" ht="12.75" customHeight="1" x14ac:dyDescent="0.2">
      <c r="C61181"/>
      <c r="M61181"/>
    </row>
    <row r="61192" spans="3:13" ht="12.75" customHeight="1" x14ac:dyDescent="0.2">
      <c r="C61192"/>
      <c r="M61192"/>
    </row>
    <row r="61193" spans="3:13" ht="12.75" customHeight="1" x14ac:dyDescent="0.2">
      <c r="C61193"/>
      <c r="M61193"/>
    </row>
    <row r="61194" spans="3:13" ht="12.75" customHeight="1" x14ac:dyDescent="0.2">
      <c r="C61194"/>
      <c r="M61194"/>
    </row>
    <row r="61195" spans="3:13" ht="12.75" customHeight="1" x14ac:dyDescent="0.2">
      <c r="C61195"/>
      <c r="M61195"/>
    </row>
    <row r="61197" spans="3:13" ht="12.75" customHeight="1" x14ac:dyDescent="0.2">
      <c r="C61197"/>
      <c r="M61197"/>
    </row>
    <row r="61205" spans="3:13" ht="12.75" customHeight="1" x14ac:dyDescent="0.2">
      <c r="C61205"/>
      <c r="M61205"/>
    </row>
    <row r="61208" spans="3:13" ht="12.75" customHeight="1" x14ac:dyDescent="0.2">
      <c r="C61208"/>
      <c r="M61208"/>
    </row>
    <row r="61209" spans="3:13" ht="12.75" customHeight="1" x14ac:dyDescent="0.2">
      <c r="C61209"/>
      <c r="M61209"/>
    </row>
    <row r="61210" spans="3:13" ht="12.75" customHeight="1" x14ac:dyDescent="0.2">
      <c r="C61210"/>
      <c r="M61210"/>
    </row>
    <row r="61211" spans="3:13" ht="12.75" customHeight="1" x14ac:dyDescent="0.2">
      <c r="C61211"/>
      <c r="M61211"/>
    </row>
    <row r="61213" spans="3:13" ht="12.75" customHeight="1" x14ac:dyDescent="0.2">
      <c r="C61213"/>
      <c r="M61213"/>
    </row>
    <row r="61221" spans="3:13" ht="12.75" customHeight="1" x14ac:dyDescent="0.2">
      <c r="C61221"/>
      <c r="M61221"/>
    </row>
    <row r="61224" spans="3:13" ht="12.75" customHeight="1" x14ac:dyDescent="0.2">
      <c r="C61224"/>
      <c r="M61224"/>
    </row>
    <row r="61225" spans="3:13" ht="12.75" customHeight="1" x14ac:dyDescent="0.2">
      <c r="C61225"/>
      <c r="M61225"/>
    </row>
    <row r="61226" spans="3:13" ht="12.75" customHeight="1" x14ac:dyDescent="0.2">
      <c r="C61226"/>
      <c r="M61226"/>
    </row>
    <row r="61227" spans="3:13" ht="12.75" customHeight="1" x14ac:dyDescent="0.2">
      <c r="C61227"/>
      <c r="M61227"/>
    </row>
    <row r="61229" spans="3:13" ht="12.75" customHeight="1" x14ac:dyDescent="0.2">
      <c r="C61229"/>
      <c r="M61229"/>
    </row>
    <row r="61237" spans="3:13" ht="12.75" customHeight="1" x14ac:dyDescent="0.2">
      <c r="C61237"/>
      <c r="M61237"/>
    </row>
    <row r="61238" spans="3:13" ht="12.75" customHeight="1" x14ac:dyDescent="0.2">
      <c r="C61238"/>
      <c r="M61238"/>
    </row>
    <row r="61240" spans="3:13" ht="12.75" customHeight="1" x14ac:dyDescent="0.2">
      <c r="C61240"/>
      <c r="M61240"/>
    </row>
    <row r="61241" spans="3:13" ht="12.75" customHeight="1" x14ac:dyDescent="0.2">
      <c r="C61241"/>
      <c r="M61241"/>
    </row>
    <row r="61242" spans="3:13" ht="12.75" customHeight="1" x14ac:dyDescent="0.2">
      <c r="C61242"/>
      <c r="M61242"/>
    </row>
    <row r="61243" spans="3:13" ht="12.75" customHeight="1" x14ac:dyDescent="0.2">
      <c r="C61243"/>
      <c r="M61243"/>
    </row>
    <row r="61245" spans="3:13" ht="12.75" customHeight="1" x14ac:dyDescent="0.2">
      <c r="C61245"/>
      <c r="M61245"/>
    </row>
    <row r="61253" spans="3:13" ht="12.75" customHeight="1" x14ac:dyDescent="0.2">
      <c r="C61253"/>
      <c r="M61253"/>
    </row>
    <row r="61254" spans="3:13" ht="12.75" customHeight="1" x14ac:dyDescent="0.2">
      <c r="C61254"/>
      <c r="M61254"/>
    </row>
    <row r="61255" spans="3:13" ht="12.75" customHeight="1" x14ac:dyDescent="0.2">
      <c r="C61255"/>
      <c r="M61255"/>
    </row>
    <row r="61256" spans="3:13" ht="12.75" customHeight="1" x14ac:dyDescent="0.2">
      <c r="C61256"/>
      <c r="M61256"/>
    </row>
    <row r="61257" spans="3:13" ht="12.75" customHeight="1" x14ac:dyDescent="0.2">
      <c r="C61257"/>
      <c r="M61257"/>
    </row>
    <row r="61258" spans="3:13" ht="12.75" customHeight="1" x14ac:dyDescent="0.2">
      <c r="C61258"/>
      <c r="M61258"/>
    </row>
    <row r="61259" spans="3:13" ht="12.75" customHeight="1" x14ac:dyDescent="0.2">
      <c r="C61259"/>
      <c r="M61259"/>
    </row>
    <row r="61261" spans="3:13" ht="12.75" customHeight="1" x14ac:dyDescent="0.2">
      <c r="C61261"/>
      <c r="M61261"/>
    </row>
    <row r="61269" spans="3:13" ht="12.75" customHeight="1" x14ac:dyDescent="0.2">
      <c r="C61269"/>
      <c r="M61269"/>
    </row>
    <row r="61270" spans="3:13" ht="12.75" customHeight="1" x14ac:dyDescent="0.2">
      <c r="C61270"/>
      <c r="M61270"/>
    </row>
    <row r="61271" spans="3:13" ht="12.75" customHeight="1" x14ac:dyDescent="0.2">
      <c r="C61271"/>
      <c r="M61271"/>
    </row>
    <row r="61272" spans="3:13" ht="12.75" customHeight="1" x14ac:dyDescent="0.2">
      <c r="C61272"/>
      <c r="M61272"/>
    </row>
    <row r="61273" spans="3:13" ht="12.75" customHeight="1" x14ac:dyDescent="0.2">
      <c r="C61273"/>
      <c r="M61273"/>
    </row>
    <row r="61274" spans="3:13" ht="12.75" customHeight="1" x14ac:dyDescent="0.2">
      <c r="C61274"/>
      <c r="M61274"/>
    </row>
    <row r="61275" spans="3:13" ht="12.75" customHeight="1" x14ac:dyDescent="0.2">
      <c r="C61275"/>
      <c r="M61275"/>
    </row>
    <row r="61277" spans="3:13" ht="12.75" customHeight="1" x14ac:dyDescent="0.2">
      <c r="C61277"/>
      <c r="M61277"/>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3" spans="3:13" ht="12.75" customHeight="1" x14ac:dyDescent="0.2">
      <c r="C61293"/>
      <c r="M61293"/>
    </row>
    <row r="61294" spans="3:13" ht="12.75" customHeight="1" x14ac:dyDescent="0.2">
      <c r="C61294"/>
      <c r="M61294"/>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sheetData>
  <sheetProtection algorithmName="SHA-512" hashValue="TGUBDCmzLdwexFvf6oxctFkQhWaexbw2YEk0Dg7wlRL7bC5ErD/D3FqfmFGxOuUwo9Nqmk2ijc7gA4hrlB/bmQ==" saltValue="pVp4Yy1+9a093GqErCiI6g==" spinCount="100000" sheet="1" objects="1" scenarios="1" autoFilter="0"/>
  <autoFilter ref="C15:C93" xr:uid="{00000000-0009-0000-0000-000005000000}">
    <filterColumn colId="0">
      <filters>
        <filter val="F"/>
      </filters>
    </filterColumn>
  </autoFilter>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G14 I14 D38:I38 D53:I60 D85:I92 D63:I64">
    <cfRule type="expression" dxfId="343" priority="14757" stopIfTrue="1">
      <formula>$B14=1</formula>
    </cfRule>
    <cfRule type="expression" dxfId="342" priority="14758" stopIfTrue="1">
      <formula>OR($B14=0,$B14=2,$B14=3,$B14=4)</formula>
    </cfRule>
  </conditionalFormatting>
  <conditionalFormatting sqref="M12:N93">
    <cfRule type="expression" dxfId="341" priority="14759" stopIfTrue="1">
      <formula>ACOMPANHAMENTO="BM"</formula>
    </cfRule>
    <cfRule type="expression" dxfId="340" priority="14760" stopIfTrue="1">
      <formula>OR($B12=0,$B12=2,$B12=3,$B12=4)</formula>
    </cfRule>
    <cfRule type="expression" dxfId="339" priority="14761" stopIfTrue="1">
      <formula>$B12=1</formula>
    </cfRule>
  </conditionalFormatting>
  <conditionalFormatting sqref="K12:K93">
    <cfRule type="expression" dxfId="338" priority="14762" stopIfTrue="1">
      <formula>OR(ACOMPANHAMENTO="BM",$A$12&lt;&gt;"Manual")</formula>
    </cfRule>
    <cfRule type="expression" dxfId="337" priority="14763" stopIfTrue="1">
      <formula>$B12=1</formula>
    </cfRule>
    <cfRule type="expression" dxfId="336" priority="14764" stopIfTrue="1">
      <formula>OR($B12=2,$B12=3,$B12=4,$B12=0)</formula>
    </cfRule>
  </conditionalFormatting>
  <conditionalFormatting sqref="O12:AA93">
    <cfRule type="expression" dxfId="335" priority="8348" stopIfTrue="1">
      <formula>ACOMPANHAMENTO="BM"</formula>
    </cfRule>
    <cfRule type="expression" dxfId="334" priority="14766" stopIfTrue="1">
      <formula>AND(O$12&lt;&gt;".",OR($B12=0,$B12=2,$B12=3,$B12=4,AND(O$12="",$B12&lt;&gt;"Empty"),OFFSET(O$1,0,-1)=0))</formula>
    </cfRule>
    <cfRule type="expression" dxfId="333" priority="14767" stopIfTrue="1">
      <formula>AND($B12=1,O$1=1)</formula>
    </cfRule>
  </conditionalFormatting>
  <conditionalFormatting sqref="Q15:Z15">
    <cfRule type="expression" dxfId="332" priority="14765">
      <formula>Q$11="▼"</formula>
    </cfRule>
  </conditionalFormatting>
  <conditionalFormatting sqref="O15">
    <cfRule type="expression" dxfId="331" priority="8347">
      <formula>O$11="▼"</formula>
    </cfRule>
  </conditionalFormatting>
  <conditionalFormatting sqref="N14 N38 N53:N60 N85:N92 N63:N64">
    <cfRule type="expression" dxfId="330" priority="5382">
      <formula>$J14="►"</formula>
    </cfRule>
  </conditionalFormatting>
  <conditionalFormatting sqref="N12">
    <cfRule type="cellIs" dxfId="329" priority="5380" operator="notEqual">
      <formula>"FRENTES DE OBRA:"</formula>
    </cfRule>
  </conditionalFormatting>
  <conditionalFormatting sqref="Q14:AA14 Q16:AA92">
    <cfRule type="expression" dxfId="328" priority="3165">
      <formula>Q14&lt;&gt;ROUND(Q14,2)</formula>
    </cfRule>
  </conditionalFormatting>
  <conditionalFormatting sqref="H14">
    <cfRule type="expression" dxfId="327" priority="2725" stopIfTrue="1">
      <formula>$B14=1</formula>
    </cfRule>
    <cfRule type="expression" dxfId="326" priority="2726" stopIfTrue="1">
      <formula>OR($B14=0,$B14=2,$B14=3,$B14=4)</formula>
    </cfRule>
  </conditionalFormatting>
  <conditionalFormatting sqref="H14 H38 H53:H60 H85:H92 H63:H64">
    <cfRule type="expression" dxfId="325" priority="2724">
      <formula>$J14="►S"</formula>
    </cfRule>
  </conditionalFormatting>
  <conditionalFormatting sqref="D16:G17 I16:I17 I61 D61:G61 I19 D19:G19 D39:G39 I39">
    <cfRule type="expression" dxfId="324" priority="321" stopIfTrue="1">
      <formula>$B16=1</formula>
    </cfRule>
    <cfRule type="expression" dxfId="323" priority="322" stopIfTrue="1">
      <formula>OR($B16=0,$B16=2,$B16=3,$B16=4)</formula>
    </cfRule>
  </conditionalFormatting>
  <conditionalFormatting sqref="N16:N17 N61 N19 N39">
    <cfRule type="expression" dxfId="322" priority="320">
      <formula>$J16="►"</formula>
    </cfRule>
  </conditionalFormatting>
  <conditionalFormatting sqref="H16:H17 H61 H19 H39">
    <cfRule type="expression" dxfId="321" priority="317" stopIfTrue="1">
      <formula>$B16=1</formula>
    </cfRule>
    <cfRule type="expression" dxfId="320" priority="318" stopIfTrue="1">
      <formula>OR($B16=0,$B16=2,$B16=3,$B16=4)</formula>
    </cfRule>
  </conditionalFormatting>
  <conditionalFormatting sqref="H16:H17 H61 H19 H39">
    <cfRule type="expression" dxfId="319" priority="316">
      <formula>$J16="►S"</formula>
    </cfRule>
  </conditionalFormatting>
  <conditionalFormatting sqref="D43:G43 I43">
    <cfRule type="expression" dxfId="318" priority="125" stopIfTrue="1">
      <formula>$B43=1</formula>
    </cfRule>
    <cfRule type="expression" dxfId="317" priority="126" stopIfTrue="1">
      <formula>OR($B43=0,$B43=2,$B43=3,$B43=4)</formula>
    </cfRule>
  </conditionalFormatting>
  <conditionalFormatting sqref="N43">
    <cfRule type="expression" dxfId="316" priority="124">
      <formula>$J43="►"</formula>
    </cfRule>
  </conditionalFormatting>
  <conditionalFormatting sqref="H43">
    <cfRule type="expression" dxfId="315" priority="121" stopIfTrue="1">
      <formula>$B43=1</formula>
    </cfRule>
    <cfRule type="expression" dxfId="314" priority="122" stopIfTrue="1">
      <formula>OR($B43=0,$B43=2,$B43=3,$B43=4)</formula>
    </cfRule>
  </conditionalFormatting>
  <conditionalFormatting sqref="H43">
    <cfRule type="expression" dxfId="313" priority="120">
      <formula>$J43="►S"</formula>
    </cfRule>
  </conditionalFormatting>
  <conditionalFormatting sqref="D41:G41 I41">
    <cfRule type="expression" dxfId="312" priority="118" stopIfTrue="1">
      <formula>$B41=1</formula>
    </cfRule>
    <cfRule type="expression" dxfId="311" priority="119" stopIfTrue="1">
      <formula>OR($B41=0,$B41=2,$B41=3,$B41=4)</formula>
    </cfRule>
  </conditionalFormatting>
  <conditionalFormatting sqref="N41">
    <cfRule type="expression" dxfId="310" priority="117">
      <formula>$J41="►"</formula>
    </cfRule>
  </conditionalFormatting>
  <conditionalFormatting sqref="H41">
    <cfRule type="expression" dxfId="309" priority="114" stopIfTrue="1">
      <formula>$B41=1</formula>
    </cfRule>
    <cfRule type="expression" dxfId="308" priority="115" stopIfTrue="1">
      <formula>OR($B41=0,$B41=2,$B41=3,$B41=4)</formula>
    </cfRule>
  </conditionalFormatting>
  <conditionalFormatting sqref="H41">
    <cfRule type="expression" dxfId="307" priority="113">
      <formula>$J41="►S"</formula>
    </cfRule>
  </conditionalFormatting>
  <conditionalFormatting sqref="D42:G42 I42">
    <cfRule type="expression" dxfId="306" priority="111" stopIfTrue="1">
      <formula>$B42=1</formula>
    </cfRule>
    <cfRule type="expression" dxfId="305" priority="112" stopIfTrue="1">
      <formula>OR($B42=0,$B42=2,$B42=3,$B42=4)</formula>
    </cfRule>
  </conditionalFormatting>
  <conditionalFormatting sqref="N42">
    <cfRule type="expression" dxfId="304" priority="110">
      <formula>$J42="►"</formula>
    </cfRule>
  </conditionalFormatting>
  <conditionalFormatting sqref="H42">
    <cfRule type="expression" dxfId="303" priority="107" stopIfTrue="1">
      <formula>$B42=1</formula>
    </cfRule>
    <cfRule type="expression" dxfId="302" priority="108" stopIfTrue="1">
      <formula>OR($B42=0,$B42=2,$B42=3,$B42=4)</formula>
    </cfRule>
  </conditionalFormatting>
  <conditionalFormatting sqref="H42">
    <cfRule type="expression" dxfId="301" priority="106">
      <formula>$J42="►S"</formula>
    </cfRule>
  </conditionalFormatting>
  <conditionalFormatting sqref="D18:G18 I18">
    <cfRule type="expression" dxfId="300" priority="104" stopIfTrue="1">
      <formula>$B18=1</formula>
    </cfRule>
    <cfRule type="expression" dxfId="299" priority="105" stopIfTrue="1">
      <formula>OR($B18=0,$B18=2,$B18=3,$B18=4)</formula>
    </cfRule>
  </conditionalFormatting>
  <conditionalFormatting sqref="N18">
    <cfRule type="expression" dxfId="298" priority="103">
      <formula>$J18="►"</formula>
    </cfRule>
  </conditionalFormatting>
  <conditionalFormatting sqref="H18">
    <cfRule type="expression" dxfId="297" priority="100" stopIfTrue="1">
      <formula>$B18=1</formula>
    </cfRule>
    <cfRule type="expression" dxfId="296" priority="101" stopIfTrue="1">
      <formula>OR($B18=0,$B18=2,$B18=3,$B18=4)</formula>
    </cfRule>
  </conditionalFormatting>
  <conditionalFormatting sqref="H18">
    <cfRule type="expression" dxfId="295" priority="99">
      <formula>$J18="►S"</formula>
    </cfRule>
  </conditionalFormatting>
  <conditionalFormatting sqref="D20:G28 I20:I28">
    <cfRule type="expression" dxfId="294" priority="97" stopIfTrue="1">
      <formula>$B20=1</formula>
    </cfRule>
    <cfRule type="expression" dxfId="293" priority="98" stopIfTrue="1">
      <formula>OR($B20=0,$B20=2,$B20=3,$B20=4)</formula>
    </cfRule>
  </conditionalFormatting>
  <conditionalFormatting sqref="N20:N28">
    <cfRule type="expression" dxfId="292" priority="96">
      <formula>$J20="►"</formula>
    </cfRule>
  </conditionalFormatting>
  <conditionalFormatting sqref="H20:H28">
    <cfRule type="expression" dxfId="291" priority="93" stopIfTrue="1">
      <formula>$B20=1</formula>
    </cfRule>
    <cfRule type="expression" dxfId="290" priority="94" stopIfTrue="1">
      <formula>OR($B20=0,$B20=2,$B20=3,$B20=4)</formula>
    </cfRule>
  </conditionalFormatting>
  <conditionalFormatting sqref="H20:H28">
    <cfRule type="expression" dxfId="289" priority="92">
      <formula>$J20="►S"</formula>
    </cfRule>
  </conditionalFormatting>
  <conditionalFormatting sqref="D29:G37 I29:I37">
    <cfRule type="expression" dxfId="288" priority="90" stopIfTrue="1">
      <formula>$B29=1</formula>
    </cfRule>
    <cfRule type="expression" dxfId="287" priority="91" stopIfTrue="1">
      <formula>OR($B29=0,$B29=2,$B29=3,$B29=4)</formula>
    </cfRule>
  </conditionalFormatting>
  <conditionalFormatting sqref="N29:N37">
    <cfRule type="expression" dxfId="286" priority="89">
      <formula>$J29="►"</formula>
    </cfRule>
  </conditionalFormatting>
  <conditionalFormatting sqref="H29:H37">
    <cfRule type="expression" dxfId="285" priority="86" stopIfTrue="1">
      <formula>$B29=1</formula>
    </cfRule>
    <cfRule type="expression" dxfId="284" priority="87" stopIfTrue="1">
      <formula>OR($B29=0,$B29=2,$B29=3,$B29=4)</formula>
    </cfRule>
  </conditionalFormatting>
  <conditionalFormatting sqref="H29:H37">
    <cfRule type="expression" dxfId="283" priority="85">
      <formula>$J29="►S"</formula>
    </cfRule>
  </conditionalFormatting>
  <conditionalFormatting sqref="D44:G52 I44:I52">
    <cfRule type="expression" dxfId="282" priority="76" stopIfTrue="1">
      <formula>$B44=1</formula>
    </cfRule>
    <cfRule type="expression" dxfId="281" priority="77" stopIfTrue="1">
      <formula>OR($B44=0,$B44=2,$B44=3,$B44=4)</formula>
    </cfRule>
  </conditionalFormatting>
  <conditionalFormatting sqref="N44:N52">
    <cfRule type="expression" dxfId="280" priority="75">
      <formula>$J44="►"</formula>
    </cfRule>
  </conditionalFormatting>
  <conditionalFormatting sqref="H44:H52">
    <cfRule type="expression" dxfId="279" priority="72" stopIfTrue="1">
      <formula>$B44=1</formula>
    </cfRule>
    <cfRule type="expression" dxfId="278" priority="73" stopIfTrue="1">
      <formula>OR($B44=0,$B44=2,$B44=3,$B44=4)</formula>
    </cfRule>
  </conditionalFormatting>
  <conditionalFormatting sqref="H44:H52">
    <cfRule type="expression" dxfId="277" priority="71">
      <formula>$J44="►S"</formula>
    </cfRule>
  </conditionalFormatting>
  <conditionalFormatting sqref="D65:G73 I65:I73">
    <cfRule type="expression" dxfId="276" priority="62" stopIfTrue="1">
      <formula>$B65=1</formula>
    </cfRule>
    <cfRule type="expression" dxfId="275" priority="63" stopIfTrue="1">
      <formula>OR($B65=0,$B65=2,$B65=3,$B65=4)</formula>
    </cfRule>
  </conditionalFormatting>
  <conditionalFormatting sqref="N65:N73">
    <cfRule type="expression" dxfId="274" priority="61">
      <formula>$J65="►"</formula>
    </cfRule>
  </conditionalFormatting>
  <conditionalFormatting sqref="H65:H73">
    <cfRule type="expression" dxfId="273" priority="58" stopIfTrue="1">
      <formula>$B65=1</formula>
    </cfRule>
    <cfRule type="expression" dxfId="272" priority="59" stopIfTrue="1">
      <formula>OR($B65=0,$B65=2,$B65=3,$B65=4)</formula>
    </cfRule>
  </conditionalFormatting>
  <conditionalFormatting sqref="H65:H73">
    <cfRule type="expression" dxfId="271" priority="57">
      <formula>$J65="►S"</formula>
    </cfRule>
  </conditionalFormatting>
  <conditionalFormatting sqref="I74:I82 D74:G82">
    <cfRule type="expression" dxfId="270" priority="55" stopIfTrue="1">
      <formula>$B74=1</formula>
    </cfRule>
    <cfRule type="expression" dxfId="269" priority="56" stopIfTrue="1">
      <formula>OR($B74=0,$B74=2,$B74=3,$B74=4)</formula>
    </cfRule>
  </conditionalFormatting>
  <conditionalFormatting sqref="N74:N82">
    <cfRule type="expression" dxfId="268" priority="54">
      <formula>$J74="►"</formula>
    </cfRule>
  </conditionalFormatting>
  <conditionalFormatting sqref="H74:H82">
    <cfRule type="expression" dxfId="267" priority="51" stopIfTrue="1">
      <formula>$B74=1</formula>
    </cfRule>
    <cfRule type="expression" dxfId="266" priority="52" stopIfTrue="1">
      <formula>OR($B74=0,$B74=2,$B74=3,$B74=4)</formula>
    </cfRule>
  </conditionalFormatting>
  <conditionalFormatting sqref="H74:H82">
    <cfRule type="expression" dxfId="265" priority="50">
      <formula>$J74="►S"</formula>
    </cfRule>
  </conditionalFormatting>
  <conditionalFormatting sqref="D83:G84 I83:I84">
    <cfRule type="expression" dxfId="264" priority="48" stopIfTrue="1">
      <formula>$B83=1</formula>
    </cfRule>
    <cfRule type="expression" dxfId="263" priority="49" stopIfTrue="1">
      <formula>OR($B83=0,$B83=2,$B83=3,$B83=4)</formula>
    </cfRule>
  </conditionalFormatting>
  <conditionalFormatting sqref="N83:N84">
    <cfRule type="expression" dxfId="262" priority="47">
      <formula>$J83="►"</formula>
    </cfRule>
  </conditionalFormatting>
  <conditionalFormatting sqref="H83:H84">
    <cfRule type="expression" dxfId="261" priority="44" stopIfTrue="1">
      <formula>$B83=1</formula>
    </cfRule>
    <cfRule type="expression" dxfId="260" priority="45" stopIfTrue="1">
      <formula>OR($B83=0,$B83=2,$B83=3,$B83=4)</formula>
    </cfRule>
  </conditionalFormatting>
  <conditionalFormatting sqref="H83:H84">
    <cfRule type="expression" dxfId="259" priority="43">
      <formula>$J83="►S"</formula>
    </cfRule>
  </conditionalFormatting>
  <conditionalFormatting sqref="D40:G40 I40">
    <cfRule type="expression" dxfId="258" priority="13" stopIfTrue="1">
      <formula>$B40=1</formula>
    </cfRule>
    <cfRule type="expression" dxfId="257" priority="14" stopIfTrue="1">
      <formula>OR($B40=0,$B40=2,$B40=3,$B40=4)</formula>
    </cfRule>
  </conditionalFormatting>
  <conditionalFormatting sqref="N40">
    <cfRule type="expression" dxfId="256" priority="12">
      <formula>$J40="►"</formula>
    </cfRule>
  </conditionalFormatting>
  <conditionalFormatting sqref="H40">
    <cfRule type="expression" dxfId="255" priority="9" stopIfTrue="1">
      <formula>$B40=1</formula>
    </cfRule>
    <cfRule type="expression" dxfId="254" priority="10" stopIfTrue="1">
      <formula>OR($B40=0,$B40=2,$B40=3,$B40=4)</formula>
    </cfRule>
  </conditionalFormatting>
  <conditionalFormatting sqref="H40">
    <cfRule type="expression" dxfId="253" priority="8">
      <formula>$J40="►S"</formula>
    </cfRule>
  </conditionalFormatting>
  <conditionalFormatting sqref="D62:G62 I62">
    <cfRule type="expression" dxfId="252" priority="6" stopIfTrue="1">
      <formula>$B62=1</formula>
    </cfRule>
    <cfRule type="expression" dxfId="251" priority="7" stopIfTrue="1">
      <formula>OR($B62=0,$B62=2,$B62=3,$B62=4)</formula>
    </cfRule>
  </conditionalFormatting>
  <conditionalFormatting sqref="N62">
    <cfRule type="expression" dxfId="250" priority="5">
      <formula>$J62="►"</formula>
    </cfRule>
  </conditionalFormatting>
  <conditionalFormatting sqref="H62">
    <cfRule type="expression" dxfId="249" priority="2" stopIfTrue="1">
      <formula>$B62=1</formula>
    </cfRule>
    <cfRule type="expression" dxfId="248" priority="3" stopIfTrue="1">
      <formula>OR($B62=0,$B62=2,$B62=3,$B62=4)</formula>
    </cfRule>
  </conditionalFormatting>
  <conditionalFormatting sqref="H62">
    <cfRule type="expression" dxfId="247" priority="1">
      <formula>$J62="►S"</formula>
    </cfRule>
  </conditionalFormatting>
  <dataValidations count="4">
    <dataValidation type="decimal" operator="greaterThan" allowBlank="1" showErrorMessage="1" error="Apenas números decimais maiores que zero." sqref="O14 Q14:Z14 Q16:Z92 O16:O92"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92"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92"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filterMode="1">
    <pageSetUpPr fitToPage="1"/>
  </sheetPr>
  <dimension ref="A1:AF40"/>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activeCell="P25" sqref="P25"/>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IF(AUTOEVENTO="Manual",IF(EVENTOS!$F1&gt;0,"F",""),IF(AND(B1&gt;0,B1&lt;=MAX(CÁLCULO!$M$15:$M$93)),"F",""))</f>
        <v>#REF!</v>
      </c>
      <c r="B1" s="247" t="e">
        <f ca="1">OFFSET(B1,-1,0)+1</f>
        <v>#REF!</v>
      </c>
      <c r="C1" s="514" t="e">
        <f ca="1">IF(AUTOEVENTO="Manual",IF($B1&gt;0,OFFSET(EVENTOS!$D$15,$B1-$B$15,0),0),IF(B1&lt;=MAX(CÁLCULO!$M$15:$M$93),VLOOKUP($B1,CÁLCULO!$M$15:$N$93,2,FALSE),0))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42" t="s">
        <v>757</v>
      </c>
      <c r="AD2" s="743"/>
      <c r="AE2" s="744"/>
    </row>
    <row r="3" spans="1:31" ht="12.75" customHeight="1" x14ac:dyDescent="0.2">
      <c r="G3" s="82"/>
      <c r="AD3" s="483"/>
      <c r="AE3" s="483"/>
    </row>
    <row r="4" spans="1:31" ht="12.75" customHeight="1" x14ac:dyDescent="0.2">
      <c r="B4" s="683" t="s">
        <v>652</v>
      </c>
      <c r="C4" s="683"/>
      <c r="D4" s="683"/>
      <c r="G4" s="721" t="s">
        <v>650</v>
      </c>
      <c r="H4" s="721"/>
      <c r="I4" s="721"/>
      <c r="J4" s="721" t="s">
        <v>707</v>
      </c>
      <c r="K4" s="721"/>
      <c r="L4" s="721"/>
      <c r="M4" s="208" t="s">
        <v>758</v>
      </c>
      <c r="N4" s="212"/>
      <c r="P4" s="186"/>
      <c r="Q4" s="186"/>
      <c r="R4" s="186"/>
      <c r="U4" s="484"/>
      <c r="V4" s="186"/>
      <c r="W4" s="186"/>
      <c r="X4" s="186"/>
      <c r="Y4" s="186"/>
      <c r="AD4" s="483"/>
      <c r="AE4" s="485"/>
    </row>
    <row r="5" spans="1:31" ht="12.75" customHeight="1" x14ac:dyDescent="0.2">
      <c r="B5" s="680" t="str">
        <f>Import.Proponente</f>
        <v>MINISTÉRIO DAS CIDADES</v>
      </c>
      <c r="C5" s="680"/>
      <c r="D5" s="680"/>
      <c r="G5" s="719" t="str">
        <f>Import.CR</f>
        <v>1099388-52</v>
      </c>
      <c r="H5" s="719"/>
      <c r="I5" s="719"/>
      <c r="J5" s="719" t="str">
        <f>Import.SICONV</f>
        <v>974020</v>
      </c>
      <c r="K5" s="719"/>
      <c r="L5" s="719"/>
      <c r="M5" s="732" t="str">
        <f>Import.Apelido</f>
        <v>USINA DE TRIAGEM MECANIZADA</v>
      </c>
      <c r="N5" s="733"/>
      <c r="O5" s="733"/>
      <c r="P5" s="733"/>
      <c r="Q5" s="733"/>
      <c r="R5" s="733"/>
      <c r="S5" s="733"/>
      <c r="T5" s="733"/>
      <c r="U5" s="733"/>
      <c r="V5" s="733"/>
      <c r="W5" s="733"/>
      <c r="X5" s="733"/>
      <c r="Y5" s="733"/>
      <c r="Z5" s="733"/>
      <c r="AA5" s="733"/>
      <c r="AB5" s="733"/>
      <c r="AC5" s="733"/>
      <c r="AD5" s="733"/>
      <c r="AE5" s="745"/>
    </row>
    <row r="6" spans="1:31" ht="14.25" customHeight="1" x14ac:dyDescent="0.25">
      <c r="B6" s="249" t="str" cm="1">
        <f t="array" aca="1" ref="B6" ca="1">IF(ACOMPANHAMENTO="BM","NO ACOMPANHAMENTO POR BM, UTILIZE A ABA CRONO",
  IF(MAX($B$14:$B$26)&lt;MAX(CÁLCULO!$M$15:$M$93),"ERRO: NÚMERO DE EVENTOS INSUFICIENTE, CLIQUE EM ATUALIZAR LINHAS",
  IF(ROUND(OFFSET(CRONO!$AG$57,0,-1),2)&lt;&gt;CRONO!$R$48,"ERRO: CRONOGRAMA NÃO FECHA 100%","")))</f>
        <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str">
        <f>MID(Import.EventoAdmLocal,1,SEARCH(".",Import.EventoAdmLocal)-1)</f>
        <v>3</v>
      </c>
      <c r="B8" s="728" t="s">
        <v>1081</v>
      </c>
      <c r="C8" s="729"/>
      <c r="D8" s="571" t="str">
        <f ca="1">IF($B$7="","",IF(AND($B$15=0,$B$8=""),"◄ Não foi indicado o Evento de Administração Local",IF(ISERROR(MATCH(Import.EventoAdmLocal,$F$15:$F$26,0)),"◄ Selecione um Título de Evento válido para a Administração Local","")))</f>
        <v/>
      </c>
    </row>
    <row r="9" spans="1:31" ht="3.95" customHeight="1" x14ac:dyDescent="0.2">
      <c r="A9" s="548"/>
    </row>
    <row r="10" spans="1:31" ht="15" customHeight="1" x14ac:dyDescent="0.2">
      <c r="A10" s="548">
        <f ca="1">MATCH(VALUE(A8),CÁLCULO!$M$15:$M$93,0)-2</f>
        <v>47</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PROJETOS</v>
      </c>
      <c r="G11" s="252" t="str">
        <f ca="1">IF(G$12&gt;CÁLCULO.FrentesPreenchidas,"",OFFSET(CÁLCULO!$P$12,0,G$12))</f>
        <v>PROJETOS</v>
      </c>
      <c r="H11" s="252" t="str">
        <f ca="1">IF(H$12&gt;CÁLCULO.FrentesPreenchidas,"",OFFSET(CÁLCULO!$P$12,0,H$12))</f>
        <v>SERVIÇOS PRELIMINARES</v>
      </c>
      <c r="I11" s="252" t="str">
        <f ca="1">IF(I$12&gt;CÁLCULO.FrentesPreenchidas,"",OFFSET(CÁLCULO!$P$12,0,I$12))</f>
        <v>ADM LOCAL</v>
      </c>
      <c r="J11" s="252" t="str">
        <f ca="1">IF(J$12&gt;CÁLCULO.FrentesPreenchidas,"",OFFSET(CÁLCULO!$P$12,0,J$12))</f>
        <v>PAVIMENTAÇÃO</v>
      </c>
      <c r="K11" s="252" t="str">
        <f ca="1">IF(K$12&gt;CÁLCULO.FrentesPreenchidas,"",OFFSET(CÁLCULO!$P$12,0,K$12))</f>
        <v>GALPÃO, UNIDADES ADMINISTRATIVAS E ÁREAS DE CONVIVÊNCIA</v>
      </c>
      <c r="L11" s="252" t="str">
        <f ca="1">IF(L$12&gt;CÁLCULO.FrentesPreenchidas,"",OFFSET(CÁLCULO!$P$12,0,L$12))</f>
        <v>PÁTIO DE COMPOSTAGEM</v>
      </c>
      <c r="M11" s="252" t="str">
        <f ca="1">IF(M$12&gt;CÁLCULO.FrentesPreenchidas,"",OFFSET(CÁLCULO!$P$12,0,M$12))</f>
        <v>EQUIPAMENTOS</v>
      </c>
      <c r="N11" s="252" t="str">
        <f ca="1">IF(N$12&gt;CÁLCULO.FrentesPreenchidas,"",OFFSET(CÁLCULO!$P$12,0,N$12))</f>
        <v>SUBESTAÇÃO</v>
      </c>
      <c r="O11" s="252" t="str">
        <f ca="1">IF(O$12&gt;CÁLCULO.FrentesPreenchidas,"",OFFSET(CÁLCULO!$P$12,0,O$12))</f>
        <v>POÇO ARTESIANO</v>
      </c>
      <c r="P11" s="252" t="str">
        <f ca="1">IF(P$12&gt;CÁLCULO.FrentesPreenchidas,"",OFFSET(CÁLCULO!$P$12,0,P$12))</f>
        <v>REDE ELÉTRICA (EXTENSÃO)</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54" t="s">
        <v>760</v>
      </c>
      <c r="C12" s="754"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54"/>
      <c r="C13" s="754"/>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hidden="1" x14ac:dyDescent="0.2">
      <c r="A15" s="7" t="str">
        <f>IF(AUTOEVENTO="Manual",IF(EVENTOS!$F15&gt;0,"F",""),IF(AND(B15&gt;0,B15&lt;=MAX(CÁLCULO!$M$15:$M$93)),"F",""))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IF(AUTOEVENTO="Manual",IF(EVENTOS!$F16&gt;0,"F",""),IF(AND(B16&gt;0,B16&lt;=MAX(CÁLCULO!$M$15:$M$93)),"F",""))</f>
        <v>F</v>
      </c>
      <c r="B16" s="247">
        <f t="shared" ref="B16:B22" ca="1" si="1">OFFSET(B16,-1,0)+1</f>
        <v>1</v>
      </c>
      <c r="C16" s="514" t="str">
        <f ca="1">IF(AUTOEVENTO="Manual",IF($B16&gt;0,OFFSET(EVENTOS!$D$15,$B16-$B$15,0),0),IF(B16&lt;=MAX(CÁLCULO!$M$15:$M$93),VLOOKUP($B16,CÁLCULO!$M$15:$N$93,2,FALSE),0))</f>
        <v>PROJETOS</v>
      </c>
      <c r="D16" s="554"/>
      <c r="E16" s="248"/>
      <c r="F16" t="str">
        <f t="shared" ref="F16:F22" ca="1" si="2">IF($C16=0,"",CONCATENATE($B16,". ",$C16))</f>
        <v>1. PROJETOS</v>
      </c>
      <c r="G16" s="553">
        <v>1</v>
      </c>
      <c r="H16" s="553">
        <v>2</v>
      </c>
      <c r="I16" s="553">
        <v>3</v>
      </c>
      <c r="J16" s="553">
        <v>4</v>
      </c>
      <c r="K16" s="553">
        <v>5</v>
      </c>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IF(AUTOEVENTO="Manual",IF(EVENTOS!$F17&gt;0,"F",""),IF(AND(B17&gt;0,B17&lt;=MAX(CÁLCULO!$M$15:$M$93)),"F",""))</f>
        <v>F</v>
      </c>
      <c r="B17" s="247">
        <f t="shared" ca="1" si="1"/>
        <v>2</v>
      </c>
      <c r="C17" s="514" t="str">
        <f ca="1">IF(AUTOEVENTO="Manual",IF($B17&gt;0,OFFSET(EVENTOS!$D$15,$B17-$B$15,0),0),IF(B17&lt;=MAX(CÁLCULO!$M$15:$M$93),VLOOKUP($B17,CÁLCULO!$M$15:$N$93,2,FALSE),0))</f>
        <v>SERVIÇOS PRELIMINARES</v>
      </c>
      <c r="D17" s="554"/>
      <c r="E17" s="248"/>
      <c r="F17" t="str">
        <f t="shared" ca="1" si="2"/>
        <v>2. SERVIÇOS PRELIMINARES</v>
      </c>
      <c r="G17" s="553">
        <v>1</v>
      </c>
      <c r="H17" s="553">
        <v>2</v>
      </c>
      <c r="I17" s="553">
        <v>3</v>
      </c>
      <c r="J17" s="553">
        <v>4</v>
      </c>
      <c r="K17" s="553">
        <v>5</v>
      </c>
      <c r="L17" s="553">
        <v>1</v>
      </c>
      <c r="M17" s="553">
        <v>2</v>
      </c>
      <c r="N17" s="553">
        <v>3</v>
      </c>
      <c r="O17" s="553">
        <v>4</v>
      </c>
      <c r="P17" s="553">
        <v>5</v>
      </c>
      <c r="Q17" s="553">
        <v>6</v>
      </c>
      <c r="R17" s="553">
        <v>7</v>
      </c>
      <c r="S17" s="553">
        <v>8</v>
      </c>
      <c r="T17" s="553">
        <v>9</v>
      </c>
      <c r="U17" s="553">
        <v>10</v>
      </c>
      <c r="V17" s="553"/>
      <c r="W17" s="553"/>
      <c r="X17" s="553"/>
      <c r="Y17" s="553"/>
      <c r="Z17" s="553"/>
      <c r="AA17" s="553"/>
      <c r="AB17" s="553"/>
      <c r="AC17" s="553"/>
      <c r="AD17" s="553"/>
      <c r="AE17" s="553"/>
    </row>
    <row r="18" spans="1:31" x14ac:dyDescent="0.2">
      <c r="A18" s="7" t="str">
        <f ca="1">IF(AUTOEVENTO="Manual",IF(EVENTOS!$F18&gt;0,"F",""),IF(AND(B18&gt;0,B18&lt;=MAX(CÁLCULO!$M$15:$M$93)),"F",""))</f>
        <v>F</v>
      </c>
      <c r="B18" s="247">
        <f t="shared" ca="1" si="1"/>
        <v>3</v>
      </c>
      <c r="C18" s="514" t="str">
        <f ca="1">IF(AUTOEVENTO="Manual",IF($B18&gt;0,OFFSET(EVENTOS!$D$15,$B18-$B$15,0),0),IF(B18&lt;=MAX(CÁLCULO!$M$15:$M$93),VLOOKUP($B18,CÁLCULO!$M$15:$N$93,2,FALSE),0))</f>
        <v>ADM LOCAL</v>
      </c>
      <c r="D18" s="554"/>
      <c r="E18" s="248"/>
      <c r="F18" t="str">
        <f t="shared" ca="1" si="2"/>
        <v>3. ADM LOCAL</v>
      </c>
      <c r="G18" s="553">
        <v>1</v>
      </c>
      <c r="H18" s="553">
        <v>2</v>
      </c>
      <c r="I18" s="553">
        <v>3</v>
      </c>
      <c r="J18" s="553">
        <v>4</v>
      </c>
      <c r="K18" s="553">
        <v>5</v>
      </c>
      <c r="L18" s="553">
        <v>6</v>
      </c>
      <c r="M18" s="553">
        <v>7</v>
      </c>
      <c r="N18" s="553">
        <v>8</v>
      </c>
      <c r="O18" s="553">
        <v>9</v>
      </c>
      <c r="P18" s="553">
        <v>10</v>
      </c>
      <c r="Q18" s="553"/>
      <c r="R18" s="553"/>
      <c r="S18" s="553"/>
      <c r="T18" s="553"/>
      <c r="U18" s="553"/>
      <c r="V18" s="553">
        <v>1</v>
      </c>
      <c r="W18" s="553">
        <v>2</v>
      </c>
      <c r="X18" s="553">
        <v>3</v>
      </c>
      <c r="Y18" s="553">
        <v>4</v>
      </c>
      <c r="Z18" s="553">
        <v>5</v>
      </c>
      <c r="AA18" s="553">
        <v>6</v>
      </c>
      <c r="AB18" s="553">
        <v>7</v>
      </c>
      <c r="AC18" s="553">
        <v>8</v>
      </c>
      <c r="AD18" s="553">
        <v>9</v>
      </c>
      <c r="AE18" s="553">
        <v>10</v>
      </c>
    </row>
    <row r="19" spans="1:31" x14ac:dyDescent="0.2">
      <c r="A19" s="7" t="str">
        <f ca="1">IF(AUTOEVENTO="Manual",IF(EVENTOS!$F19&gt;0,"F",""),IF(AND(B19&gt;0,B19&lt;=MAX(CÁLCULO!$M$15:$M$93)),"F",""))</f>
        <v>F</v>
      </c>
      <c r="B19" s="247">
        <f t="shared" ca="1" si="1"/>
        <v>4</v>
      </c>
      <c r="C19" s="514" t="str">
        <f ca="1">IF(AUTOEVENTO="Manual",IF($B19&gt;0,OFFSET(EVENTOS!$D$15,$B19-$B$15,0),0),IF(B19&lt;=MAX(CÁLCULO!$M$15:$M$93),VLOOKUP($B19,CÁLCULO!$M$15:$N$93,2,FALSE),0))</f>
        <v>PAVIMENTAÇÃO</v>
      </c>
      <c r="D19" s="554"/>
      <c r="E19" s="248"/>
      <c r="F19" t="str">
        <f t="shared" ca="1" si="2"/>
        <v>4. PAVIMENTAÇÃO</v>
      </c>
      <c r="G19" s="553"/>
      <c r="H19" s="553">
        <v>2</v>
      </c>
      <c r="I19" s="553">
        <v>3</v>
      </c>
      <c r="J19" s="553">
        <v>4</v>
      </c>
      <c r="K19" s="553">
        <v>5</v>
      </c>
      <c r="L19" s="553">
        <v>6</v>
      </c>
      <c r="M19" s="553">
        <v>7</v>
      </c>
      <c r="N19" s="553">
        <v>8</v>
      </c>
      <c r="O19" s="553">
        <v>9</v>
      </c>
      <c r="P19" s="553">
        <v>10</v>
      </c>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IF(AUTOEVENTO="Manual",IF(EVENTOS!$F20&gt;0,"F",""),IF(AND(B20&gt;0,B20&lt;=MAX(CÁLCULO!$M$15:$M$93)),"F",""))</f>
        <v>F</v>
      </c>
      <c r="B20" s="247">
        <f t="shared" ca="1" si="1"/>
        <v>5</v>
      </c>
      <c r="C20" s="514" t="str">
        <f ca="1">IF(AUTOEVENTO="Manual",IF($B20&gt;0,OFFSET(EVENTOS!$D$15,$B20-$B$15,0),0),IF(B20&lt;=MAX(CÁLCULO!$M$15:$M$93),VLOOKUP($B20,CÁLCULO!$M$15:$N$93,2,FALSE),0))</f>
        <v>GALPÃO, UNIDADES ADMINISTRATIVAS E ÁREAS DE CONVIVÊNCIA</v>
      </c>
      <c r="D20" s="554"/>
      <c r="E20" s="248"/>
      <c r="F20" t="str">
        <f t="shared" ca="1" si="2"/>
        <v>5. GALPÃO, UNIDADES ADMINISTRATIVAS E ÁREAS DE CONVIVÊNCIA</v>
      </c>
      <c r="G20" s="553"/>
      <c r="H20" s="553">
        <v>2</v>
      </c>
      <c r="I20" s="553">
        <v>3</v>
      </c>
      <c r="J20" s="553">
        <v>4</v>
      </c>
      <c r="K20" s="553">
        <v>5</v>
      </c>
      <c r="L20" s="553">
        <v>6</v>
      </c>
      <c r="M20" s="553">
        <v>7</v>
      </c>
      <c r="N20" s="553">
        <v>8</v>
      </c>
      <c r="O20" s="553">
        <v>9</v>
      </c>
      <c r="P20" s="553"/>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IF(AUTOEVENTO="Manual",IF(EVENTOS!$F21&gt;0,"F",""),IF(AND(B21&gt;0,B21&lt;=MAX(CÁLCULO!$M$15:$M$93)),"F",""))</f>
        <v>F</v>
      </c>
      <c r="B21" s="247">
        <f t="shared" ca="1" si="1"/>
        <v>6</v>
      </c>
      <c r="C21" s="514" t="str">
        <f ca="1">IF(AUTOEVENTO="Manual",IF($B21&gt;0,OFFSET(EVENTOS!$D$15,$B21-$B$15,0),0),IF(B21&lt;=MAX(CÁLCULO!$M$15:$M$93),VLOOKUP($B21,CÁLCULO!$M$15:$N$93,2,FALSE),0))</f>
        <v>PÁTIO DE COMPOSTAGEM</v>
      </c>
      <c r="D21" s="554"/>
      <c r="E21" s="248"/>
      <c r="F21" t="str">
        <f t="shared" ca="1" si="2"/>
        <v>6. PÁTIO DE COMPOSTAGEM</v>
      </c>
      <c r="G21" s="553"/>
      <c r="H21" s="553"/>
      <c r="I21" s="553"/>
      <c r="J21" s="553"/>
      <c r="K21" s="553"/>
      <c r="L21" s="553"/>
      <c r="M21" s="553"/>
      <c r="N21" s="553">
        <v>8</v>
      </c>
      <c r="O21" s="553">
        <v>9</v>
      </c>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IF(AUTOEVENTO="Manual",IF(EVENTOS!$F22&gt;0,"F",""),IF(AND(B22&gt;0,B22&lt;=MAX(CÁLCULO!$M$15:$M$93)),"F",""))</f>
        <v>F</v>
      </c>
      <c r="B22" s="247">
        <f t="shared" ca="1" si="1"/>
        <v>7</v>
      </c>
      <c r="C22" s="514" t="str">
        <f ca="1">IF(AUTOEVENTO="Manual",IF($B22&gt;0,OFFSET(EVENTOS!$D$15,$B22-$B$15,0),0),IF(B22&lt;=MAX(CÁLCULO!$M$15:$M$93),VLOOKUP($B22,CÁLCULO!$M$15:$N$93,2,FALSE),0))</f>
        <v>EQUIPAMENTOS</v>
      </c>
      <c r="D22" s="554"/>
      <c r="E22" s="248"/>
      <c r="F22" t="str">
        <f t="shared" ca="1" si="2"/>
        <v>7. EQUIPAMENTOS</v>
      </c>
      <c r="G22" s="553"/>
      <c r="H22" s="553"/>
      <c r="I22" s="553"/>
      <c r="J22" s="553"/>
      <c r="K22" s="553"/>
      <c r="L22" s="553"/>
      <c r="M22" s="553"/>
      <c r="N22" s="553"/>
      <c r="O22" s="553">
        <v>9</v>
      </c>
      <c r="P22" s="553">
        <v>10</v>
      </c>
      <c r="Q22" s="553"/>
      <c r="R22" s="553"/>
      <c r="S22" s="553"/>
      <c r="T22" s="553"/>
      <c r="U22" s="553"/>
      <c r="V22" s="553"/>
      <c r="W22" s="553"/>
      <c r="X22" s="553"/>
      <c r="Y22" s="553"/>
      <c r="Z22" s="553"/>
      <c r="AA22" s="553"/>
      <c r="AB22" s="553"/>
      <c r="AC22" s="553"/>
      <c r="AD22" s="553"/>
      <c r="AE22" s="553"/>
    </row>
    <row r="23" spans="1:31" x14ac:dyDescent="0.2">
      <c r="A23" s="7" t="str">
        <f ca="1">IF(AUTOEVENTO="Manual",IF(EVENTOS!$F23&gt;0,"F",""),IF(AND(B23&gt;0,B23&lt;=MAX(CÁLCULO!$M$15:$M$93)),"F",""))</f>
        <v>F</v>
      </c>
      <c r="B23" s="247">
        <f ca="1">OFFSET(B23,-1,0)+1</f>
        <v>8</v>
      </c>
      <c r="C23" s="514" t="str">
        <f ca="1">IF(AUTOEVENTO="Manual",IF($B23&gt;0,OFFSET(EVENTOS!$D$15,$B23-$B$15,0),0),IF(B23&lt;=MAX(CÁLCULO!$M$15:$M$93),VLOOKUP($B23,CÁLCULO!$M$15:$N$93,2,FALSE),0))</f>
        <v>SUBESTAÇÃO</v>
      </c>
      <c r="D23" s="554"/>
      <c r="E23" s="248"/>
      <c r="F23" t="str">
        <f ca="1">IF($C23=0,"",CONCATENATE($B23,". ",$C23))</f>
        <v>8. SUBESTAÇÃO</v>
      </c>
      <c r="G23" s="553"/>
      <c r="H23" s="553"/>
      <c r="I23" s="553"/>
      <c r="J23" s="553"/>
      <c r="K23" s="553">
        <v>5</v>
      </c>
      <c r="L23" s="553">
        <v>6</v>
      </c>
      <c r="M23" s="553">
        <v>7</v>
      </c>
      <c r="N23" s="553">
        <v>8</v>
      </c>
      <c r="O23" s="553">
        <v>9</v>
      </c>
      <c r="P23" s="553"/>
      <c r="Q23" s="553"/>
      <c r="R23" s="553"/>
      <c r="S23" s="553"/>
      <c r="T23" s="553"/>
      <c r="U23" s="553"/>
      <c r="V23" s="553"/>
      <c r="W23" s="553"/>
      <c r="X23" s="553"/>
      <c r="Y23" s="553"/>
      <c r="Z23" s="553"/>
      <c r="AA23" s="553"/>
      <c r="AB23" s="553"/>
      <c r="AC23" s="553"/>
      <c r="AD23" s="553"/>
      <c r="AE23" s="553"/>
    </row>
    <row r="24" spans="1:31" x14ac:dyDescent="0.2">
      <c r="A24" s="7" t="str">
        <f ca="1">IF(AUTOEVENTO="Manual",IF(EVENTOS!$F24&gt;0,"F",""),IF(AND(B24&gt;0,B24&lt;=MAX(CÁLCULO!$M$15:$M$93)),"F",""))</f>
        <v>F</v>
      </c>
      <c r="B24" s="247">
        <f t="shared" ref="B24:B25" ca="1" si="3">OFFSET(B24,-1,0)+1</f>
        <v>9</v>
      </c>
      <c r="C24" s="514" t="str">
        <f ca="1">IF(AUTOEVENTO="Manual",IF($B24&gt;0,OFFSET(EVENTOS!$D$15,$B24-$B$15,0),0),IF(B24&lt;=MAX(CÁLCULO!$M$15:$M$93),VLOOKUP($B24,CÁLCULO!$M$15:$N$93,2,FALSE),0))</f>
        <v>POÇO</v>
      </c>
      <c r="D24" s="554"/>
      <c r="E24" s="248"/>
      <c r="F24" t="str">
        <f t="shared" ref="F24:F25" ca="1" si="4">IF($C24=0,"",CONCATENATE($B24,". ",$C24))</f>
        <v>9. POÇO</v>
      </c>
      <c r="G24" s="553"/>
      <c r="H24" s="553">
        <v>2</v>
      </c>
      <c r="I24" s="553">
        <v>3</v>
      </c>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x14ac:dyDescent="0.2">
      <c r="A25" s="7" t="str">
        <f ca="1">IF(AUTOEVENTO="Manual",IF(EVENTOS!$F25&gt;0,"F",""),IF(AND(B25&gt;0,B25&lt;=MAX(CÁLCULO!$M$15:$M$93)),"F",""))</f>
        <v>F</v>
      </c>
      <c r="B25" s="247">
        <f t="shared" ca="1" si="3"/>
        <v>10</v>
      </c>
      <c r="C25" s="514" t="str">
        <f ca="1">IF(AUTOEVENTO="Manual",IF($B25&gt;0,OFFSET(EVENTOS!$D$15,$B25-$B$15,0),0),IF(B25&lt;=MAX(CÁLCULO!$M$15:$M$93),VLOOKUP($B25,CÁLCULO!$M$15:$N$93,2,FALSE),0))</f>
        <v>REDE ELÉTRICA (EXTENSÃO)</v>
      </c>
      <c r="D25" s="554"/>
      <c r="E25" s="248"/>
      <c r="F25" t="str">
        <f t="shared" ca="1" si="4"/>
        <v>10. REDE ELÉTRICA (EXTENSÃO)</v>
      </c>
      <c r="G25" s="553"/>
      <c r="H25" s="553">
        <v>2</v>
      </c>
      <c r="I25" s="553">
        <v>3</v>
      </c>
      <c r="J25" s="553">
        <v>4</v>
      </c>
      <c r="K25" s="553">
        <v>5</v>
      </c>
      <c r="L25" s="553">
        <v>6</v>
      </c>
      <c r="M25" s="553"/>
      <c r="N25" s="553"/>
      <c r="O25" s="553"/>
      <c r="P25" s="553"/>
      <c r="Q25" s="553"/>
      <c r="R25" s="553"/>
      <c r="S25" s="553"/>
      <c r="T25" s="553"/>
      <c r="U25" s="553"/>
      <c r="V25" s="553"/>
      <c r="W25" s="553"/>
      <c r="X25" s="553"/>
      <c r="Y25" s="553"/>
      <c r="Z25" s="553"/>
      <c r="AA25" s="553"/>
      <c r="AB25" s="553"/>
      <c r="AC25" s="553"/>
      <c r="AD25" s="553"/>
      <c r="AE25" s="553"/>
    </row>
    <row r="26" spans="1:31" ht="5.0999999999999996" customHeight="1" x14ac:dyDescent="0.2">
      <c r="A26" t="s">
        <v>536</v>
      </c>
      <c r="B26" s="638"/>
      <c r="C26" s="433"/>
      <c r="D26" s="555"/>
      <c r="E26" s="262"/>
      <c r="F26" s="262"/>
      <c r="G26" s="638"/>
      <c r="H26" s="639"/>
      <c r="I26" s="639"/>
      <c r="J26" s="639"/>
      <c r="K26" s="639"/>
      <c r="L26" s="639"/>
      <c r="M26" s="639"/>
      <c r="N26" s="639"/>
      <c r="O26" s="639"/>
      <c r="P26" s="639"/>
      <c r="Q26" s="639"/>
      <c r="R26" s="639"/>
      <c r="S26" s="639"/>
      <c r="T26" s="639"/>
      <c r="U26" s="639"/>
      <c r="V26" s="639"/>
      <c r="W26" s="639"/>
      <c r="X26" s="639"/>
      <c r="Y26" s="639"/>
      <c r="Z26" s="639"/>
      <c r="AA26" s="639"/>
      <c r="AB26" s="639"/>
      <c r="AC26" s="639"/>
      <c r="AD26" s="639"/>
      <c r="AE26" s="433"/>
    </row>
    <row r="27" spans="1:31" ht="6" customHeight="1" x14ac:dyDescent="0.2">
      <c r="A27" s="7" t="s">
        <v>536</v>
      </c>
    </row>
    <row r="28" spans="1:31" ht="15" x14ac:dyDescent="0.2">
      <c r="A28" s="7" t="s">
        <v>536</v>
      </c>
      <c r="C28" s="486" t="s">
        <v>779</v>
      </c>
      <c r="H28" s="755">
        <f>(ROW($G28)-ROW($G$28))/8*12+1</f>
        <v>1</v>
      </c>
      <c r="I28" s="755"/>
      <c r="J28" s="755">
        <f>H28+1</f>
        <v>2</v>
      </c>
      <c r="K28" s="755"/>
      <c r="L28" s="755">
        <f>J28+1</f>
        <v>3</v>
      </c>
      <c r="M28" s="755"/>
      <c r="N28" s="755">
        <f>L28+1</f>
        <v>4</v>
      </c>
      <c r="O28" s="755"/>
      <c r="P28" s="755">
        <f>N28+1</f>
        <v>5</v>
      </c>
      <c r="Q28" s="755"/>
      <c r="R28" s="755">
        <f>P28+1</f>
        <v>6</v>
      </c>
      <c r="S28" s="755"/>
      <c r="T28" s="755">
        <f>R28+1</f>
        <v>7</v>
      </c>
      <c r="U28" s="755"/>
      <c r="V28" s="755">
        <f>T28+1</f>
        <v>8</v>
      </c>
      <c r="W28" s="755"/>
      <c r="X28" s="755">
        <f>V28+1</f>
        <v>9</v>
      </c>
      <c r="Y28" s="755"/>
      <c r="Z28" s="755">
        <f>X28+1</f>
        <v>10</v>
      </c>
      <c r="AA28" s="755"/>
      <c r="AB28" s="755">
        <f>Z28+1</f>
        <v>11</v>
      </c>
      <c r="AC28" s="755"/>
      <c r="AD28" s="755">
        <f>AB28+1</f>
        <v>12</v>
      </c>
      <c r="AE28" s="755"/>
    </row>
    <row r="29" spans="1:31" ht="12.75" customHeight="1" x14ac:dyDescent="0.2">
      <c r="A29" s="7" t="s">
        <v>536</v>
      </c>
      <c r="C29" s="758" t="s">
        <v>780</v>
      </c>
      <c r="G29" s="551" t="s">
        <v>781</v>
      </c>
      <c r="H29" s="756">
        <f ca="1">OFFSET(CRONO!$T$48,0,CRONOPLE!H28)</f>
        <v>6.6509498739545231E-3</v>
      </c>
      <c r="I29" s="756"/>
      <c r="J29" s="756">
        <f ca="1">OFFSET(CRONO!$T$48,0,CRONOPLE!J28)</f>
        <v>2.6141215052486094E-2</v>
      </c>
      <c r="K29" s="756"/>
      <c r="L29" s="756">
        <f ca="1">OFFSET(CRONO!$T$48,0,CRONOPLE!L28)</f>
        <v>4.2148129299696899E-2</v>
      </c>
      <c r="M29" s="756"/>
      <c r="N29" s="756">
        <f ca="1">OFFSET(CRONO!$T$48,0,CRONOPLE!N28)</f>
        <v>4.8941284816341059E-2</v>
      </c>
      <c r="O29" s="756"/>
      <c r="P29" s="756">
        <f ca="1">OFFSET(CRONO!$T$48,0,CRONOPLE!P28)</f>
        <v>5.3808785875984526E-2</v>
      </c>
      <c r="Q29" s="756"/>
      <c r="R29" s="756">
        <f ca="1">OFFSET(CRONO!$T$48,0,CRONOPLE!R28)</f>
        <v>4.2795545509236629E-2</v>
      </c>
      <c r="S29" s="756"/>
      <c r="T29" s="756">
        <f ca="1">OFFSET(CRONO!$T$48,0,CRONOPLE!T28)</f>
        <v>2.9928494105231004E-2</v>
      </c>
      <c r="U29" s="756"/>
      <c r="V29" s="756">
        <f ca="1">OFFSET(CRONO!$T$48,0,CRONOPLE!V28)</f>
        <v>3.792840341429482E-2</v>
      </c>
      <c r="W29" s="756"/>
      <c r="X29" s="756">
        <f ca="1">OFFSET(CRONO!$T$48,0,CRONOPLE!X28)</f>
        <v>4.8572286864309928E-2</v>
      </c>
      <c r="Y29" s="756"/>
      <c r="Z29" s="756">
        <f ca="1">OFFSET(CRONO!$T$48,0,CRONOPLE!Z28)</f>
        <v>0.66308490518846452</v>
      </c>
      <c r="AA29" s="756"/>
      <c r="AB29" s="756">
        <f ca="1">OFFSET(CRONO!$T$48,0,CRONOPLE!AB28)</f>
        <v>0</v>
      </c>
      <c r="AC29" s="756"/>
      <c r="AD29" s="756">
        <f ca="1">OFFSET(CRONO!$T$48,0,CRONOPLE!AD28)</f>
        <v>0</v>
      </c>
      <c r="AE29" s="756"/>
    </row>
    <row r="30" spans="1:31" ht="12.75" customHeight="1" x14ac:dyDescent="0.2">
      <c r="A30" s="7" t="s">
        <v>536</v>
      </c>
      <c r="C30" s="761"/>
      <c r="G30" s="487" t="s">
        <v>782</v>
      </c>
      <c r="H30" s="762">
        <f ca="1">OFFSET(CRONO!$T$52,0,CRONOPLE!H28)</f>
        <v>142296.15</v>
      </c>
      <c r="I30" s="762"/>
      <c r="J30" s="748">
        <f ca="1">OFFSET(CRONO!$T$52,0,CRONOPLE!J28)</f>
        <v>559287.66999999993</v>
      </c>
      <c r="K30" s="749"/>
      <c r="L30" s="748">
        <f ca="1">OFFSET(CRONO!$T$52,0,CRONOPLE!L28)</f>
        <v>901753.38</v>
      </c>
      <c r="M30" s="749"/>
      <c r="N30" s="748">
        <f ca="1">OFFSET(CRONO!$T$52,0,CRONOPLE!N28)</f>
        <v>1047092.0000000002</v>
      </c>
      <c r="O30" s="749"/>
      <c r="P30" s="748">
        <f ca="1">OFFSET(CRONO!$T$52,0,CRONOPLE!P28)</f>
        <v>1151231.5099999998</v>
      </c>
      <c r="Q30" s="749"/>
      <c r="R30" s="748">
        <f ca="1">OFFSET(CRONO!$T$52,0,CRONOPLE!R28)</f>
        <v>915604.75999999978</v>
      </c>
      <c r="S30" s="749"/>
      <c r="T30" s="748">
        <f ca="1">OFFSET(CRONO!$T$52,0,CRONOPLE!T28)</f>
        <v>640315.98000000045</v>
      </c>
      <c r="U30" s="749"/>
      <c r="V30" s="748">
        <f ca="1">OFFSET(CRONO!$T$52,0,CRONOPLE!V28)</f>
        <v>811472.9299999997</v>
      </c>
      <c r="W30" s="749"/>
      <c r="X30" s="748">
        <f ca="1">OFFSET(CRONO!$T$52,0,CRONOPLE!X28)</f>
        <v>1039197.3399999999</v>
      </c>
      <c r="Y30" s="749"/>
      <c r="Z30" s="748">
        <f ca="1">OFFSET(CRONO!$T$52,0,CRONOPLE!Z28)</f>
        <v>14186609.57</v>
      </c>
      <c r="AA30" s="749"/>
      <c r="AB30" s="748">
        <f ca="1">OFFSET(CRONO!$T$52,0,CRONOPLE!AB28)</f>
        <v>0</v>
      </c>
      <c r="AC30" s="749"/>
      <c r="AD30" s="748">
        <f ca="1">OFFSET(CRONO!$T$52,0,CRONOPLE!AD28)</f>
        <v>0</v>
      </c>
      <c r="AE30" s="749"/>
    </row>
    <row r="31" spans="1:31" ht="12.75" customHeight="1" x14ac:dyDescent="0.2">
      <c r="A31" s="7" t="s">
        <v>536</v>
      </c>
      <c r="C31" s="758" t="s">
        <v>783</v>
      </c>
      <c r="G31" s="551" t="s">
        <v>781</v>
      </c>
      <c r="H31" s="756">
        <f ca="1">OFFSET(CRONO!$T$53,0,CRONOPLE!H28)</f>
        <v>6.7000000000000002E-3</v>
      </c>
      <c r="I31" s="756"/>
      <c r="J31" s="750">
        <f ca="1">OFFSET(CRONO!$T$53,0,CRONOPLE!J28)</f>
        <v>3.2800000000000003E-2</v>
      </c>
      <c r="K31" s="751"/>
      <c r="L31" s="750">
        <f ca="1">OFFSET(CRONO!$T$53,0,CRONOPLE!L28)</f>
        <v>7.4899999999999994E-2</v>
      </c>
      <c r="M31" s="751"/>
      <c r="N31" s="750">
        <f ca="1">OFFSET(CRONO!$T$53,0,CRONOPLE!N28)</f>
        <v>0.1239</v>
      </c>
      <c r="O31" s="751"/>
      <c r="P31" s="750">
        <f ca="1">OFFSET(CRONO!$T$53,0,CRONOPLE!P28)</f>
        <v>0.1777</v>
      </c>
      <c r="Q31" s="751"/>
      <c r="R31" s="750">
        <f ca="1">OFFSET(CRONO!$T$53,0,CRONOPLE!R28)</f>
        <v>0.2205</v>
      </c>
      <c r="S31" s="751"/>
      <c r="T31" s="750">
        <f ca="1">OFFSET(CRONO!$T$53,0,CRONOPLE!T28)</f>
        <v>0.25040000000000001</v>
      </c>
      <c r="U31" s="751"/>
      <c r="V31" s="750">
        <f ca="1">OFFSET(CRONO!$T$53,0,CRONOPLE!V28)</f>
        <v>0.2883</v>
      </c>
      <c r="W31" s="751"/>
      <c r="X31" s="750">
        <f ca="1">OFFSET(CRONO!$T$53,0,CRONOPLE!X28)</f>
        <v>0.33689999999999998</v>
      </c>
      <c r="Y31" s="751"/>
      <c r="Z31" s="750">
        <f ca="1">OFFSET(CRONO!$T$53,0,CRONOPLE!Z28)</f>
        <v>1</v>
      </c>
      <c r="AA31" s="751"/>
      <c r="AB31" s="750">
        <f ca="1">OFFSET(CRONO!$T$53,0,CRONOPLE!AB28)</f>
        <v>1</v>
      </c>
      <c r="AC31" s="751"/>
      <c r="AD31" s="750">
        <f ca="1">OFFSET(CRONO!$T$53,0,CRONOPLE!AD28)</f>
        <v>1</v>
      </c>
      <c r="AE31" s="751"/>
    </row>
    <row r="32" spans="1:31" ht="12.75" customHeight="1" x14ac:dyDescent="0.2">
      <c r="A32" s="7" t="s">
        <v>536</v>
      </c>
      <c r="C32" s="759"/>
      <c r="G32" s="487" t="s">
        <v>782</v>
      </c>
      <c r="H32" s="760">
        <f ca="1">OFFSET(CRONO!$T$57,0,CRONOPLE!H28)</f>
        <v>142296.15</v>
      </c>
      <c r="I32" s="760"/>
      <c r="J32" s="752">
        <f ca="1">OFFSET(CRONO!$T$57,0,CRONOPLE!J28)</f>
        <v>701583.82</v>
      </c>
      <c r="K32" s="753"/>
      <c r="L32" s="752">
        <f ca="1">OFFSET(CRONO!$T$57,0,CRONOPLE!L28)</f>
        <v>1603337.1999999997</v>
      </c>
      <c r="M32" s="753"/>
      <c r="N32" s="752">
        <f ca="1">OFFSET(CRONO!$T$57,0,CRONOPLE!N28)</f>
        <v>2650429.1999999997</v>
      </c>
      <c r="O32" s="753"/>
      <c r="P32" s="752">
        <f ca="1">OFFSET(CRONO!$T$57,0,CRONOPLE!P28)</f>
        <v>3801660.71</v>
      </c>
      <c r="Q32" s="753"/>
      <c r="R32" s="752">
        <f ca="1">OFFSET(CRONO!$T$57,0,CRONOPLE!R28)</f>
        <v>4717265.47</v>
      </c>
      <c r="S32" s="753"/>
      <c r="T32" s="752">
        <f ca="1">OFFSET(CRONO!$T$57,0,CRONOPLE!T28)</f>
        <v>5357581.4499999993</v>
      </c>
      <c r="U32" s="753"/>
      <c r="V32" s="752">
        <f ca="1">OFFSET(CRONO!$T$57,0,CRONOPLE!V28)</f>
        <v>6169054.379999999</v>
      </c>
      <c r="W32" s="753"/>
      <c r="X32" s="752">
        <f ca="1">OFFSET(CRONO!$T$57,0,CRONOPLE!X28)</f>
        <v>7208251.7199999988</v>
      </c>
      <c r="Y32" s="753"/>
      <c r="Z32" s="752">
        <f ca="1">OFFSET(CRONO!$T$57,0,CRONOPLE!Z28)</f>
        <v>21394861.289999999</v>
      </c>
      <c r="AA32" s="753"/>
      <c r="AB32" s="752">
        <f ca="1">OFFSET(CRONO!$T$57,0,CRONOPLE!AB28)</f>
        <v>21394861.289999999</v>
      </c>
      <c r="AC32" s="753"/>
      <c r="AD32" s="752">
        <f ca="1">OFFSET(CRONO!$T$57,0,CRONOPLE!AD28)</f>
        <v>21394861.289999999</v>
      </c>
      <c r="AE32" s="753"/>
    </row>
    <row r="33" spans="1:31" ht="12.75" customHeight="1" x14ac:dyDescent="0.2">
      <c r="A33" s="7" t="s">
        <v>536</v>
      </c>
      <c r="C33" s="552" t="s">
        <v>784</v>
      </c>
      <c r="D33" s="550"/>
      <c r="G33" s="551" t="s">
        <v>781</v>
      </c>
      <c r="H33" s="756">
        <f ca="1">OFFSET(CRONO!$T$58,0,CRONOPLE!H28)</f>
        <v>3.7274508016888206E-3</v>
      </c>
      <c r="I33" s="756"/>
      <c r="J33" s="746">
        <f ca="1">OFFSET(CRONO!$T$58,0,CRONOPLE!J28)</f>
        <v>2.2789824122476821E-2</v>
      </c>
      <c r="K33" s="747"/>
      <c r="L33" s="746">
        <f ca="1">OFFSET(CRONO!$T$58,0,CRONOPLE!L28)</f>
        <v>6.2024530801563546E-2</v>
      </c>
      <c r="M33" s="747"/>
      <c r="N33" s="746">
        <f ca="1">OFFSET(CRONO!$T$58,0,CRONOPLE!N28)</f>
        <v>0.11066223546089562</v>
      </c>
      <c r="O33" s="747"/>
      <c r="P33" s="746">
        <f ca="1">OFFSET(CRONO!$T$58,0,CRONOPLE!P28)</f>
        <v>0.16422142999435704</v>
      </c>
      <c r="Q33" s="747"/>
      <c r="R33" s="746">
        <f ca="1">OFFSET(CRONO!$T$58,0,CRONOPLE!R28)</f>
        <v>0.2079263917774101</v>
      </c>
      <c r="S33" s="747"/>
      <c r="T33" s="746">
        <f ca="1">OFFSET(CRONO!$T$58,0,CRONOPLE!T28)</f>
        <v>0.23850101093892662</v>
      </c>
      <c r="U33" s="747"/>
      <c r="V33" s="746">
        <f ca="1">OFFSET(CRONO!$T$58,0,CRONOPLE!V28)</f>
        <v>0.27706016592763993</v>
      </c>
      <c r="W33" s="747"/>
      <c r="X33" s="746">
        <f ca="1">OFFSET(CRONO!$T$58,0,CRONOPLE!X28)</f>
        <v>0.32629491666329163</v>
      </c>
      <c r="Y33" s="747"/>
      <c r="Z33" s="746">
        <f ca="1">OFFSET(CRONO!$T$58,0,CRONOPLE!Z28)</f>
        <v>1</v>
      </c>
      <c r="AA33" s="747"/>
      <c r="AB33" s="746">
        <f ca="1">OFFSET(CRONO!$T$58,0,CRONOPLE!AB28)</f>
        <v>1</v>
      </c>
      <c r="AC33" s="747"/>
      <c r="AD33" s="746">
        <f ca="1">OFFSET(CRONO!$T$58,0,CRONOPLE!AD28)</f>
        <v>1</v>
      </c>
      <c r="AE33" s="747"/>
    </row>
    <row r="34" spans="1:31" ht="15" customHeight="1" x14ac:dyDescent="0.25">
      <c r="A34" s="7" t="s">
        <v>536</v>
      </c>
      <c r="C34" s="549"/>
      <c r="G34" s="583" t="str">
        <f ca="1">IF(COUNTIF(H34:AF34,"%Adm&gt;%Global")&gt;0,"Verificar proporcionalidade da Administração Local","")</f>
        <v/>
      </c>
      <c r="H34" s="535" t="str">
        <f ca="1">IF(H33="","",IF(ROUND(H33,4)&gt;ROUND(H31,4),"%Adm&gt;%Global",""))</f>
        <v/>
      </c>
      <c r="J34" s="535" t="str">
        <f t="shared" ref="J34" ca="1" si="5">IF(J33="","",IF(ROUND(J33,4)&gt;ROUND(J31,4),"%Adm&gt;%Global",""))</f>
        <v/>
      </c>
      <c r="L34" s="535" t="str">
        <f t="shared" ref="L34" ca="1" si="6">IF(L33="","",IF(ROUND(L33,4)&gt;ROUND(L31,4),"%Adm&gt;%Global",""))</f>
        <v/>
      </c>
      <c r="N34" s="535" t="str">
        <f t="shared" ref="N34" ca="1" si="7">IF(N33="","",IF(ROUND(N33,4)&gt;ROUND(N31,4),"%Adm&gt;%Global",""))</f>
        <v/>
      </c>
      <c r="P34" s="535" t="str">
        <f t="shared" ref="P34" ca="1" si="8">IF(P33="","",IF(ROUND(P33,4)&gt;ROUND(P31,4),"%Adm&gt;%Global",""))</f>
        <v/>
      </c>
      <c r="R34" s="535" t="str">
        <f t="shared" ref="R34" ca="1" si="9">IF(R33="","",IF(ROUND(R33,4)&gt;ROUND(R31,4),"%Adm&gt;%Global",""))</f>
        <v/>
      </c>
      <c r="T34" s="535" t="str">
        <f t="shared" ref="T34" ca="1" si="10">IF(T33="","",IF(ROUND(T33,4)&gt;ROUND(T31,4),"%Adm&gt;%Global",""))</f>
        <v/>
      </c>
      <c r="V34" s="535" t="str">
        <f t="shared" ref="V34" ca="1" si="11">IF(V33="","",IF(ROUND(V33,4)&gt;ROUND(V31,4),"%Adm&gt;%Global",""))</f>
        <v/>
      </c>
      <c r="X34" s="535" t="str">
        <f t="shared" ref="X34" ca="1" si="12">IF(X33="","",IF(ROUND(X33,4)&gt;ROUND(X31,4),"%Adm&gt;%Global",""))</f>
        <v/>
      </c>
      <c r="Z34" s="535" t="str">
        <f t="shared" ref="Z34" ca="1" si="13">IF(Z33="","",IF(ROUND(Z33,4)&gt;ROUND(Z31,4),"%Adm&gt;%Global",""))</f>
        <v/>
      </c>
      <c r="AB34" s="535" t="str">
        <f t="shared" ref="AB34" ca="1" si="14">IF(AB33="","",IF(ROUND(AB33,4)&gt;ROUND(AB31,4),"%Adm&gt;%Global",""))</f>
        <v/>
      </c>
      <c r="AD34" s="535" t="str">
        <f t="shared" ref="AD34" ca="1" si="15">IF(AD33="","",IF(ROUND(AD33,4)&gt;ROUND(AD31,4),"%Adm&gt;%Global",""))</f>
        <v/>
      </c>
    </row>
    <row r="35" spans="1:31" x14ac:dyDescent="0.2">
      <c r="A35" s="7" t="s">
        <v>536</v>
      </c>
    </row>
    <row r="36" spans="1:31" ht="15" x14ac:dyDescent="0.2">
      <c r="A36" s="7" t="s">
        <v>536</v>
      </c>
      <c r="B36" s="138" t="str">
        <f>Import.Município</f>
        <v>BURITIZEIRO-MG</v>
      </c>
      <c r="C36" s="138"/>
      <c r="E36" s="488"/>
      <c r="F36" s="488"/>
      <c r="G36" s="488"/>
      <c r="H36" s="488"/>
      <c r="I36" s="488"/>
      <c r="J36" s="488"/>
      <c r="K36" s="488"/>
      <c r="L36" s="488"/>
      <c r="V36" s="460"/>
      <c r="W36" s="417"/>
      <c r="X36" s="417"/>
      <c r="Y36" s="417"/>
      <c r="Z36" s="417"/>
      <c r="AA36" s="417"/>
      <c r="AB36" s="417"/>
      <c r="AC36" s="417"/>
      <c r="AD36" s="417"/>
      <c r="AE36" s="417"/>
    </row>
    <row r="37" spans="1:31" x14ac:dyDescent="0.2">
      <c r="A37" s="7" t="s">
        <v>536</v>
      </c>
      <c r="B37" s="9" t="s">
        <v>693</v>
      </c>
      <c r="F37" s="185"/>
      <c r="G37" s="185"/>
      <c r="H37" s="185"/>
      <c r="I37" s="185"/>
      <c r="J37" s="185"/>
      <c r="K37" s="185"/>
      <c r="L37" s="187"/>
      <c r="V37" s="181" t="s">
        <v>696</v>
      </c>
    </row>
    <row r="38" spans="1:31" x14ac:dyDescent="0.2">
      <c r="A38" s="7" t="s">
        <v>536</v>
      </c>
      <c r="F38" s="185"/>
      <c r="G38" s="185"/>
      <c r="H38" s="185"/>
      <c r="I38" s="185"/>
      <c r="J38" s="185"/>
      <c r="K38" s="185"/>
      <c r="L38" s="187"/>
      <c r="V38" s="398" t="str">
        <f t="array" aca="1" ref="V38:V40" ca="1">OFFSET(Import.RespOrçamento,0,-1) &amp; " " &amp; Import.RespOrçamento</f>
        <v>Nome: RAFAEL LACERDA MAIA</v>
      </c>
    </row>
    <row r="39" spans="1:31" ht="16.5" x14ac:dyDescent="0.3">
      <c r="A39" s="7" t="s">
        <v>536</v>
      </c>
      <c r="B39" s="757">
        <f>DADOS!$C$25</f>
        <v>46107</v>
      </c>
      <c r="C39" s="757"/>
      <c r="F39" s="185"/>
      <c r="G39" s="185"/>
      <c r="H39" s="185"/>
      <c r="I39" s="185"/>
      <c r="J39" s="185"/>
      <c r="K39" s="185"/>
      <c r="L39" s="187"/>
      <c r="V39" s="398" t="str">
        <f ca="1"/>
        <v>CREA/CAU: 173.269/D</v>
      </c>
    </row>
    <row r="40" spans="1:31" x14ac:dyDescent="0.2">
      <c r="A40" s="7" t="s">
        <v>536</v>
      </c>
      <c r="B40" s="9" t="s">
        <v>694</v>
      </c>
      <c r="F40" s="185"/>
      <c r="G40" s="185"/>
      <c r="H40" s="185"/>
      <c r="I40" s="185"/>
      <c r="J40" s="185"/>
      <c r="K40" s="185"/>
      <c r="L40" s="187"/>
      <c r="V40" s="398" t="str">
        <f ca="1"/>
        <v>ART/RRT: MG20254479691</v>
      </c>
    </row>
  </sheetData>
  <sheetProtection algorithmName="SHA-512" hashValue="coUhhr6B0bXXdqgQHiDmAZN9nbE2LGRKLOXpr8zE5WV5rMCQ71ygnJcXZ4vmyA6jFTvCvbSF7TZACCiEiwZLwg==" saltValue="N5EKGa+wwrkM4xclASRlVA==" spinCount="100000" sheet="1" objects="1" scenarios="1" autoFilter="0"/>
  <autoFilter ref="A13:A40" xr:uid="{00000000-0001-0000-0800-000000000000}">
    <filterColumn colId="0">
      <filters>
        <filter val="F"/>
      </filters>
    </filterColumn>
  </autoFilter>
  <mergeCells count="86">
    <mergeCell ref="T28:U28"/>
    <mergeCell ref="B8:C8"/>
    <mergeCell ref="T30:U30"/>
    <mergeCell ref="V30:W30"/>
    <mergeCell ref="L29:M29"/>
    <mergeCell ref="N29:O29"/>
    <mergeCell ref="L30:M30"/>
    <mergeCell ref="N30:O30"/>
    <mergeCell ref="P29:Q29"/>
    <mergeCell ref="R29:S29"/>
    <mergeCell ref="T29:U29"/>
    <mergeCell ref="C29:C30"/>
    <mergeCell ref="H29:I29"/>
    <mergeCell ref="J29:K29"/>
    <mergeCell ref="H30:I30"/>
    <mergeCell ref="J30:K30"/>
    <mergeCell ref="Z32:AA32"/>
    <mergeCell ref="H31:I31"/>
    <mergeCell ref="J31:K31"/>
    <mergeCell ref="L31:M31"/>
    <mergeCell ref="N31:O31"/>
    <mergeCell ref="H32:I32"/>
    <mergeCell ref="J32:K32"/>
    <mergeCell ref="N32:O32"/>
    <mergeCell ref="P32:Q32"/>
    <mergeCell ref="R32:S32"/>
    <mergeCell ref="T32:U32"/>
    <mergeCell ref="P31:Q31"/>
    <mergeCell ref="R31:S31"/>
    <mergeCell ref="V31:W31"/>
    <mergeCell ref="L32:M32"/>
    <mergeCell ref="T31:U31"/>
    <mergeCell ref="B39:C39"/>
    <mergeCell ref="V32:W32"/>
    <mergeCell ref="X32:Y32"/>
    <mergeCell ref="L33:M33"/>
    <mergeCell ref="N33:O33"/>
    <mergeCell ref="C31:C32"/>
    <mergeCell ref="H33:I33"/>
    <mergeCell ref="J33:K33"/>
    <mergeCell ref="X31:Y31"/>
    <mergeCell ref="AB30:AC30"/>
    <mergeCell ref="AB29:AC29"/>
    <mergeCell ref="AD29:AE29"/>
    <mergeCell ref="AD30:AE30"/>
    <mergeCell ref="Z30:AA30"/>
    <mergeCell ref="AD28:AE28"/>
    <mergeCell ref="X29:Y29"/>
    <mergeCell ref="Z29:AA29"/>
    <mergeCell ref="V29:W29"/>
    <mergeCell ref="AB28:AC28"/>
    <mergeCell ref="X28:Y28"/>
    <mergeCell ref="Z28:AA28"/>
    <mergeCell ref="V28:W28"/>
    <mergeCell ref="B12:B13"/>
    <mergeCell ref="C12:C13"/>
    <mergeCell ref="N28:O28"/>
    <mergeCell ref="P28:Q28"/>
    <mergeCell ref="R28:S28"/>
    <mergeCell ref="H28:I28"/>
    <mergeCell ref="J28:K28"/>
    <mergeCell ref="L28:M28"/>
    <mergeCell ref="AB33:AC33"/>
    <mergeCell ref="R30:S30"/>
    <mergeCell ref="X30:Y30"/>
    <mergeCell ref="P30:Q30"/>
    <mergeCell ref="AD31:AE31"/>
    <mergeCell ref="P33:Q33"/>
    <mergeCell ref="AD32:AE32"/>
    <mergeCell ref="AD33:AE33"/>
    <mergeCell ref="R33:S33"/>
    <mergeCell ref="T33:U33"/>
    <mergeCell ref="V33:W33"/>
    <mergeCell ref="X33:Y33"/>
    <mergeCell ref="Z33:AA33"/>
    <mergeCell ref="AB32:AC32"/>
    <mergeCell ref="Z31:AA31"/>
    <mergeCell ref="AB31:AC31"/>
    <mergeCell ref="AC2:AE2"/>
    <mergeCell ref="B4:D4"/>
    <mergeCell ref="G4:I4"/>
    <mergeCell ref="J4:L4"/>
    <mergeCell ref="B5:D5"/>
    <mergeCell ref="G5:I5"/>
    <mergeCell ref="J5:L5"/>
    <mergeCell ref="M5:AE5"/>
  </mergeCells>
  <phoneticPr fontId="38" type="noConversion"/>
  <conditionalFormatting sqref="E1 G1:AE1 G16:AE25">
    <cfRule type="expression" dxfId="246" priority="806" stopIfTrue="1">
      <formula>IF(OR(E$12&gt;CÁLCULO.NúmeroDeFrentes,ACOMPANHAMENTO="BM"),TRUE,CRONOPLE.ValorDoEvento=0)</formula>
    </cfRule>
  </conditionalFormatting>
  <conditionalFormatting sqref="U4:Y4">
    <cfRule type="expression" dxfId="245" priority="696" stopIfTrue="1">
      <formula>QCI.ExisteManual</formula>
    </cfRule>
  </conditionalFormatting>
  <conditionalFormatting sqref="J28:AE28">
    <cfRule type="expression" dxfId="244" priority="695" stopIfTrue="1">
      <formula>OFFSET(J28,3,-2)=1</formula>
    </cfRule>
  </conditionalFormatting>
  <conditionalFormatting sqref="J29:AE29">
    <cfRule type="expression" dxfId="243" priority="690" stopIfTrue="1">
      <formula>OFFSET(J29,2,-2)=1</formula>
    </cfRule>
  </conditionalFormatting>
  <conditionalFormatting sqref="J30:AE30">
    <cfRule type="expression" dxfId="242" priority="689" stopIfTrue="1">
      <formula>OFFSET(J30,1,-2)=1</formula>
    </cfRule>
  </conditionalFormatting>
  <conditionalFormatting sqref="J31:AE31">
    <cfRule type="expression" dxfId="241" priority="688" stopIfTrue="1">
      <formula>OFFSET(J31,0,-2)=1</formula>
    </cfRule>
  </conditionalFormatting>
  <conditionalFormatting sqref="J32:AE32">
    <cfRule type="expression" dxfId="240" priority="687" stopIfTrue="1">
      <formula>OFFSET(J32,-1,-2)=1</formula>
    </cfRule>
  </conditionalFormatting>
  <conditionalFormatting sqref="B15:C15 E15 G15:AF15">
    <cfRule type="expression" dxfId="239" priority="511">
      <formula>$B$15=0</formula>
    </cfRule>
  </conditionalFormatting>
  <conditionalFormatting sqref="B8:C8">
    <cfRule type="expression" dxfId="238" priority="510">
      <formula>$B$7=""</formula>
    </cfRule>
  </conditionalFormatting>
  <conditionalFormatting sqref="J33:AE33">
    <cfRule type="expression" dxfId="237" priority="509">
      <formula>OFFSET(J33,-2,-2)=1</formula>
    </cfRule>
  </conditionalFormatting>
  <conditionalFormatting sqref="H33:AE33">
    <cfRule type="expression" dxfId="236" priority="508">
      <formula>ROUND(H33,4)&gt;ROUND(H31,4)</formula>
    </cfRule>
  </conditionalFormatting>
  <conditionalFormatting sqref="E16:E18">
    <cfRule type="expression" dxfId="235" priority="10" stopIfTrue="1">
      <formula>IF(OR(E$12&gt;CÁLCULO.NúmeroDeFrentes,ACOMPANHAMENTO="BM"),TRUE,CRONOPLE.ValorDoEvento=0)</formula>
    </cfRule>
  </conditionalFormatting>
  <conditionalFormatting sqref="E23">
    <cfRule type="expression" dxfId="234" priority="4" stopIfTrue="1">
      <formula>IF(OR(E$12&gt;CÁLCULO.NúmeroDeFrentes,ACOMPANHAMENTO="BM"),TRUE,CRONOPLE.ValorDoEvento=0)</formula>
    </cfRule>
  </conditionalFormatting>
  <conditionalFormatting sqref="E24:E25">
    <cfRule type="expression" dxfId="233" priority="2" stopIfTrue="1">
      <formula>IF(OR(E$12&gt;CÁLCULO.NúmeroDeFrentes,ACOMPANHAMENTO="BM"),TRUE,CRONOPLE.ValorDoEvento=0)</formula>
    </cfRule>
  </conditionalFormatting>
  <conditionalFormatting sqref="E19:E22">
    <cfRule type="expression" dxfId="232"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6:AE8 E1:E8 G1:AE1 G16:AE25 E16:E25"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69"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64"/>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IF($F2=-1,0,IF(N$13&lt;=$M1,IF(ISERROR(MATCH(N$13,OFFSET($M1,1,0,ROW($M$47)-ROW($M1)-1),0)),ROW($M$47)-ROW($M1)-1,MATCH(N$13,OFFSET($M1,1,0,ROW($M$47)-ROW($M1)-1),0)-1),0))</f>
        <v>#REF!</v>
      </c>
      <c r="O1" s="193" t="e">
        <f ca="1">IF($F2=-1,0,IF(O$13&lt;=$M1,IF(ISERROR(MATCH(O$13,OFFSET($M1,1,0,ROW($M$47)-ROW($M1)-1),0)),ROW($M$47)-ROW($M1)-1,MATCH(O$13,OFFSET($M1,1,0,ROW($M$47)-ROW($M1)-1),0)-1),0))</f>
        <v>#REF!</v>
      </c>
      <c r="P1" s="193" t="e">
        <f ca="1">IF($F2=-1,0,IF(P$13&lt;=$M1,IF(ISERROR(MATCH(P$13,OFFSET($M1,1,0,ROW($M$47)-ROW($M1)-1),0)),ROW($M$47)-ROW($M1)-1,MATCH(P$13,OFFSET($M1,1,0,ROW($M$47)-ROW($M1)-1),0)-1),0))</f>
        <v>#REF!</v>
      </c>
      <c r="Q1" s="193" t="e">
        <f ca="1">IF($F2=-1,0,IF(Q$13&lt;=$M1,IF(ISERROR(MATCH(Q$13,OFFSET($M1,1,0,ROW($M$47)-ROW($M1)-1),0)),ROW($M$47)-ROW($M1)-1,MATCH(Q$13,OFFSET($M1,1,0,ROW($M$47)-ROW($M1)-1),0)-1),0))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IF(ISERROR(F1),IF(1+COUNTIF($M$13:OFFSET(M1,-1,0),1)&lt;=MAX(QCI!$D$13:$D$15),1+COUNTIF($M$13:OFFSET(M1,-1,0),1),-1),0)</f>
        <v>#REF!</v>
      </c>
      <c r="G2" s="185" t="str" cm="1">
        <f t="array" aca="1" ref="G2" ca="1">IF(ACOMPANHAMENTO="BM",OFFSET(G2,-1,0),"")</f>
        <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SUMIF(CÁLCULO!$AM$15:$AW$93,CRONO!E$12,CÁLCULO!$AB$15:$AL$93)/(ORÇAMENTO!$X$15-CÁLCULO.TotalAdmLocal)*CRONO!$F3,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SUMIF(CÁLCULO!$AM$15:$AW$93,CRONO!U$12,CÁLCULO!$AB$15:$AL$93)/(ORÇAMENTO!$X$15-CÁLCULO.TotalAdmLocal)*CRONO!$F3,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SUMIF(CÁLCULO!$AM$15:$AW$93,CRONO!V$12,CÁLCULO!$AB$15:$AL$93)/(ORÇAMENTO!$X$15-CÁLCULO.TotalAdmLocal)*CRONO!$F3,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SUMIF(CÁLCULO!$AM$15:$AW$93,CRONO!W$12,CÁLCULO!$AB$15:$AL$93)/(ORÇAMENTO!$X$15-CÁLCULO.TotalAdmLocal)*CRONO!$F3,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SUMIF(CÁLCULO!$AM$15:$AW$93,CRONO!X$12,CÁLCULO!$AB$15:$AL$93)/(ORÇAMENTO!$X$15-CÁLCULO.TotalAdmLocal)*CRONO!$F3,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SUMIF(CÁLCULO!$AM$15:$AW$93,CRONO!Y$12,CÁLCULO!$AB$15:$AL$93)/(ORÇAMENTO!$X$15-CÁLCULO.TotalAdmLocal)*CRONO!$F3,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SUMIF(CÁLCULO!$AM$15:$AW$93,CRONO!Z$12,CÁLCULO!$AB$15:$AL$93)/(ORÇAMENTO!$X$15-CÁLCULO.TotalAdmLocal)*CRONO!$F3,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SUMIF(CÁLCULO!$AM$15:$AW$93,CRONO!AA$12,CÁLCULO!$AB$15:$AL$93)/(ORÇAMENTO!$X$15-CÁLCULO.TotalAdmLocal)*CRONO!$F3,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SUMIF(CÁLCULO!$AM$15:$AW$93,CRONO!AB$12,CÁLCULO!$AB$15:$AL$93)/(ORÇAMENTO!$X$15-CÁLCULO.TotalAdmLocal)*CRONO!$F3,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SUMIF(CÁLCULO!$AM$15:$AW$93,CRONO!AC$12,CÁLCULO!$AB$15:$AL$93)/(ORÇAMENTO!$X$15-CÁLCULO.TotalAdmLocal)*CRONO!$F3,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SUMIF(CÁLCULO!$AM$15:$AW$93,CRONO!AD$12,CÁLCULO!$AB$15:$AL$93)/(ORÇAMENTO!$X$15-CÁLCULO.TotalAdmLocal)*CRONO!$F3,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SUMIF(CÁLCULO!$AM$15:$AW$93,CRONO!AE$12,CÁLCULO!$AB$15:$AL$93)/(ORÇAMENTO!$X$15-CÁLCULO.TotalAdmLocal)*CRONO!$F3,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SUMIF(CÁLCULO!$AM$15:$AW$93,CRONO!AF$12,CÁLCULO!$AB$15:$AL$93)/(ORÇAMENTO!$X$15-CÁLCULO.TotalAdmLocal)*CRONO!$F3,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681" t="s">
        <v>644</v>
      </c>
      <c r="AF4" s="681"/>
    </row>
    <row r="5" spans="1:33" ht="15" x14ac:dyDescent="0.2">
      <c r="S5" s="83" t="str">
        <f>import.recurso</f>
        <v>OGU</v>
      </c>
      <c r="AE5" s="682" t="s">
        <v>647</v>
      </c>
      <c r="AF5" s="682"/>
    </row>
    <row r="6" spans="1:33" ht="12.75" customHeight="1" x14ac:dyDescent="0.2"/>
    <row r="7" spans="1:33" ht="12.75" customHeight="1" x14ac:dyDescent="0.2">
      <c r="F7" s="207"/>
      <c r="H7" s="764"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709" t="s">
        <v>655</v>
      </c>
      <c r="H8" s="764"/>
      <c r="I8" s="763" t="str">
        <f>Import.CR</f>
        <v>1099388-52</v>
      </c>
      <c r="J8" s="763"/>
      <c r="K8" s="214" t="str">
        <f>Import.TransfereGOV</f>
        <v>974020</v>
      </c>
      <c r="L8" s="773" t="str">
        <f>Import.Proponente</f>
        <v>MINISTÉRIO DAS CIDADES</v>
      </c>
      <c r="M8" s="773"/>
      <c r="N8" s="773"/>
      <c r="O8" s="773"/>
      <c r="P8" s="773"/>
      <c r="Q8" s="773"/>
      <c r="R8" s="773"/>
      <c r="S8" s="773"/>
      <c r="T8" s="773"/>
      <c r="U8" s="763" t="str">
        <f>Import.Apelido</f>
        <v>USINA DE TRIAGEM MECANIZADA</v>
      </c>
      <c r="V8" s="763"/>
      <c r="W8" s="763"/>
      <c r="X8" s="763"/>
      <c r="Y8" s="763"/>
      <c r="Z8" s="765" t="str" cm="1">
        <f t="array" ref="Z8">IF(TIPOORCAMENTO="Licitado",Import.empresa,Import.DescLote)</f>
        <v>Implantação de uma Usina de Triagem Mecanizada de Resíduos Sólidos em Buritizeiro/MG, que atenderá também as cidades de Várzea da Palma/MG, Lassance/MG e Jequitaí/MG.</v>
      </c>
      <c r="AA8" s="765"/>
      <c r="AB8" s="765"/>
      <c r="AC8" s="765"/>
      <c r="AD8" s="765"/>
      <c r="AE8" s="765"/>
      <c r="AF8" s="203" t="str" cm="1">
        <f t="array" ref="AF8">IF(TIPOORCAMENTO="Licitado",Import.CTEF,"")</f>
        <v/>
      </c>
    </row>
    <row r="9" spans="1:33" x14ac:dyDescent="0.2">
      <c r="A9" s="655">
        <v>2</v>
      </c>
      <c r="F9" s="114"/>
      <c r="G9" s="709"/>
      <c r="H9" s="764"/>
    </row>
    <row r="10" spans="1:33" x14ac:dyDescent="0.2">
      <c r="A10" s="656">
        <v>3</v>
      </c>
      <c r="F10" s="185" cm="1">
        <f t="array" aca="1" ref="F10" ca="1">CRONO.LinhasNecessarias</f>
        <v>11</v>
      </c>
      <c r="G10" s="709"/>
      <c r="H10" s="215">
        <v>2</v>
      </c>
      <c r="K10" s="774" t="str" cm="1">
        <f t="array" aca="1" ref="K10" ca="1">IF(MAX($B$13:$B$47)&lt;CRONO.LinhasNecessarias,"ERRO: NÚMERO DE LINHAS DO CRONOGRAMA INSUFICIENTE. CLIQUE EM ATUALIZAR LINHAS.",IF(AND(ACOMPANHAMENTO="PLE",ROUND(OFFSET($AG$57,0,-1),2)=0),"CRONOGRAMA DEVE SER PREENCHIDO POR EVENTOS",IF(ROUND(OFFSET($AG$57,0,-1),2)&lt;&gt;$R$48,"ERRO: CRONOGRAMA NÃO FECHA 100%","")))</f>
        <v/>
      </c>
      <c r="L10" s="774"/>
      <c r="M10" s="774"/>
      <c r="N10" s="774"/>
      <c r="O10" s="774"/>
      <c r="P10" s="774"/>
      <c r="Q10" s="774"/>
      <c r="R10" s="774"/>
      <c r="S10" s="774"/>
      <c r="T10" s="774"/>
    </row>
    <row r="11" spans="1:33" ht="12.75" customHeight="1" x14ac:dyDescent="0.2">
      <c r="A11" s="657">
        <v>4</v>
      </c>
      <c r="F11" s="185" cm="1">
        <f t="array" aca="1" ref="F11" ca="1">CRONO.ParcelaFinal</f>
        <v>10</v>
      </c>
      <c r="G11" s="709"/>
      <c r="I11" s="216"/>
      <c r="J11" s="216"/>
      <c r="K11" s="774"/>
      <c r="L11" s="774"/>
      <c r="M11" s="774"/>
      <c r="N11" s="774"/>
      <c r="O11" s="774"/>
      <c r="P11" s="774"/>
      <c r="Q11" s="774"/>
      <c r="R11" s="774"/>
      <c r="S11" s="774"/>
      <c r="T11" s="774"/>
    </row>
    <row r="12" spans="1:33" ht="12.75" customHeight="1" x14ac:dyDescent="0.2">
      <c r="A12" s="186" t="s">
        <v>789</v>
      </c>
      <c r="E12" s="217">
        <f ca="1">OFFSET(E12,0,-1)+1</f>
        <v>1</v>
      </c>
      <c r="G12" s="106" t="s">
        <v>660</v>
      </c>
      <c r="H12" s="766" t="s">
        <v>790</v>
      </c>
      <c r="I12" s="767" t="s">
        <v>735</v>
      </c>
      <c r="J12" s="768" t="s">
        <v>118</v>
      </c>
      <c r="K12" s="218"/>
      <c r="L12" s="218"/>
      <c r="M12" s="219"/>
      <c r="N12" s="219"/>
      <c r="O12" s="219"/>
      <c r="P12" s="219"/>
      <c r="Q12" s="219"/>
      <c r="R12" s="219"/>
      <c r="S12" s="771" t="s">
        <v>791</v>
      </c>
      <c r="T12" s="772"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66"/>
      <c r="I13" s="767"/>
      <c r="J13" s="768"/>
      <c r="K13" s="223"/>
      <c r="L13" s="223"/>
      <c r="M13" s="224" t="s">
        <v>733</v>
      </c>
      <c r="N13" s="224">
        <v>1</v>
      </c>
      <c r="O13" s="224">
        <v>2</v>
      </c>
      <c r="P13" s="224">
        <v>3</v>
      </c>
      <c r="Q13" s="224">
        <v>4</v>
      </c>
      <c r="R13" s="225" t="s">
        <v>796</v>
      </c>
      <c r="S13" s="771"/>
      <c r="T13" s="772"/>
      <c r="U13" s="226">
        <v>46143</v>
      </c>
      <c r="V13" s="222">
        <f ca="1">OFFSET(V13,0,-1)+41-DAY(OFFSET(V13,0,-1)+40)</f>
        <v>46174</v>
      </c>
      <c r="W13" s="222">
        <f ca="1">OFFSET(W13,0,-1)+41-DAY(OFFSET(W13,0,-1)+40)</f>
        <v>46204</v>
      </c>
      <c r="X13" s="222">
        <f t="shared" ref="X13:AF13" ca="1" si="1">OFFSET(X13,0,-1)+41-DAY(OFFSET(X13,0,-1)+40)</f>
        <v>46235</v>
      </c>
      <c r="Y13" s="222">
        <f t="shared" ca="1" si="1"/>
        <v>46266</v>
      </c>
      <c r="Z13" s="222">
        <f t="shared" ca="1" si="1"/>
        <v>46296</v>
      </c>
      <c r="AA13" s="222">
        <f t="shared" ca="1" si="1"/>
        <v>46327</v>
      </c>
      <c r="AB13" s="222">
        <f t="shared" ca="1" si="1"/>
        <v>46357</v>
      </c>
      <c r="AC13" s="222">
        <f t="shared" ca="1" si="1"/>
        <v>46388</v>
      </c>
      <c r="AD13" s="222">
        <f t="shared" ca="1" si="1"/>
        <v>46419</v>
      </c>
      <c r="AE13" s="222">
        <f t="shared" ca="1" si="1"/>
        <v>46447</v>
      </c>
      <c r="AF13" s="538">
        <f t="shared" ca="1" si="1"/>
        <v>46478</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6.6509498739545231E-3</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USINA DE TRIAGEM MECANIZADA - ARRANJO BURITIZEIRO/MG</v>
      </c>
      <c r="K14" s="191"/>
      <c r="L14" s="191"/>
      <c r="M14" s="192">
        <f ca="1">IF($F15=0,OFFSET(ORÇAMENTO!C$15,$F14,0),1)</f>
        <v>1</v>
      </c>
      <c r="N14" s="193">
        <f ca="1">IF($F15=-1,0,IF(N$13&lt;=$M14,IF(ISERROR(MATCH(N$13,OFFSET($M14,1,0,ROW($M$47)-ROW($M14)-1),0)),ROW($M$47)-ROW($M14)-1,MATCH(N$13,OFFSET($M14,1,0,ROW($M$47)-ROW($M14)-1),0)-1),0))</f>
        <v>32</v>
      </c>
      <c r="O14" s="193">
        <f ca="1">IF($F15=-1,0,IF(O$13&lt;=$M14,IF(ISERROR(MATCH(O$13,OFFSET($M14,1,0,ROW($M$47)-ROW($M14)-1),0)),ROW($M$47)-ROW($M14)-1,MATCH(O$13,OFFSET($M14,1,0,ROW($M$47)-ROW($M14)-1),0)-1),0))</f>
        <v>0</v>
      </c>
      <c r="P14" s="193">
        <f ca="1">IF($F15=-1,0,IF(P$13&lt;=$M14,IF(ISERROR(MATCH(P$13,OFFSET($M14,1,0,ROW($M$47)-ROW($M14)-1),0)),ROW($M$47)-ROW($M14)-1,MATCH(P$13,OFFSET($M14,1,0,ROW($M$47)-ROW($M14)-1),0)-1),0))</f>
        <v>0</v>
      </c>
      <c r="Q14" s="193">
        <f ca="1">IF($F15=-1,0,IF(Q$13&lt;=$M14,IF(ISERROR(MATCH(Q$13,OFFSET($M14,1,0,ROW($M$47)-ROW($M14)-1),0)),ROW($M$47)-ROW($M14)-1,MATCH(Q$13,OFFSET($M14,1,0,ROW($M$47)-ROW($M14)-1),0)-1),0))</f>
        <v>0</v>
      </c>
      <c r="R14" s="193">
        <f t="shared" ref="R14" ca="1" si="5">MIN(OFFSET(M14,0,1,,M14))</f>
        <v>32</v>
      </c>
      <c r="S14" s="194">
        <f ca="1">IF($F15=0,OFFSET(ORÇAMENTO!X$15,$F14,0),IF($F15&lt;&gt;-1,OFFSET(QCI!$O$13,$F15,0),""))</f>
        <v>21394861.289999999</v>
      </c>
      <c r="T14" s="195" t="s">
        <v>785</v>
      </c>
      <c r="U14" s="188" cm="1">
        <f t="array" aca="1" ref="U14" ca="1">IF(AND($R14=2,ACOMPANHAMENTO="BM"),ROUND(U15,4),U16/$S14)</f>
        <v>6.6509498739545231E-3</v>
      </c>
      <c r="V14" s="188" cm="1">
        <f t="array" aca="1" ref="V14" ca="1">IF(AND($R14=2,ACOMPANHAMENTO="BM"),ROUND(V15,4),V16/$S14)</f>
        <v>2.6141215052486091E-2</v>
      </c>
      <c r="W14" s="188" cm="1">
        <f t="array" aca="1" ref="W14" ca="1">IF(AND($R14=2,ACOMPANHAMENTO="BM"),ROUND(W15,4),W16/$S14)</f>
        <v>4.2148129299696899E-2</v>
      </c>
      <c r="X14" s="188" cm="1">
        <f t="array" aca="1" ref="X14" ca="1">IF(AND($R14=2,ACOMPANHAMENTO="BM"),ROUND(X15,4),X16/$S14)</f>
        <v>4.8941284816341059E-2</v>
      </c>
      <c r="Y14" s="188" cm="1">
        <f t="array" aca="1" ref="Y14" ca="1">IF(AND($R14=2,ACOMPANHAMENTO="BM"),ROUND(Y15,4),Y16/$S14)</f>
        <v>5.3808785875984526E-2</v>
      </c>
      <c r="Z14" s="188" cm="1">
        <f t="array" aca="1" ref="Z14" ca="1">IF(AND($R14=2,ACOMPANHAMENTO="BM"),ROUND(Z15,4),Z16/$S14)</f>
        <v>4.2795545509236622E-2</v>
      </c>
      <c r="AA14" s="188" cm="1">
        <f t="array" aca="1" ref="AA14" ca="1">IF(AND($R14=2,ACOMPANHAMENTO="BM"),ROUND(AA15,4),AA16/$S14)</f>
        <v>2.9928494105231004E-2</v>
      </c>
      <c r="AB14" s="188" cm="1">
        <f t="array" aca="1" ref="AB14" ca="1">IF(AND($R14=2,ACOMPANHAMENTO="BM"),ROUND(AB15,4),AB16/$S14)</f>
        <v>3.792840341429482E-2</v>
      </c>
      <c r="AC14" s="188" cm="1">
        <f t="array" aca="1" ref="AC14" ca="1">IF(AND($R14=2,ACOMPANHAMENTO="BM"),ROUND(AC15,4),AC16/$S14)</f>
        <v>4.8572286864309935E-2</v>
      </c>
      <c r="AD14" s="188" cm="1">
        <f t="array" aca="1" ref="AD14" ca="1">IF(AND($R14=2,ACOMPANHAMENTO="BM"),ROUND(AD15,4),AD16/$S14)</f>
        <v>0.66308490518846452</v>
      </c>
      <c r="AE14" s="188" cm="1">
        <f t="array" aca="1" ref="AE14" ca="1">IF(AND($R14=2,ACOMPANHAMENTO="BM"),ROUND(AE15,4),AE16/$S14)</f>
        <v>0</v>
      </c>
      <c r="AF14" s="188" cm="1">
        <f t="array" aca="1" ref="AF14" ca="1">IF(AND($R14=2,ACOMPANHAMENTO="BM"),ROUND(AF15,4),AF16/$S14)</f>
        <v>0</v>
      </c>
      <c r="AG14" s="534"/>
    </row>
    <row r="15" spans="1:33" ht="12.75" hidden="1" customHeight="1" x14ac:dyDescent="0.2">
      <c r="E15" s="587"/>
      <c r="F15" s="185">
        <f ca="1">IF(ISERROR(F14),IF(1+COUNTIF($M$13:OFFSET(M14,-1,0),1)&lt;=MAX(QCI!$D$13:$D$15),1+COUNTIF($M$13:OFFSET(M14,-1,0),1),-1),0)</f>
        <v>0</v>
      </c>
      <c r="G15" s="185" t="str" cm="1">
        <f t="array" aca="1" ref="G15" ca="1">IF(ACOMPANHAMENTO="BM",OFFSET(G15,-1,0),"")</f>
        <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SUMIF(CÁLCULO!$AM$15:$AW$93,CRONO!E$12,CÁLCULO!$AB$15:$AL$93)/(ORÇAMENTO!$X$15-CÁLCULO.TotalAdmLocal)*CRONO!$F16,
                        0),
                 E15*$S14),
          SUMIF(OFFSET($S16,1,0,$R14-2),($M14+1)&amp;"$",OFFSET(E16,1,0,$R14-2)))</f>
        <v>142296.15</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SUMIF(CÁLCULO!$AM$15:$AW$93,CRONO!U$12,CÁLCULO!$AB$15:$AL$93)/(ORÇAMENTO!$X$15-CÁLCULO.TotalAdmLocal)*CRONO!$F16,
                        0),
                 U15*$S14),
          SUMIF(OFFSET($S16,1,0,$R14-2),($M14+1)&amp;"$",OFFSET(U16,1,0,$R14-2)))</f>
        <v>142296.15</v>
      </c>
      <c r="V16" s="202" cm="1">
        <f t="array" aca="1" ref="V16" ca="1">IF($R14=2,
         IF(AND(ACOMPANHAMENTO="PLE",ISNUMBER($F14)),
                SUMIF((OFFSET(CÁLCULO!$AM$15:$AW$15,$F14,0,OFFSET(ORÇAMENTO!$D$15,CRONO!$F14,0))),CRONO!V$12,OFFSET(CÁLCULO!$AB$15:$AL$15,$F14,0,OFFSET(ORÇAMENTO!$D$15,CRONO!$F14,0)))
                +IF(AND($F16&lt;&gt;"",$F16&lt;&gt;0),
                        SUMIF(CÁLCULO!$AM$15:$AW$93,CRONO!V$12,CÁLCULO!$AB$15:$AL$93)/(ORÇAMENTO!$X$15-CÁLCULO.TotalAdmLocal)*CRONO!$F16,
                        0),
                 V15*$S14),
          SUMIF(OFFSET($S16,1,0,$R14-2),($M14+1)&amp;"$",OFFSET(V16,1,0,$R14-2)))</f>
        <v>559287.66999999993</v>
      </c>
      <c r="W16" s="202" cm="1">
        <f t="array" aca="1" ref="W16" ca="1">IF($R14=2,
         IF(AND(ACOMPANHAMENTO="PLE",ISNUMBER($F14)),
                SUMIF((OFFSET(CÁLCULO!$AM$15:$AW$15,$F14,0,OFFSET(ORÇAMENTO!$D$15,CRONO!$F14,0))),CRONO!W$12,OFFSET(CÁLCULO!$AB$15:$AL$15,$F14,0,OFFSET(ORÇAMENTO!$D$15,CRONO!$F14,0)))
                +IF(AND($F16&lt;&gt;"",$F16&lt;&gt;0),
                        SUMIF(CÁLCULO!$AM$15:$AW$93,CRONO!W$12,CÁLCULO!$AB$15:$AL$93)/(ORÇAMENTO!$X$15-CÁLCULO.TotalAdmLocal)*CRONO!$F16,
                        0),
                 W15*$S14),
          SUMIF(OFFSET($S16,1,0,$R14-2),($M14+1)&amp;"$",OFFSET(W16,1,0,$R14-2)))</f>
        <v>901753.37999999989</v>
      </c>
      <c r="X16" s="202" cm="1">
        <f t="array" aca="1" ref="X16" ca="1">IF($R14=2,
         IF(AND(ACOMPANHAMENTO="PLE",ISNUMBER($F14)),
                SUMIF((OFFSET(CÁLCULO!$AM$15:$AW$15,$F14,0,OFFSET(ORÇAMENTO!$D$15,CRONO!$F14,0))),CRONO!X$12,OFFSET(CÁLCULO!$AB$15:$AL$15,$F14,0,OFFSET(ORÇAMENTO!$D$15,CRONO!$F14,0)))
                +IF(AND($F16&lt;&gt;"",$F16&lt;&gt;0),
                        SUMIF(CÁLCULO!$AM$15:$AW$93,CRONO!X$12,CÁLCULO!$AB$15:$AL$93)/(ORÇAMENTO!$X$15-CÁLCULO.TotalAdmLocal)*CRONO!$F16,
                        0),
                 X15*$S14),
          SUMIF(OFFSET($S16,1,0,$R14-2),($M14+1)&amp;"$",OFFSET(X16,1,0,$R14-2)))</f>
        <v>1047092</v>
      </c>
      <c r="Y16" s="202" cm="1">
        <f t="array" aca="1" ref="Y16" ca="1">IF($R14=2,
         IF(AND(ACOMPANHAMENTO="PLE",ISNUMBER($F14)),
                SUMIF((OFFSET(CÁLCULO!$AM$15:$AW$15,$F14,0,OFFSET(ORÇAMENTO!$D$15,CRONO!$F14,0))),CRONO!Y$12,OFFSET(CÁLCULO!$AB$15:$AL$15,$F14,0,OFFSET(ORÇAMENTO!$D$15,CRONO!$F14,0)))
                +IF(AND($F16&lt;&gt;"",$F16&lt;&gt;0),
                        SUMIF(CÁLCULO!$AM$15:$AW$93,CRONO!Y$12,CÁLCULO!$AB$15:$AL$93)/(ORÇAMENTO!$X$15-CÁLCULO.TotalAdmLocal)*CRONO!$F16,
                        0),
                 Y15*$S14),
          SUMIF(OFFSET($S16,1,0,$R14-2),($M14+1)&amp;"$",OFFSET(Y16,1,0,$R14-2)))</f>
        <v>1151231.51</v>
      </c>
      <c r="Z16" s="202" cm="1">
        <f t="array" aca="1" ref="Z16" ca="1">IF($R14=2,
         IF(AND(ACOMPANHAMENTO="PLE",ISNUMBER($F14)),
                SUMIF((OFFSET(CÁLCULO!$AM$15:$AW$15,$F14,0,OFFSET(ORÇAMENTO!$D$15,CRONO!$F14,0))),CRONO!Z$12,OFFSET(CÁLCULO!$AB$15:$AL$15,$F14,0,OFFSET(ORÇAMENTO!$D$15,CRONO!$F14,0)))
                +IF(AND($F16&lt;&gt;"",$F16&lt;&gt;0),
                        SUMIF(CÁLCULO!$AM$15:$AW$93,CRONO!Z$12,CÁLCULO!$AB$15:$AL$93)/(ORÇAMENTO!$X$15-CÁLCULO.TotalAdmLocal)*CRONO!$F16,
                        0),
                 Z15*$S14),
          SUMIF(OFFSET($S16,1,0,$R14-2),($M14+1)&amp;"$",OFFSET(Z16,1,0,$R14-2)))</f>
        <v>915604.75999999989</v>
      </c>
      <c r="AA16" s="202" cm="1">
        <f t="array" aca="1" ref="AA16" ca="1">IF($R14=2,
         IF(AND(ACOMPANHAMENTO="PLE",ISNUMBER($F14)),
                SUMIF((OFFSET(CÁLCULO!$AM$15:$AW$15,$F14,0,OFFSET(ORÇAMENTO!$D$15,CRONO!$F14,0))),CRONO!AA$12,OFFSET(CÁLCULO!$AB$15:$AL$15,$F14,0,OFFSET(ORÇAMENTO!$D$15,CRONO!$F14,0)))
                +IF(AND($F16&lt;&gt;"",$F16&lt;&gt;0),
                        SUMIF(CÁLCULO!$AM$15:$AW$93,CRONO!AA$12,CÁLCULO!$AB$15:$AL$93)/(ORÇAMENTO!$X$15-CÁLCULO.TotalAdmLocal)*CRONO!$F16,
                        0),
                 AA15*$S14),
          SUMIF(OFFSET($S16,1,0,$R14-2),($M14+1)&amp;"$",OFFSET(AA16,1,0,$R14-2)))</f>
        <v>640315.98</v>
      </c>
      <c r="AB16" s="202" cm="1">
        <f t="array" aca="1" ref="AB16" ca="1">IF($R14=2,
         IF(AND(ACOMPANHAMENTO="PLE",ISNUMBER($F14)),
                SUMIF((OFFSET(CÁLCULO!$AM$15:$AW$15,$F14,0,OFFSET(ORÇAMENTO!$D$15,CRONO!$F14,0))),CRONO!AB$12,OFFSET(CÁLCULO!$AB$15:$AL$15,$F14,0,OFFSET(ORÇAMENTO!$D$15,CRONO!$F14,0)))
                +IF(AND($F16&lt;&gt;"",$F16&lt;&gt;0),
                        SUMIF(CÁLCULO!$AM$15:$AW$93,CRONO!AB$12,CÁLCULO!$AB$15:$AL$93)/(ORÇAMENTO!$X$15-CÁLCULO.TotalAdmLocal)*CRONO!$F16,
                        0),
                 AB15*$S14),
          SUMIF(OFFSET($S16,1,0,$R14-2),($M14+1)&amp;"$",OFFSET(AB16,1,0,$R14-2)))</f>
        <v>811472.93</v>
      </c>
      <c r="AC16" s="202" cm="1">
        <f t="array" aca="1" ref="AC16" ca="1">IF($R14=2,
         IF(AND(ACOMPANHAMENTO="PLE",ISNUMBER($F14)),
                SUMIF((OFFSET(CÁLCULO!$AM$15:$AW$15,$F14,0,OFFSET(ORÇAMENTO!$D$15,CRONO!$F14,0))),CRONO!AC$12,OFFSET(CÁLCULO!$AB$15:$AL$15,$F14,0,OFFSET(ORÇAMENTO!$D$15,CRONO!$F14,0)))
                +IF(AND($F16&lt;&gt;"",$F16&lt;&gt;0),
                        SUMIF(CÁLCULO!$AM$15:$AW$93,CRONO!AC$12,CÁLCULO!$AB$15:$AL$93)/(ORÇAMENTO!$X$15-CÁLCULO.TotalAdmLocal)*CRONO!$F16,
                        0),
                 AC15*$S14),
          SUMIF(OFFSET($S16,1,0,$R14-2),($M14+1)&amp;"$",OFFSET(AC16,1,0,$R14-2)))</f>
        <v>1039197.3400000001</v>
      </c>
      <c r="AD16" s="202" cm="1">
        <f t="array" aca="1" ref="AD16" ca="1">IF($R14=2,
         IF(AND(ACOMPANHAMENTO="PLE",ISNUMBER($F14)),
                SUMIF((OFFSET(CÁLCULO!$AM$15:$AW$15,$F14,0,OFFSET(ORÇAMENTO!$D$15,CRONO!$F14,0))),CRONO!AD$12,OFFSET(CÁLCULO!$AB$15:$AL$15,$F14,0,OFFSET(ORÇAMENTO!$D$15,CRONO!$F14,0)))
                +IF(AND($F16&lt;&gt;"",$F16&lt;&gt;0),
                        SUMIF(CÁLCULO!$AM$15:$AW$93,CRONO!AD$12,CÁLCULO!$AB$15:$AL$93)/(ORÇAMENTO!$X$15-CÁLCULO.TotalAdmLocal)*CRONO!$F16,
                        0),
                 AD15*$S14),
          SUMIF(OFFSET($S16,1,0,$R14-2),($M14+1)&amp;"$",OFFSET(AD16,1,0,$R14-2)))</f>
        <v>14186609.57</v>
      </c>
      <c r="AE16" s="202" cm="1">
        <f t="array" aca="1" ref="AE16" ca="1">IF($R14=2,
         IF(AND(ACOMPANHAMENTO="PLE",ISNUMBER($F14)),
                SUMIF((OFFSET(CÁLCULO!$AM$15:$AW$15,$F14,0,OFFSET(ORÇAMENTO!$D$15,CRONO!$F14,0))),CRONO!AE$12,OFFSET(CÁLCULO!$AB$15:$AL$15,$F14,0,OFFSET(ORÇAMENTO!$D$15,CRONO!$F14,0)))
                +IF(AND($F16&lt;&gt;"",$F16&lt;&gt;0),
                        SUMIF(CÁLCULO!$AM$15:$AW$93,CRONO!AE$12,CÁLCULO!$AB$15:$AL$93)/(ORÇAMENTO!$X$15-CÁLCULO.TotalAdmLocal)*CRONO!$F16,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SUMIF(CÁLCULO!$AM$15:$AW$93,CRONO!AF$12,CÁLCULO!$AB$15:$AL$93)/(ORÇAMENTO!$X$15-CÁLCULO.TotalAdmLocal)*CRONO!$F16,
                        0),
                 AF15*$S14),
          SUMIF(OFFSET($S16,1,0,$R14-2),($M14+1)&amp;"$",OFFSET(AF16,1,0,$R14-2)))</f>
        <v>0</v>
      </c>
      <c r="AG16" s="534"/>
    </row>
    <row r="17" spans="1:33" x14ac:dyDescent="0.2">
      <c r="A17" s="186" t="str">
        <f t="shared" ref="A17" ca="1" si="8">IF($M17&gt;1,_xlfn.CONCAT($I17," ",$J17),"")</f>
        <v>1.1. PROJETOS</v>
      </c>
      <c r="B17" s="185">
        <f t="shared" ref="B17" ca="1" si="9">OFFSET(B17,-3,0)+1</f>
        <v>2</v>
      </c>
      <c r="C17" s="185">
        <f ca="1">IF($R17&lt;&gt;2,0,IF($S17=0,1,IF(F18&gt;0,OFFSET(QCI!$M$13,SUBSTITUTE(F18,".",""),0),OFFSET(ORÇAMENTO!$AA$15,CRONO!$F17,0))/$S17))</f>
        <v>0</v>
      </c>
      <c r="D17" s="185">
        <f ca="1">IF($R17&lt;&gt;2,0,IF($S17=0,1,IF(F18&gt;0,OFFSET(QCI!$N$13,SUBSTITUTE(F18,".",""),0),OFFSET(ORÇAMENTO!$AB$15,CRONO!$F17,0))/$S17))</f>
        <v>0</v>
      </c>
      <c r="E17" s="188" cm="1">
        <f t="array" aca="1" ref="E17" ca="1">IF(AND($R17=2,ACOMPANHAMENTO="BM"),ROUND(E18,4),E19/$S17)</f>
        <v>0.30070827432061936</v>
      </c>
      <c r="F17" s="185" cm="1">
        <f t="array" aca="1" ref="F17" ca="1">IF(B17&lt;=ORÇAMENTO.MáximoListaCrono,MATCH(B17,ORÇAMENTO.ListaCrono,0),NA())</f>
        <v>2</v>
      </c>
      <c r="G17" s="185" t="str">
        <f t="shared" ref="G17" ca="1" si="10">IF(AND($F18&lt;&gt;-1,$S17&gt;0),"F","")</f>
        <v>F</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PROJETOS</v>
      </c>
      <c r="K17" s="191"/>
      <c r="L17" s="191"/>
      <c r="M17" s="192">
        <f ca="1">IF($F18=0,OFFSET(ORÇAMENTO!C$15,$F17,0),1)</f>
        <v>2</v>
      </c>
      <c r="N17" s="193">
        <f ca="1">IF($F18=-1,0,IF(N$13&lt;=$M17,IF(ISERROR(MATCH(N$13,OFFSET($M17,1,0,ROW($M$47)-ROW($M17)-1),0)),ROW($M$47)-ROW($M17)-1,MATCH(N$13,OFFSET($M17,1,0,ROW($M$47)-ROW($M17)-1),0)-1),0))</f>
        <v>29</v>
      </c>
      <c r="O17" s="193">
        <f ca="1">IF($F18=-1,0,IF(O$13&lt;=$M17,IF(ISERROR(MATCH(O$13,OFFSET($M17,1,0,ROW($M$47)-ROW($M17)-1),0)),ROW($M$47)-ROW($M17)-1,MATCH(O$13,OFFSET($M17,1,0,ROW($M$47)-ROW($M17)-1),0)-1),0))</f>
        <v>2</v>
      </c>
      <c r="P17" s="193">
        <f ca="1">IF($F18=-1,0,IF(P$13&lt;=$M17,IF(ISERROR(MATCH(P$13,OFFSET($M17,1,0,ROW($M$47)-ROW($M17)-1),0)),ROW($M$47)-ROW($M17)-1,MATCH(P$13,OFFSET($M17,1,0,ROW($M$47)-ROW($M17)-1),0)-1),0))</f>
        <v>0</v>
      </c>
      <c r="Q17" s="193">
        <f ca="1">IF($F18=-1,0,IF(Q$13&lt;=$M17,IF(ISERROR(MATCH(Q$13,OFFSET($M17,1,0,ROW($M$47)-ROW($M17)-1),0)),ROW($M$47)-ROW($M17)-1,MATCH(Q$13,OFFSET($M17,1,0,ROW($M$47)-ROW($M17)-1),0)-1),0))</f>
        <v>0</v>
      </c>
      <c r="R17" s="193">
        <f t="shared" ref="R17" ca="1" si="11">MIN(OFFSET(M17,0,1,,M17))</f>
        <v>2</v>
      </c>
      <c r="S17" s="194">
        <f ca="1">IF($F18=0,OFFSET(ORÇAMENTO!X$15,$F17,0),IF($F18&lt;&gt;-1,OFFSET(QCI!$O$13,$F18,0),""))</f>
        <v>164265.45000000001</v>
      </c>
      <c r="T17" s="195" t="s">
        <v>785</v>
      </c>
      <c r="U17" s="188" cm="1">
        <f t="array" aca="1" ref="U17" ca="1">IF(AND($R17=2,ACOMPANHAMENTO="BM"),ROUND(U18,4),U19/$S17)</f>
        <v>0.30070827432061936</v>
      </c>
      <c r="V17" s="188" cm="1">
        <f t="array" aca="1" ref="V17" ca="1">IF(AND($R17=2,ACOMPANHAMENTO="BM"),ROUND(V18,4),V19/$S17)</f>
        <v>0.28569160465575688</v>
      </c>
      <c r="W17" s="188" cm="1">
        <f t="array" aca="1" ref="W17" ca="1">IF(AND($R17=2,ACOMPANHAMENTO="BM"),ROUND(W18,4),W19/$S17)</f>
        <v>0.36305132941832868</v>
      </c>
      <c r="X17" s="188" cm="1">
        <f t="array" aca="1" ref="X17" ca="1">IF(AND($R17=2,ACOMPANHAMENTO="BM"),ROUND(X18,4),X19/$S17)</f>
        <v>2.5274395802647481E-2</v>
      </c>
      <c r="Y17" s="188" cm="1">
        <f t="array" aca="1" ref="Y17" ca="1">IF(AND($R17=2,ACOMPANHAMENTO="BM"),ROUND(Y18,4),Y19/$S17)</f>
        <v>2.5274395802647481E-2</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hidden="1" customHeight="1" x14ac:dyDescent="0.2">
      <c r="E18" s="587"/>
      <c r="F18" s="185">
        <f ca="1">IF(ISERROR(F17),IF(1+COUNTIF($M$13:OFFSET(M17,-1,0),1)&lt;=MAX(QCI!$D$13:$D$15),1+COUNTIF($M$13:OFFSET(M17,-1,0),1),-1),0)</f>
        <v>0</v>
      </c>
      <c r="G18" s="185" t="str" cm="1">
        <f t="array" aca="1" ref="G18" ca="1">IF(ACOMPANHAMENTO="BM",OFFSET(G18,-1,0),"")</f>
        <v/>
      </c>
      <c r="H18" s="196" t="str" cm="1">
        <f t="array" aca="1" ref="H18" ca="1">IF(OR(S17=0,S17=""),"vazia",IF(AND(OR(ACOMPANHAMENTO="PLE",$R17&lt;&gt;2),$F18=0),"calculada","--&gt;"))</f>
        <v>calculada</v>
      </c>
      <c r="I18" s="197"/>
      <c r="J18" s="198" t="str">
        <f t="shared" ref="J18" ca="1" si="12">IF(AND(H17&lt;&gt;0,ISNUMBER(H17)),"PREENCHA ESTA LINHA --&gt;","")</f>
        <v/>
      </c>
      <c r="K18" s="198"/>
      <c r="L18" s="198"/>
      <c r="M18" s="199"/>
      <c r="N18" s="199"/>
      <c r="O18" s="199"/>
      <c r="P18" s="199"/>
      <c r="Q18" s="199"/>
      <c r="R18" s="199"/>
      <c r="S18" s="200"/>
      <c r="T18" s="201"/>
      <c r="U18" s="587"/>
      <c r="V18" s="587"/>
      <c r="W18" s="587"/>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SUMIF(CÁLCULO!$AM$15:$AW$93,CRONO!E$12,CÁLCULO!$AB$15:$AL$93)/(ORÇAMENTO!$X$15-CÁLCULO.TotalAdmLocal)*CRONO!$F19,
                        0),
                 E18*$S17),
          SUMIF(OFFSET($S19,1,0,$R17-2),($M17+1)&amp;"$",OFFSET(E19,1,0,$R17-2)))</f>
        <v>49395.979999999989</v>
      </c>
      <c r="F19" s="185">
        <f ca="1">IF(OR($R17&lt;&gt;2,AUTOEVENTO&lt;&gt;"manual",$F18&gt;0),"",
        IF(Import.TipoArredondamento="Tradicional",
              SUMIF(OFFSET(CÁLCULO!$M$15,CRONO!$F17,0,OFFSET(ORÇAMENTO!$D$15,CRONO!$F17,0)),1,OFFSET(ORÇAMENTO!$X$15,CRONO!$F17,0,OFFSET(ORÇAMENTO!$D$15,CRONO!$F17,0))),
              0))</f>
        <v>0</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SUMIF(CÁLCULO!$AM$15:$AW$93,CRONO!U$12,CÁLCULO!$AB$15:$AL$93)/(ORÇAMENTO!$X$15-CÁLCULO.TotalAdmLocal)*CRONO!$F19,
                        0),
                 U18*$S17),
          SUMIF(OFFSET($S19,1,0,$R17-2),($M17+1)&amp;"$",OFFSET(U19,1,0,$R17-2)))</f>
        <v>49395.979999999989</v>
      </c>
      <c r="V19" s="202" cm="1">
        <f t="array" aca="1" ref="V19" ca="1">IF($R17=2,
         IF(AND(ACOMPANHAMENTO="PLE",ISNUMBER($F17)),
                SUMIF((OFFSET(CÁLCULO!$AM$15:$AW$15,$F17,0,OFFSET(ORÇAMENTO!$D$15,CRONO!$F17,0))),CRONO!V$12,OFFSET(CÁLCULO!$AB$15:$AL$15,$F17,0,OFFSET(ORÇAMENTO!$D$15,CRONO!$F17,0)))
                +IF(AND($F19&lt;&gt;"",$F19&lt;&gt;0),
                        SUMIF(CÁLCULO!$AM$15:$AW$93,CRONO!V$12,CÁLCULO!$AB$15:$AL$93)/(ORÇAMENTO!$X$15-CÁLCULO.TotalAdmLocal)*CRONO!$F19,
                        0),
                 V18*$S17),
          SUMIF(OFFSET($S19,1,0,$R17-2),($M17+1)&amp;"$",OFFSET(V19,1,0,$R17-2)))</f>
        <v>46929.26</v>
      </c>
      <c r="W19" s="202" cm="1">
        <f t="array" aca="1" ref="W19" ca="1">IF($R17=2,
         IF(AND(ACOMPANHAMENTO="PLE",ISNUMBER($F17)),
                SUMIF((OFFSET(CÁLCULO!$AM$15:$AW$15,$F17,0,OFFSET(ORÇAMENTO!$D$15,CRONO!$F17,0))),CRONO!W$12,OFFSET(CÁLCULO!$AB$15:$AL$15,$F17,0,OFFSET(ORÇAMENTO!$D$15,CRONO!$F17,0)))
                +IF(AND($F19&lt;&gt;"",$F19&lt;&gt;0),
                        SUMIF(CÁLCULO!$AM$15:$AW$93,CRONO!W$12,CÁLCULO!$AB$15:$AL$93)/(ORÇAMENTO!$X$15-CÁLCULO.TotalAdmLocal)*CRONO!$F19,
                        0),
                 W18*$S17),
          SUMIF(OFFSET($S19,1,0,$R17-2),($M17+1)&amp;"$",OFFSET(W19,1,0,$R17-2)))</f>
        <v>59636.790000000008</v>
      </c>
      <c r="X19" s="202" cm="1">
        <f t="array" aca="1" ref="X19" ca="1">IF($R17=2,
         IF(AND(ACOMPANHAMENTO="PLE",ISNUMBER($F17)),
                SUMIF((OFFSET(CÁLCULO!$AM$15:$AW$15,$F17,0,OFFSET(ORÇAMENTO!$D$15,CRONO!$F17,0))),CRONO!X$12,OFFSET(CÁLCULO!$AB$15:$AL$15,$F17,0,OFFSET(ORÇAMENTO!$D$15,CRONO!$F17,0)))
                +IF(AND($F19&lt;&gt;"",$F19&lt;&gt;0),
                        SUMIF(CÁLCULO!$AM$15:$AW$93,CRONO!X$12,CÁLCULO!$AB$15:$AL$93)/(ORÇAMENTO!$X$15-CÁLCULO.TotalAdmLocal)*CRONO!$F19,
                        0),
                 X18*$S17),
          SUMIF(OFFSET($S19,1,0,$R17-2),($M17+1)&amp;"$",OFFSET(X19,1,0,$R17-2)))</f>
        <v>4151.71</v>
      </c>
      <c r="Y19" s="202" cm="1">
        <f t="array" aca="1" ref="Y19" ca="1">IF($R17=2,
         IF(AND(ACOMPANHAMENTO="PLE",ISNUMBER($F17)),
                SUMIF((OFFSET(CÁLCULO!$AM$15:$AW$15,$F17,0,OFFSET(ORÇAMENTO!$D$15,CRONO!$F17,0))),CRONO!Y$12,OFFSET(CÁLCULO!$AB$15:$AL$15,$F17,0,OFFSET(ORÇAMENTO!$D$15,CRONO!$F17,0)))
                +IF(AND($F19&lt;&gt;"",$F19&lt;&gt;0),
                        SUMIF(CÁLCULO!$AM$15:$AW$93,CRONO!Y$12,CÁLCULO!$AB$15:$AL$93)/(ORÇAMENTO!$X$15-CÁLCULO.TotalAdmLocal)*CRONO!$F19,
                        0),
                 Y18*$S17),
          SUMIF(OFFSET($S19,1,0,$R17-2),($M17+1)&amp;"$",OFFSET(Y19,1,0,$R17-2)))</f>
        <v>4151.71</v>
      </c>
      <c r="Z19" s="202" cm="1">
        <f t="array" aca="1" ref="Z19" ca="1">IF($R17=2,
         IF(AND(ACOMPANHAMENTO="PLE",ISNUMBER($F17)),
                SUMIF((OFFSET(CÁLCULO!$AM$15:$AW$15,$F17,0,OFFSET(ORÇAMENTO!$D$15,CRONO!$F17,0))),CRONO!Z$12,OFFSET(CÁLCULO!$AB$15:$AL$15,$F17,0,OFFSET(ORÇAMENTO!$D$15,CRONO!$F17,0)))
                +IF(AND($F19&lt;&gt;"",$F19&lt;&gt;0),
                        SUMIF(CÁLCULO!$AM$15:$AW$93,CRONO!Z$12,CÁLCULO!$AB$15:$AL$93)/(ORÇAMENTO!$X$15-CÁLCULO.TotalAdmLocal)*CRONO!$F19,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SUMIF(CÁLCULO!$AM$15:$AW$93,CRONO!AA$12,CÁLCULO!$AB$15:$AL$93)/(ORÇAMENTO!$X$15-CÁLCULO.TotalAdmLocal)*CRONO!$F19,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SUMIF(CÁLCULO!$AM$15:$AW$93,CRONO!AB$12,CÁLCULO!$AB$15:$AL$93)/(ORÇAMENTO!$X$15-CÁLCULO.TotalAdmLocal)*CRONO!$F19,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SUMIF(CÁLCULO!$AM$15:$AW$93,CRONO!AC$12,CÁLCULO!$AB$15:$AL$93)/(ORÇAMENTO!$X$15-CÁLCULO.TotalAdmLocal)*CRONO!$F19,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SUMIF(CÁLCULO!$AM$15:$AW$93,CRONO!AD$12,CÁLCULO!$AB$15:$AL$93)/(ORÇAMENTO!$X$15-CÁLCULO.TotalAdmLocal)*CRONO!$F19,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SUMIF(CÁLCULO!$AM$15:$AW$93,CRONO!AE$12,CÁLCULO!$AB$15:$AL$93)/(ORÇAMENTO!$X$15-CÁLCULO.TotalAdmLocal)*CRONO!$F19,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SUMIF(CÁLCULO!$AM$15:$AW$93,CRONO!AF$12,CÁLCULO!$AB$15:$AL$93)/(ORÇAMENTO!$X$15-CÁLCULO.TotalAdmLocal)*CRONO!$F19,
                        0),
                 AF18*$S17),
          SUMIF(OFFSET($S19,1,0,$R17-2),($M17+1)&amp;"$",OFFSET(AF19,1,0,$R17-2)))</f>
        <v>0</v>
      </c>
      <c r="AG19" s="534"/>
    </row>
    <row r="20" spans="1:33" x14ac:dyDescent="0.2">
      <c r="A20" s="186" t="str">
        <f t="shared" ref="A20" ca="1" si="14">IF($M20&gt;1,_xlfn.CONCAT($I20," ",$J20),"")</f>
        <v>1.2. SERVIÇOS PRELIMINARES</v>
      </c>
      <c r="B20" s="185">
        <f t="shared" ref="B20" ca="1" si="15">OFFSET(B20,-3,0)+1</f>
        <v>3</v>
      </c>
      <c r="C20" s="185">
        <f ca="1">IF($R20&lt;&gt;2,0,IF($S20=0,1,IF(F21&gt;0,OFFSET(QCI!$M$13,SUBSTITUTE(F21,".",""),0),OFFSET(ORÇAMENTO!$AA$15,CRONO!$F20,0))/$S20))</f>
        <v>0</v>
      </c>
      <c r="D20" s="185">
        <f ca="1">IF($R20&lt;&gt;2,0,IF($S20=0,1,IF(F21&gt;0,OFFSET(QCI!$N$13,SUBSTITUTE(F21,".",""),0),OFFSET(ORÇAMENTO!$AB$15,CRONO!$F20,0))/$S20))</f>
        <v>0</v>
      </c>
      <c r="E20" s="188" cm="1">
        <f t="array" aca="1" ref="E20" ca="1">IF(AND($R20=2,ACOMPANHAMENTO="BM"),ROUND(E21,4),E22/$S20)</f>
        <v>0.33438133881228072</v>
      </c>
      <c r="F20" s="185" cm="1">
        <f t="array" aca="1" ref="F20" ca="1">IF(B20&lt;=ORÇAMENTO.MáximoListaCrono,MATCH(B20,ORÇAMENTO.ListaCrono,0),NA())</f>
        <v>24</v>
      </c>
      <c r="G20" s="185" t="str">
        <f t="shared" ref="G20" ca="1" si="16">IF(AND($F21&lt;&gt;-1,$S20&gt;0),"F","")</f>
        <v>F</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SERVIÇOS PRELIMINARES</v>
      </c>
      <c r="K20" s="191"/>
      <c r="L20" s="191"/>
      <c r="M20" s="192">
        <f ca="1">IF($F21=0,OFFSET(ORÇAMENTO!C$15,$F20,0),1)</f>
        <v>2</v>
      </c>
      <c r="N20" s="193">
        <f ca="1">IF($F21=-1,0,IF(N$13&lt;=$M20,IF(ISERROR(MATCH(N$13,OFFSET($M20,1,0,ROW($M$47)-ROW($M20)-1),0)),ROW($M$47)-ROW($M20)-1,MATCH(N$13,OFFSET($M20,1,0,ROW($M$47)-ROW($M20)-1),0)-1),0))</f>
        <v>26</v>
      </c>
      <c r="O20" s="193">
        <f ca="1">IF($F21=-1,0,IF(O$13&lt;=$M20,IF(ISERROR(MATCH(O$13,OFFSET($M20,1,0,ROW($M$47)-ROW($M20)-1),0)),ROW($M$47)-ROW($M20)-1,MATCH(O$13,OFFSET($M20,1,0,ROW($M$47)-ROW($M20)-1),0)-1),0))</f>
        <v>2</v>
      </c>
      <c r="P20" s="193">
        <f ca="1">IF($F21=-1,0,IF(P$13&lt;=$M20,IF(ISERROR(MATCH(P$13,OFFSET($M20,1,0,ROW($M$47)-ROW($M20)-1),0)),ROW($M$47)-ROW($M20)-1,MATCH(P$13,OFFSET($M20,1,0,ROW($M$47)-ROW($M20)-1),0)-1),0))</f>
        <v>0</v>
      </c>
      <c r="Q20" s="193">
        <f ca="1">IF($F21=-1,0,IF(Q$13&lt;=$M20,IF(ISERROR(MATCH(Q$13,OFFSET($M20,1,0,ROW($M$47)-ROW($M20)-1),0)),ROW($M$47)-ROW($M20)-1,MATCH(Q$13,OFFSET($M20,1,0,ROW($M$47)-ROW($M20)-1),0)-1),0))</f>
        <v>0</v>
      </c>
      <c r="R20" s="193">
        <f t="shared" ref="R20" ca="1" si="17">MIN(OFFSET(M20,0,1,,M20))</f>
        <v>2</v>
      </c>
      <c r="S20" s="194">
        <f ca="1">IF($F21=0,OFFSET(ORÇAMENTO!X$15,$F20,0),IF($F21&lt;&gt;-1,OFFSET(QCI!$O$13,$F21,0),""))</f>
        <v>275726.93</v>
      </c>
      <c r="T20" s="195" t="s">
        <v>785</v>
      </c>
      <c r="U20" s="188" cm="1">
        <f t="array" aca="1" ref="U20" ca="1">IF(AND($R20=2,ACOMPANHAMENTO="BM"),ROUND(U21,4),U22/$S20)</f>
        <v>0.33438133881228072</v>
      </c>
      <c r="V20" s="188" cm="1">
        <f t="array" aca="1" ref="V20" ca="1">IF(AND($R20=2,ACOMPANHAMENTO="BM"),ROUND(V21,4),V22/$S20)</f>
        <v>0.32493605176686946</v>
      </c>
      <c r="W20" s="188" cm="1">
        <f t="array" aca="1" ref="W20" ca="1">IF(AND($R20=2,ACOMPANHAMENTO="BM"),ROUND(W21,4),W22/$S20)</f>
        <v>0.13431328597464162</v>
      </c>
      <c r="X20" s="188" cm="1">
        <f t="array" aca="1" ref="X20" ca="1">IF(AND($R20=2,ACOMPANHAMENTO="BM"),ROUND(X21,4),X22/$S20)</f>
        <v>9.6689394829877512E-2</v>
      </c>
      <c r="Y20" s="188" cm="1">
        <f t="array" aca="1" ref="Y20" ca="1">IF(AND($R20=2,ACOMPANHAMENTO="BM"),ROUND(Y21,4),Y22/$S20)</f>
        <v>0.10967992861633066</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hidden="1" customHeight="1" x14ac:dyDescent="0.2">
      <c r="E21" s="587"/>
      <c r="F21" s="185">
        <f ca="1">IF(ISERROR(F20),IF(1+COUNTIF($M$13:OFFSET(M20,-1,0),1)&lt;=MAX(QCI!$D$13:$D$15),1+COUNTIF($M$13:OFFSET(M20,-1,0),1),-1),0)</f>
        <v>0</v>
      </c>
      <c r="G21" s="185" t="str" cm="1">
        <f t="array" aca="1" ref="G21" ca="1">IF(ACOMPANHAMENTO="BM",OFFSET(G21,-1,0),"")</f>
        <v/>
      </c>
      <c r="H21" s="196" t="str" cm="1">
        <f t="array" aca="1" ref="H21" ca="1">IF(OR(S20=0,S20=""),"vazia",IF(AND(OR(ACOMPANHAMENTO="PLE",$R20&lt;&gt;2),$F21=0),"calculada","--&gt;"))</f>
        <v>calculada</v>
      </c>
      <c r="I21" s="197"/>
      <c r="J21" s="198" t="str">
        <f t="shared" ref="J21" ca="1" si="18">IF(AND(H20&lt;&gt;0,ISNUMBER(H20)),"PREENCHA ESTA LINHA --&gt;","")</f>
        <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SUMIF(CÁLCULO!$AM$15:$AW$93,CRONO!E$12,CÁLCULO!$AB$15:$AL$93)/(ORÇAMENTO!$X$15-CÁLCULO.TotalAdmLocal)*CRONO!$F22,
                        0),
                 E21*$S20),
          SUMIF(OFFSET($S22,1,0,$R20-2),($M20+1)&amp;"$",OFFSET(E22,1,0,$R20-2)))</f>
        <v>92197.94</v>
      </c>
      <c r="F22" s="185">
        <f ca="1">IF(OR($R20&lt;&gt;2,AUTOEVENTO&lt;&gt;"manual",$F21&gt;0),"",
        IF(Import.TipoArredondamento="Tradicional",
              SUMIF(OFFSET(CÁLCULO!$M$15,CRONO!$F20,0,OFFSET(ORÇAMENTO!$D$15,CRONO!$F20,0)),1,OFFSET(ORÇAMENTO!$X$15,CRONO!$F20,0,OFFSET(ORÇAMENTO!$D$15,CRONO!$F20,0))),
              0))</f>
        <v>0</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SUMIF(CÁLCULO!$AM$15:$AW$93,CRONO!U$12,CÁLCULO!$AB$15:$AL$93)/(ORÇAMENTO!$X$15-CÁLCULO.TotalAdmLocal)*CRONO!$F22,
                        0),
                 U21*$S20),
          SUMIF(OFFSET($S22,1,0,$R20-2),($M20+1)&amp;"$",OFFSET(U22,1,0,$R20-2)))</f>
        <v>92197.94</v>
      </c>
      <c r="V22" s="202" cm="1">
        <f t="array" aca="1" ref="V22" ca="1">IF($R20=2,
         IF(AND(ACOMPANHAMENTO="PLE",ISNUMBER($F20)),
                SUMIF((OFFSET(CÁLCULO!$AM$15:$AW$15,$F20,0,OFFSET(ORÇAMENTO!$D$15,CRONO!$F20,0))),CRONO!V$12,OFFSET(CÁLCULO!$AB$15:$AL$15,$F20,0,OFFSET(ORÇAMENTO!$D$15,CRONO!$F20,0)))
                +IF(AND($F22&lt;&gt;"",$F22&lt;&gt;0),
                        SUMIF(CÁLCULO!$AM$15:$AW$93,CRONO!V$12,CÁLCULO!$AB$15:$AL$93)/(ORÇAMENTO!$X$15-CÁLCULO.TotalAdmLocal)*CRONO!$F22,
                        0),
                 V21*$S20),
          SUMIF(OFFSET($S22,1,0,$R20-2),($M20+1)&amp;"$",OFFSET(V22,1,0,$R20-2)))</f>
        <v>89593.62</v>
      </c>
      <c r="W22" s="202" cm="1">
        <f t="array" aca="1" ref="W22" ca="1">IF($R20=2,
         IF(AND(ACOMPANHAMENTO="PLE",ISNUMBER($F20)),
                SUMIF((OFFSET(CÁLCULO!$AM$15:$AW$15,$F20,0,OFFSET(ORÇAMENTO!$D$15,CRONO!$F20,0))),CRONO!W$12,OFFSET(CÁLCULO!$AB$15:$AL$15,$F20,0,OFFSET(ORÇAMENTO!$D$15,CRONO!$F20,0)))
                +IF(AND($F22&lt;&gt;"",$F22&lt;&gt;0),
                        SUMIF(CÁLCULO!$AM$15:$AW$93,CRONO!W$12,CÁLCULO!$AB$15:$AL$93)/(ORÇAMENTO!$X$15-CÁLCULO.TotalAdmLocal)*CRONO!$F22,
                        0),
                 W21*$S20),
          SUMIF(OFFSET($S22,1,0,$R20-2),($M20+1)&amp;"$",OFFSET(W22,1,0,$R20-2)))</f>
        <v>37033.789999999994</v>
      </c>
      <c r="X22" s="202" cm="1">
        <f t="array" aca="1" ref="X22" ca="1">IF($R20=2,
         IF(AND(ACOMPANHAMENTO="PLE",ISNUMBER($F20)),
                SUMIF((OFFSET(CÁLCULO!$AM$15:$AW$15,$F20,0,OFFSET(ORÇAMENTO!$D$15,CRONO!$F20,0))),CRONO!X$12,OFFSET(CÁLCULO!$AB$15:$AL$15,$F20,0,OFFSET(ORÇAMENTO!$D$15,CRONO!$F20,0)))
                +IF(AND($F22&lt;&gt;"",$F22&lt;&gt;0),
                        SUMIF(CÁLCULO!$AM$15:$AW$93,CRONO!X$12,CÁLCULO!$AB$15:$AL$93)/(ORÇAMENTO!$X$15-CÁLCULO.TotalAdmLocal)*CRONO!$F22,
                        0),
                 X21*$S20),
          SUMIF(OFFSET($S22,1,0,$R20-2),($M20+1)&amp;"$",OFFSET(X22,1,0,$R20-2)))</f>
        <v>26659.87</v>
      </c>
      <c r="Y22" s="202" cm="1">
        <f t="array" aca="1" ref="Y22" ca="1">IF($R20=2,
         IF(AND(ACOMPANHAMENTO="PLE",ISNUMBER($F20)),
                SUMIF((OFFSET(CÁLCULO!$AM$15:$AW$15,$F20,0,OFFSET(ORÇAMENTO!$D$15,CRONO!$F20,0))),CRONO!Y$12,OFFSET(CÁLCULO!$AB$15:$AL$15,$F20,0,OFFSET(ORÇAMENTO!$D$15,CRONO!$F20,0)))
                +IF(AND($F22&lt;&gt;"",$F22&lt;&gt;0),
                        SUMIF(CÁLCULO!$AM$15:$AW$93,CRONO!Y$12,CÁLCULO!$AB$15:$AL$93)/(ORÇAMENTO!$X$15-CÁLCULO.TotalAdmLocal)*CRONO!$F22,
                        0),
                 Y21*$S20),
          SUMIF(OFFSET($S22,1,0,$R20-2),($M20+1)&amp;"$",OFFSET(Y22,1,0,$R20-2)))</f>
        <v>30241.71</v>
      </c>
      <c r="Z22" s="202" cm="1">
        <f t="array" aca="1" ref="Z22" ca="1">IF($R20=2,
         IF(AND(ACOMPANHAMENTO="PLE",ISNUMBER($F20)),
                SUMIF((OFFSET(CÁLCULO!$AM$15:$AW$15,$F20,0,OFFSET(ORÇAMENTO!$D$15,CRONO!$F20,0))),CRONO!Z$12,OFFSET(CÁLCULO!$AB$15:$AL$15,$F20,0,OFFSET(ORÇAMENTO!$D$15,CRONO!$F20,0)))
                +IF(AND($F22&lt;&gt;"",$F22&lt;&gt;0),
                        SUMIF(CÁLCULO!$AM$15:$AW$93,CRONO!Z$12,CÁLCULO!$AB$15:$AL$93)/(ORÇAMENTO!$X$15-CÁLCULO.TotalAdmLocal)*CRONO!$F22,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SUMIF(CÁLCULO!$AM$15:$AW$93,CRONO!AA$12,CÁLCULO!$AB$15:$AL$93)/(ORÇAMENTO!$X$15-CÁLCULO.TotalAdmLocal)*CRONO!$F22,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SUMIF(CÁLCULO!$AM$15:$AW$93,CRONO!AB$12,CÁLCULO!$AB$15:$AL$93)/(ORÇAMENTO!$X$15-CÁLCULO.TotalAdmLocal)*CRONO!$F22,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SUMIF(CÁLCULO!$AM$15:$AW$93,CRONO!AC$12,CÁLCULO!$AB$15:$AL$93)/(ORÇAMENTO!$X$15-CÁLCULO.TotalAdmLocal)*CRONO!$F22,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SUMIF(CÁLCULO!$AM$15:$AW$93,CRONO!AD$12,CÁLCULO!$AB$15:$AL$93)/(ORÇAMENTO!$X$15-CÁLCULO.TotalAdmLocal)*CRONO!$F22,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SUMIF(CÁLCULO!$AM$15:$AW$93,CRONO!AE$12,CÁLCULO!$AB$15:$AL$93)/(ORÇAMENTO!$X$15-CÁLCULO.TotalAdmLocal)*CRONO!$F22,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SUMIF(CÁLCULO!$AM$15:$AW$93,CRONO!AF$12,CÁLCULO!$AB$15:$AL$93)/(ORÇAMENTO!$X$15-CÁLCULO.TotalAdmLocal)*CRONO!$F22,
                        0),
                 AF21*$S20),
          SUMIF(OFFSET($S22,1,0,$R20-2),($M20+1)&amp;"$",OFFSET(AF22,1,0,$R20-2)))</f>
        <v>0</v>
      </c>
      <c r="AG22" s="534"/>
    </row>
    <row r="23" spans="1:33" x14ac:dyDescent="0.2">
      <c r="A23" s="186" t="str">
        <f t="shared" ref="A23" ca="1" si="20">IF($M23&gt;1,_xlfn.CONCAT($I23," ",$J23),"")</f>
        <v>1.3. ADM LOCAL</v>
      </c>
      <c r="B23" s="185">
        <f t="shared" ref="B23" ca="1" si="21">OFFSET(B23,-3,0)+1</f>
        <v>4</v>
      </c>
      <c r="C23" s="185">
        <f ca="1">IF($R23&lt;&gt;2,0,IF($S23=0,1,IF(F24&gt;0,OFFSET(QCI!$M$13,SUBSTITUTE(F24,".",""),0),OFFSET(ORÇAMENTO!$AA$15,CRONO!$F23,0))/$S23))</f>
        <v>0</v>
      </c>
      <c r="D23" s="185">
        <f ca="1">IF($R23&lt;&gt;2,0,IF($S23=0,1,IF(F24&gt;0,OFFSET(QCI!$N$13,SUBSTITUTE(F24,".",""),0),OFFSET(ORÇAMENTO!$AB$15,CRONO!$F23,0))/$S23))</f>
        <v>0</v>
      </c>
      <c r="E23" s="188" cm="1">
        <f t="array" aca="1" ref="E23" ca="1">IF(AND($R23=2,ACOMPANHAMENTO="BM"),ROUND(E24,4),E25/$S23)</f>
        <v>3.7274508016888206E-3</v>
      </c>
      <c r="F23" s="185" cm="1">
        <f t="array" aca="1" ref="F23" ca="1">IF(B23&lt;=ORÇAMENTO.MáximoListaCrono,MATCH(B23,ORÇAMENTO.ListaCrono,0),NA())</f>
        <v>46</v>
      </c>
      <c r="G23" s="185" t="str">
        <f t="shared" ref="G23" ca="1" si="22">IF(AND($F24&lt;&gt;-1,$S23&gt;0),"F","")</f>
        <v>F</v>
      </c>
      <c r="H23" s="189" t="str" cm="1">
        <f t="array" aca="1" ref="H23" ca="1">IF(OR(S23=0,S23=""),"Linha",IF(AND(OR(ACOMPANHAMENTO="PLE",$R23&lt;&gt;2),$F24=0),"Linha",ROUND(1-SUM(U23:AG23),4)))</f>
        <v>Linha</v>
      </c>
      <c r="I23" s="190" t="str">
        <f ca="1">IF($F24=0,OFFSET(ORÇAMENTO!O$15,$F23,0),IF($F24&lt;&gt;-1,OFFSET(QCI!$D$13,$F24,0),""))</f>
        <v>1.3.</v>
      </c>
      <c r="J23" s="191" t="str">
        <f ca="1">IF($F24=0,OFFSET(ORÇAMENTO!R$15,$F23,0),IF($F24&lt;&gt;-1,OFFSET(QCI!$G$13,$F24,0),""))</f>
        <v>ADM LOCAL</v>
      </c>
      <c r="K23" s="191"/>
      <c r="L23" s="191"/>
      <c r="M23" s="192">
        <f ca="1">IF($F24=0,OFFSET(ORÇAMENTO!C$15,$F23,0),1)</f>
        <v>2</v>
      </c>
      <c r="N23" s="193">
        <f ca="1">IF($F24=-1,0,IF(N$13&lt;=$M23,IF(ISERROR(MATCH(N$13,OFFSET($M23,1,0,ROW($M$47)-ROW($M23)-1),0)),ROW($M$47)-ROW($M23)-1,MATCH(N$13,OFFSET($M23,1,0,ROW($M$47)-ROW($M23)-1),0)-1),0))</f>
        <v>23</v>
      </c>
      <c r="O23" s="193">
        <f ca="1">IF($F24=-1,0,IF(O$13&lt;=$M23,IF(ISERROR(MATCH(O$13,OFFSET($M23,1,0,ROW($M$47)-ROW($M23)-1),0)),ROW($M$47)-ROW($M23)-1,MATCH(O$13,OFFSET($M23,1,0,ROW($M$47)-ROW($M23)-1),0)-1),0))</f>
        <v>2</v>
      </c>
      <c r="P23" s="193">
        <f ca="1">IF($F24=-1,0,IF(P$13&lt;=$M23,IF(ISERROR(MATCH(P$13,OFFSET($M23,1,0,ROW($M$47)-ROW($M23)-1),0)),ROW($M$47)-ROW($M23)-1,MATCH(P$13,OFFSET($M23,1,0,ROW($M$47)-ROW($M23)-1),0)-1),0))</f>
        <v>0</v>
      </c>
      <c r="Q23" s="193">
        <f ca="1">IF($F24=-1,0,IF(Q$13&lt;=$M23,IF(ISERROR(MATCH(Q$13,OFFSET($M23,1,0,ROW($M$47)-ROW($M23)-1),0)),ROW($M$47)-ROW($M23)-1,MATCH(Q$13,OFFSET($M23,1,0,ROW($M$47)-ROW($M23)-1),0)-1),0))</f>
        <v>0</v>
      </c>
      <c r="R23" s="193">
        <f t="shared" ref="R23" ca="1" si="23">MIN(OFFSET(M23,0,1,,M23))</f>
        <v>2</v>
      </c>
      <c r="S23" s="194">
        <f ca="1">IF($F24=0,OFFSET(ORÇAMENTO!X$15,$F23,0),IF($F24&lt;&gt;-1,OFFSET(QCI!$O$13,$F24,0),""))</f>
        <v>188394.17</v>
      </c>
      <c r="T23" s="195" t="s">
        <v>785</v>
      </c>
      <c r="U23" s="188" cm="1">
        <f t="array" aca="1" ref="U23" ca="1">IF(AND($R23=2,ACOMPANHAMENTO="BM"),ROUND(U24,4),U25/$S23)</f>
        <v>3.7274508016888206E-3</v>
      </c>
      <c r="V23" s="188" cm="1">
        <f t="array" aca="1" ref="V23" ca="1">IF(AND($R23=2,ACOMPANHAMENTO="BM"),ROUND(V24,4),V25/$S23)</f>
        <v>1.9062373320788004E-2</v>
      </c>
      <c r="W23" s="188" cm="1">
        <f t="array" aca="1" ref="W23" ca="1">IF(AND($R23=2,ACOMPANHAMENTO="BM"),ROUND(W24,4),W25/$S23)</f>
        <v>3.9234706679086725E-2</v>
      </c>
      <c r="X23" s="188" cm="1">
        <f t="array" aca="1" ref="X23" ca="1">IF(AND($R23=2,ACOMPANHAMENTO="BM"),ROUND(X24,4),X25/$S23)</f>
        <v>4.8637704659332086E-2</v>
      </c>
      <c r="Y23" s="188" cm="1">
        <f t="array" aca="1" ref="Y23" ca="1">IF(AND($R23=2,ACOMPANHAMENTO="BM"),ROUND(Y24,4),Y25/$S23)</f>
        <v>5.3559194533461404E-2</v>
      </c>
      <c r="Z23" s="188" cm="1">
        <f t="array" aca="1" ref="Z23" ca="1">IF(AND($R23=2,ACOMPANHAMENTO="BM"),ROUND(Z24,4),Z25/$S23)</f>
        <v>4.3704961783053053E-2</v>
      </c>
      <c r="AA23" s="188" cm="1">
        <f t="array" aca="1" ref="AA23" ca="1">IF(AND($R23=2,ACOMPANHAMENTO="BM"),ROUND(AA24,4),AA25/$S23)</f>
        <v>3.0574619161516513E-2</v>
      </c>
      <c r="AB23" s="188" cm="1">
        <f t="array" aca="1" ref="AB23" ca="1">IF(AND($R23=2,ACOMPANHAMENTO="BM"),ROUND(AB24,4),AB25/$S23)</f>
        <v>3.855915498871329E-2</v>
      </c>
      <c r="AC23" s="188" cm="1">
        <f t="array" aca="1" ref="AC23" ca="1">IF(AND($R23=2,ACOMPANHAMENTO="BM"),ROUND(AC24,4),AC25/$S23)</f>
        <v>4.9234750735651749E-2</v>
      </c>
      <c r="AD23" s="188" cm="1">
        <f t="array" aca="1" ref="AD23" ca="1">IF(AND($R23=2,ACOMPANHAMENTO="BM"),ROUND(AD24,4),AD25/$S23)</f>
        <v>0.67370508333670831</v>
      </c>
      <c r="AE23" s="188" cm="1">
        <f t="array" aca="1" ref="AE23" ca="1">IF(AND($R23=2,ACOMPANHAMENTO="BM"),ROUND(AE24,4),AE25/$S23)</f>
        <v>0</v>
      </c>
      <c r="AF23" s="188" cm="1">
        <f t="array" aca="1" ref="AF23" ca="1">IF(AND($R23=2,ACOMPANHAMENTO="BM"),ROUND(AF24,4),AF25/$S23)</f>
        <v>0</v>
      </c>
      <c r="AG23" s="534"/>
    </row>
    <row r="24" spans="1:33" ht="12.75" hidden="1" customHeight="1" x14ac:dyDescent="0.2">
      <c r="E24" s="587"/>
      <c r="F24" s="185">
        <f ca="1">IF(ISERROR(F23),IF(1+COUNTIF($M$13:OFFSET(M23,-1,0),1)&lt;=MAX(QCI!$D$13:$D$15),1+COUNTIF($M$13:OFFSET(M23,-1,0),1),-1),0)</f>
        <v>0</v>
      </c>
      <c r="G24" s="185" t="str" cm="1">
        <f t="array" aca="1" ref="G24" ca="1">IF(ACOMPANHAMENTO="BM",OFFSET(G24,-1,0),"")</f>
        <v/>
      </c>
      <c r="H24" s="196" t="str" cm="1">
        <f t="array" aca="1" ref="H24" ca="1">IF(OR(S23=0,S23=""),"vazia",IF(AND(OR(ACOMPANHAMENTO="PLE",$R23&lt;&gt;2),$F24=0),"calculada","--&gt;"))</f>
        <v>calculada</v>
      </c>
      <c r="I24" s="197"/>
      <c r="J24" s="198" t="str">
        <f t="shared" ref="J24" ca="1" si="24">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SUMIF(CÁLCULO!$AM$15:$AW$93,CRONO!E$12,CÁLCULO!$AB$15:$AL$93)/(ORÇAMENTO!$X$15-CÁLCULO.TotalAdmLocal)*CRONO!$F25,
                        0),
                 E24*$S23),
          SUMIF(OFFSET($S25,1,0,$R23-2),($M23+1)&amp;"$",OFFSET(E25,1,0,$R23-2)))</f>
        <v>702.23</v>
      </c>
      <c r="F25" s="185">
        <f ca="1">IF(OR($R23&lt;&gt;2,AUTOEVENTO&lt;&gt;"manual",$F24&gt;0),"",
        IF(Import.TipoArredondamento="Tradicional",
              SUMIF(OFFSET(CÁLCULO!$M$15,CRONO!$F23,0,OFFSET(ORÇAMENTO!$D$15,CRONO!$F23,0)),1,OFFSET(ORÇAMENTO!$X$15,CRONO!$F23,0,OFFSET(ORÇAMENTO!$D$15,CRONO!$F23,0))),
              0))</f>
        <v>0</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SUMIF(CÁLCULO!$AM$15:$AW$93,CRONO!U$12,CÁLCULO!$AB$15:$AL$93)/(ORÇAMENTO!$X$15-CÁLCULO.TotalAdmLocal)*CRONO!$F25,
                        0),
                 U24*$S23),
          SUMIF(OFFSET($S25,1,0,$R23-2),($M23+1)&amp;"$",OFFSET(U25,1,0,$R23-2)))</f>
        <v>702.23</v>
      </c>
      <c r="V25" s="202" cm="1">
        <f t="array" aca="1" ref="V25" ca="1">IF($R23=2,
         IF(AND(ACOMPANHAMENTO="PLE",ISNUMBER($F23)),
                SUMIF((OFFSET(CÁLCULO!$AM$15:$AW$15,$F23,0,OFFSET(ORÇAMENTO!$D$15,CRONO!$F23,0))),CRONO!V$12,OFFSET(CÁLCULO!$AB$15:$AL$15,$F23,0,OFFSET(ORÇAMENTO!$D$15,CRONO!$F23,0)))
                +IF(AND($F25&lt;&gt;"",$F25&lt;&gt;0),
                        SUMIF(CÁLCULO!$AM$15:$AW$93,CRONO!V$12,CÁLCULO!$AB$15:$AL$93)/(ORÇAMENTO!$X$15-CÁLCULO.TotalAdmLocal)*CRONO!$F25,
                        0),
                 V24*$S23),
          SUMIF(OFFSET($S25,1,0,$R23-2),($M23+1)&amp;"$",OFFSET(V25,1,0,$R23-2)))</f>
        <v>3591.24</v>
      </c>
      <c r="W25" s="202" cm="1">
        <f t="array" aca="1" ref="W25" ca="1">IF($R23=2,
         IF(AND(ACOMPANHAMENTO="PLE",ISNUMBER($F23)),
                SUMIF((OFFSET(CÁLCULO!$AM$15:$AW$15,$F23,0,OFFSET(ORÇAMENTO!$D$15,CRONO!$F23,0))),CRONO!W$12,OFFSET(CÁLCULO!$AB$15:$AL$15,$F23,0,OFFSET(ORÇAMENTO!$D$15,CRONO!$F23,0)))
                +IF(AND($F25&lt;&gt;"",$F25&lt;&gt;0),
                        SUMIF(CÁLCULO!$AM$15:$AW$93,CRONO!W$12,CÁLCULO!$AB$15:$AL$93)/(ORÇAMENTO!$X$15-CÁLCULO.TotalAdmLocal)*CRONO!$F25,
                        0),
                 W24*$S23),
          SUMIF(OFFSET($S25,1,0,$R23-2),($M23+1)&amp;"$",OFFSET(W25,1,0,$R23-2)))</f>
        <v>7391.59</v>
      </c>
      <c r="X25" s="202" cm="1">
        <f t="array" aca="1" ref="X25" ca="1">IF($R23=2,
         IF(AND(ACOMPANHAMENTO="PLE",ISNUMBER($F23)),
                SUMIF((OFFSET(CÁLCULO!$AM$15:$AW$15,$F23,0,OFFSET(ORÇAMENTO!$D$15,CRONO!$F23,0))),CRONO!X$12,OFFSET(CÁLCULO!$AB$15:$AL$15,$F23,0,OFFSET(ORÇAMENTO!$D$15,CRONO!$F23,0)))
                +IF(AND($F25&lt;&gt;"",$F25&lt;&gt;0),
                        SUMIF(CÁLCULO!$AM$15:$AW$93,CRONO!X$12,CÁLCULO!$AB$15:$AL$93)/(ORÇAMENTO!$X$15-CÁLCULO.TotalAdmLocal)*CRONO!$F25,
                        0),
                 X24*$S23),
          SUMIF(OFFSET($S25,1,0,$R23-2),($M23+1)&amp;"$",OFFSET(X25,1,0,$R23-2)))</f>
        <v>9163.0600000000013</v>
      </c>
      <c r="Y25" s="202" cm="1">
        <f t="array" aca="1" ref="Y25" ca="1">IF($R23=2,
         IF(AND(ACOMPANHAMENTO="PLE",ISNUMBER($F23)),
                SUMIF((OFFSET(CÁLCULO!$AM$15:$AW$15,$F23,0,OFFSET(ORÇAMENTO!$D$15,CRONO!$F23,0))),CRONO!Y$12,OFFSET(CÁLCULO!$AB$15:$AL$15,$F23,0,OFFSET(ORÇAMENTO!$D$15,CRONO!$F23,0)))
                +IF(AND($F25&lt;&gt;"",$F25&lt;&gt;0),
                        SUMIF(CÁLCULO!$AM$15:$AW$93,CRONO!Y$12,CÁLCULO!$AB$15:$AL$93)/(ORÇAMENTO!$X$15-CÁLCULO.TotalAdmLocal)*CRONO!$F25,
                        0),
                 Y24*$S23),
          SUMIF(OFFSET($S25,1,0,$R23-2),($M23+1)&amp;"$",OFFSET(Y25,1,0,$R23-2)))</f>
        <v>10090.24</v>
      </c>
      <c r="Z25" s="202" cm="1">
        <f t="array" aca="1" ref="Z25" ca="1">IF($R23=2,
         IF(AND(ACOMPANHAMENTO="PLE",ISNUMBER($F23)),
                SUMIF((OFFSET(CÁLCULO!$AM$15:$AW$15,$F23,0,OFFSET(ORÇAMENTO!$D$15,CRONO!$F23,0))),CRONO!Z$12,OFFSET(CÁLCULO!$AB$15:$AL$15,$F23,0,OFFSET(ORÇAMENTO!$D$15,CRONO!$F23,0)))
                +IF(AND($F25&lt;&gt;"",$F25&lt;&gt;0),
                        SUMIF(CÁLCULO!$AM$15:$AW$93,CRONO!Z$12,CÁLCULO!$AB$15:$AL$93)/(ORÇAMENTO!$X$15-CÁLCULO.TotalAdmLocal)*CRONO!$F25,
                        0),
                 Z24*$S23),
          SUMIF(OFFSET($S25,1,0,$R23-2),($M23+1)&amp;"$",OFFSET(Z25,1,0,$R23-2)))</f>
        <v>8233.76</v>
      </c>
      <c r="AA25" s="202" cm="1">
        <f t="array" aca="1" ref="AA25" ca="1">IF($R23=2,
         IF(AND(ACOMPANHAMENTO="PLE",ISNUMBER($F23)),
                SUMIF((OFFSET(CÁLCULO!$AM$15:$AW$15,$F23,0,OFFSET(ORÇAMENTO!$D$15,CRONO!$F23,0))),CRONO!AA$12,OFFSET(CÁLCULO!$AB$15:$AL$15,$F23,0,OFFSET(ORÇAMENTO!$D$15,CRONO!$F23,0)))
                +IF(AND($F25&lt;&gt;"",$F25&lt;&gt;0),
                        SUMIF(CÁLCULO!$AM$15:$AW$93,CRONO!AA$12,CÁLCULO!$AB$15:$AL$93)/(ORÇAMENTO!$X$15-CÁLCULO.TotalAdmLocal)*CRONO!$F25,
                        0),
                 AA24*$S23),
          SUMIF(OFFSET($S25,1,0,$R23-2),($M23+1)&amp;"$",OFFSET(AA25,1,0,$R23-2)))</f>
        <v>5760.08</v>
      </c>
      <c r="AB25" s="202" cm="1">
        <f t="array" aca="1" ref="AB25" ca="1">IF($R23=2,
         IF(AND(ACOMPANHAMENTO="PLE",ISNUMBER($F23)),
                SUMIF((OFFSET(CÁLCULO!$AM$15:$AW$15,$F23,0,OFFSET(ORÇAMENTO!$D$15,CRONO!$F23,0))),CRONO!AB$12,OFFSET(CÁLCULO!$AB$15:$AL$15,$F23,0,OFFSET(ORÇAMENTO!$D$15,CRONO!$F23,0)))
                +IF(AND($F25&lt;&gt;"",$F25&lt;&gt;0),
                        SUMIF(CÁLCULO!$AM$15:$AW$93,CRONO!AB$12,CÁLCULO!$AB$15:$AL$93)/(ORÇAMENTO!$X$15-CÁLCULO.TotalAdmLocal)*CRONO!$F25,
                        0),
                 AB24*$S23),
          SUMIF(OFFSET($S25,1,0,$R23-2),($M23+1)&amp;"$",OFFSET(AB25,1,0,$R23-2)))</f>
        <v>7264.32</v>
      </c>
      <c r="AC25" s="202" cm="1">
        <f t="array" aca="1" ref="AC25" ca="1">IF($R23=2,
         IF(AND(ACOMPANHAMENTO="PLE",ISNUMBER($F23)),
                SUMIF((OFFSET(CÁLCULO!$AM$15:$AW$15,$F23,0,OFFSET(ORÇAMENTO!$D$15,CRONO!$F23,0))),CRONO!AC$12,OFFSET(CÁLCULO!$AB$15:$AL$15,$F23,0,OFFSET(ORÇAMENTO!$D$15,CRONO!$F23,0)))
                +IF(AND($F25&lt;&gt;"",$F25&lt;&gt;0),
                        SUMIF(CÁLCULO!$AM$15:$AW$93,CRONO!AC$12,CÁLCULO!$AB$15:$AL$93)/(ORÇAMENTO!$X$15-CÁLCULO.TotalAdmLocal)*CRONO!$F25,
                        0),
                 AC24*$S23),
          SUMIF(OFFSET($S25,1,0,$R23-2),($M23+1)&amp;"$",OFFSET(AC25,1,0,$R23-2)))</f>
        <v>9275.5400000000009</v>
      </c>
      <c r="AD25" s="202" cm="1">
        <f t="array" aca="1" ref="AD25" ca="1">IF($R23=2,
         IF(AND(ACOMPANHAMENTO="PLE",ISNUMBER($F23)),
                SUMIF((OFFSET(CÁLCULO!$AM$15:$AW$15,$F23,0,OFFSET(ORÇAMENTO!$D$15,CRONO!$F23,0))),CRONO!AD$12,OFFSET(CÁLCULO!$AB$15:$AL$15,$F23,0,OFFSET(ORÇAMENTO!$D$15,CRONO!$F23,0)))
                +IF(AND($F25&lt;&gt;"",$F25&lt;&gt;0),
                        SUMIF(CÁLCULO!$AM$15:$AW$93,CRONO!AD$12,CÁLCULO!$AB$15:$AL$93)/(ORÇAMENTO!$X$15-CÁLCULO.TotalAdmLocal)*CRONO!$F25,
                        0),
                 AD24*$S23),
          SUMIF(OFFSET($S25,1,0,$R23-2),($M23+1)&amp;"$",OFFSET(AD25,1,0,$R23-2)))</f>
        <v>126922.11</v>
      </c>
      <c r="AE25" s="202" cm="1">
        <f t="array" aca="1" ref="AE25" ca="1">IF($R23=2,
         IF(AND(ACOMPANHAMENTO="PLE",ISNUMBER($F23)),
                SUMIF((OFFSET(CÁLCULO!$AM$15:$AW$15,$F23,0,OFFSET(ORÇAMENTO!$D$15,CRONO!$F23,0))),CRONO!AE$12,OFFSET(CÁLCULO!$AB$15:$AL$15,$F23,0,OFFSET(ORÇAMENTO!$D$15,CRONO!$F23,0)))
                +IF(AND($F25&lt;&gt;"",$F25&lt;&gt;0),
                        SUMIF(CÁLCULO!$AM$15:$AW$93,CRONO!AE$12,CÁLCULO!$AB$15:$AL$93)/(ORÇAMENTO!$X$15-CÁLCULO.TotalAdmLocal)*CRONO!$F25,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SUMIF(CÁLCULO!$AM$15:$AW$93,CRONO!AF$12,CÁLCULO!$AB$15:$AL$93)/(ORÇAMENTO!$X$15-CÁLCULO.TotalAdmLocal)*CRONO!$F25,
                        0),
                 AF24*$S23),
          SUMIF(OFFSET($S25,1,0,$R23-2),($M23+1)&amp;"$",OFFSET(AF25,1,0,$R23-2)))</f>
        <v>0</v>
      </c>
      <c r="AG25" s="534"/>
    </row>
    <row r="26" spans="1:33" x14ac:dyDescent="0.2">
      <c r="A26" s="186" t="str">
        <f t="shared" ref="A26" ca="1" si="26">IF($M26&gt;1,_xlfn.CONCAT($I26," ",$J26),"")</f>
        <v>1.4. PAVIMENTAÇÃO</v>
      </c>
      <c r="B26" s="185">
        <f t="shared" ref="B26" ca="1" si="27">OFFSET(B26,-3,0)+1</f>
        <v>5</v>
      </c>
      <c r="C26" s="185">
        <f ca="1">IF($R26&lt;&gt;2,0,IF($S26=0,1,IF(F27&gt;0,OFFSET(QCI!$M$13,SUBSTITUTE(F27,".",""),0),OFFSET(ORÇAMENTO!$AA$15,CRONO!$F26,0))/$S26))</f>
        <v>0</v>
      </c>
      <c r="D26" s="185">
        <f ca="1">IF($R26&lt;&gt;2,0,IF($S26=0,1,IF(F27&gt;0,OFFSET(QCI!$N$13,SUBSTITUTE(F27,".",""),0),OFFSET(ORÇAMENTO!$AB$15,CRONO!$F26,0))/$S26))</f>
        <v>0</v>
      </c>
      <c r="E26" s="188" cm="1">
        <f t="array" aca="1" ref="E26" ca="1">IF(AND($R26=2,ACOMPANHAMENTO="BM"),ROUND(E27,4),E28/$S26)</f>
        <v>0</v>
      </c>
      <c r="F26" s="185" cm="1">
        <f t="array" aca="1" ref="F26" ca="1">IF(B26&lt;=ORÇAMENTO.MáximoListaCrono,MATCH(B26,ORÇAMENTO.ListaCrono,0),NA())</f>
        <v>51</v>
      </c>
      <c r="G26" s="185" t="str">
        <f t="shared" ref="G26" ca="1" si="28">IF(AND($F27&lt;&gt;-1,$S26&gt;0),"F","")</f>
        <v>F</v>
      </c>
      <c r="H26" s="189" t="str" cm="1">
        <f t="array" aca="1" ref="H26" ca="1">IF(OR(S26=0,S26=""),"Linha",IF(AND(OR(ACOMPANHAMENTO="PLE",$R26&lt;&gt;2),$F27=0),"Linha",ROUND(1-SUM(U26:AG26),4)))</f>
        <v>Linha</v>
      </c>
      <c r="I26" s="190" t="str">
        <f ca="1">IF($F27=0,OFFSET(ORÇAMENTO!O$15,$F26,0),IF($F27&lt;&gt;-1,OFFSET(QCI!$D$13,$F27,0),""))</f>
        <v>1.4.</v>
      </c>
      <c r="J26" s="191" t="str">
        <f ca="1">IF($F27=0,OFFSET(ORÇAMENTO!R$15,$F26,0),IF($F27&lt;&gt;-1,OFFSET(QCI!$G$13,$F27,0),""))</f>
        <v>PAVIMENTAÇÃO</v>
      </c>
      <c r="K26" s="191"/>
      <c r="L26" s="191"/>
      <c r="M26" s="192">
        <f ca="1">IF($F27=0,OFFSET(ORÇAMENTO!C$15,$F26,0),1)</f>
        <v>2</v>
      </c>
      <c r="N26" s="193">
        <f ca="1">IF($F27=-1,0,IF(N$13&lt;=$M26,IF(ISERROR(MATCH(N$13,OFFSET($M26,1,0,ROW($M$47)-ROW($M26)-1),0)),ROW($M$47)-ROW($M26)-1,MATCH(N$13,OFFSET($M26,1,0,ROW($M$47)-ROW($M26)-1),0)-1),0))</f>
        <v>20</v>
      </c>
      <c r="O26" s="193">
        <f ca="1">IF($F27=-1,0,IF(O$13&lt;=$M26,IF(ISERROR(MATCH(O$13,OFFSET($M26,1,0,ROW($M$47)-ROW($M26)-1),0)),ROW($M$47)-ROW($M26)-1,MATCH(O$13,OFFSET($M26,1,0,ROW($M$47)-ROW($M26)-1),0)-1),0))</f>
        <v>2</v>
      </c>
      <c r="P26" s="193">
        <f ca="1">IF($F27=-1,0,IF(P$13&lt;=$M26,IF(ISERROR(MATCH(P$13,OFFSET($M26,1,0,ROW($M$47)-ROW($M26)-1),0)),ROW($M$47)-ROW($M26)-1,MATCH(P$13,OFFSET($M26,1,0,ROW($M$47)-ROW($M26)-1),0)-1),0))</f>
        <v>0</v>
      </c>
      <c r="Q26" s="193">
        <f ca="1">IF($F27=-1,0,IF(Q$13&lt;=$M26,IF(ISERROR(MATCH(Q$13,OFFSET($M26,1,0,ROW($M$47)-ROW($M26)-1),0)),ROW($M$47)-ROW($M26)-1,MATCH(Q$13,OFFSET($M26,1,0,ROW($M$47)-ROW($M26)-1),0)-1),0))</f>
        <v>0</v>
      </c>
      <c r="R26" s="193">
        <f t="shared" ref="R26" ca="1" si="29">MIN(OFFSET(M26,0,1,,M26))</f>
        <v>2</v>
      </c>
      <c r="S26" s="194">
        <f ca="1">IF($F27=0,OFFSET(ORÇAMENTO!X$15,$F26,0),IF($F27&lt;&gt;-1,OFFSET(QCI!$O$13,$F27,0),""))</f>
        <v>497047.8</v>
      </c>
      <c r="T26" s="195" t="s">
        <v>785</v>
      </c>
      <c r="U26" s="188" cm="1">
        <f t="array" aca="1" ref="U26" ca="1">IF(AND($R26=2,ACOMPANHAMENTO="BM"),ROUND(U27,4),U28/$S26)</f>
        <v>0</v>
      </c>
      <c r="V26" s="188" cm="1">
        <f t="array" aca="1" ref="V26" ca="1">IF(AND($R26=2,ACOMPANHAMENTO="BM"),ROUND(V27,4),V28/$S26)</f>
        <v>7.5097807494570942E-3</v>
      </c>
      <c r="W26" s="188" cm="1">
        <f t="array" aca="1" ref="W26" ca="1">IF(AND($R26=2,ACOMPANHAMENTO="BM"),ROUND(W27,4),W28/$S26)</f>
        <v>7.5097807494570942E-3</v>
      </c>
      <c r="X26" s="188" cm="1">
        <f t="array" aca="1" ref="X26" ca="1">IF(AND($R26=2,ACOMPANHAMENTO="BM"),ROUND(X27,4),X28/$S26)</f>
        <v>0.15924780272641786</v>
      </c>
      <c r="Y26" s="188" cm="1">
        <f t="array" aca="1" ref="Y26" ca="1">IF(AND($R26=2,ACOMPANHAMENTO="BM"),ROUND(Y27,4),Y28/$S26)</f>
        <v>0.15924780272641786</v>
      </c>
      <c r="Z26" s="188" cm="1">
        <f t="array" aca="1" ref="Z26" ca="1">IF(AND($R26=2,ACOMPANHAMENTO="BM"),ROUND(Z27,4),Z28/$S26)</f>
        <v>0.20000008047515755</v>
      </c>
      <c r="AA26" s="188" cm="1">
        <f t="array" aca="1" ref="AA26" ca="1">IF(AND($R26=2,ACOMPANHAMENTO="BM"),ROUND(AA27,4),AA28/$S26)</f>
        <v>0.19249019913175353</v>
      </c>
      <c r="AB26" s="188" cm="1">
        <f t="array" aca="1" ref="AB26" ca="1">IF(AND($R26=2,ACOMPANHAMENTO="BM"),ROUND(AB27,4),AB28/$S26)</f>
        <v>0.19249019913175353</v>
      </c>
      <c r="AC26" s="188" cm="1">
        <f t="array" aca="1" ref="AC26" ca="1">IF(AND($R26=2,ACOMPANHAMENTO="BM"),ROUND(AC27,4),AC28/$S26)</f>
        <v>4.0752177154792756E-2</v>
      </c>
      <c r="AD26" s="188" cm="1">
        <f t="array" aca="1" ref="AD26" ca="1">IF(AND($R26=2,ACOMPANHAMENTO="BM"),ROUND(AD27,4),AD28/$S26)</f>
        <v>4.0752177154792756E-2</v>
      </c>
      <c r="AE26" s="188" cm="1">
        <f t="array" aca="1" ref="AE26" ca="1">IF(AND($R26=2,ACOMPANHAMENTO="BM"),ROUND(AE27,4),AE28/$S26)</f>
        <v>0</v>
      </c>
      <c r="AF26" s="188" cm="1">
        <f t="array" aca="1" ref="AF26" ca="1">IF(AND($R26=2,ACOMPANHAMENTO="BM"),ROUND(AF27,4),AF28/$S26)</f>
        <v>0</v>
      </c>
      <c r="AG26" s="534"/>
    </row>
    <row r="27" spans="1:33" ht="12.75" hidden="1" customHeight="1" x14ac:dyDescent="0.2">
      <c r="E27" s="587"/>
      <c r="F27" s="185">
        <f ca="1">IF(ISERROR(F26),IF(1+COUNTIF($M$13:OFFSET(M26,-1,0),1)&lt;=MAX(QCI!$D$13:$D$15),1+COUNTIF($M$13:OFFSET(M26,-1,0),1),-1),0)</f>
        <v>0</v>
      </c>
      <c r="G27" s="185" t="str" cm="1">
        <f t="array" aca="1" ref="G27" ca="1">IF(ACOMPANHAMENTO="BM",OFFSET(G27,-1,0),"")</f>
        <v/>
      </c>
      <c r="H27" s="196" t="str" cm="1">
        <f t="array" aca="1" ref="H27" ca="1">IF(OR(S26=0,S26=""),"vazia",IF(AND(OR(ACOMPANHAMENTO="PLE",$R26&lt;&gt;2),$F27=0),"calculada","--&gt;"))</f>
        <v>calculada</v>
      </c>
      <c r="I27" s="197"/>
      <c r="J27" s="198" t="str">
        <f t="shared" ref="J27" ca="1" si="30">IF(AND(H26&lt;&gt;0,ISNUMBER(H26)),"PREENCHA ESTA LINHA --&gt;","")</f>
        <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SUMIF(CÁLCULO!$AM$15:$AW$93,CRONO!E$12,CÁLCULO!$AB$15:$AL$93)/(ORÇAMENTO!$X$15-CÁLCULO.TotalAdmLocal)*CRONO!$F28,
                        0),
                 E27*$S26),
          SUMIF(OFFSET($S28,1,0,$R26-2),($M26+1)&amp;"$",OFFSET(E28,1,0,$R26-2)))</f>
        <v>0</v>
      </c>
      <c r="F28" s="185">
        <f ca="1">IF(OR($R26&lt;&gt;2,AUTOEVENTO&lt;&gt;"manual",$F27&gt;0),"",
        IF(Import.TipoArredondamento="Tradicional",
              SUMIF(OFFSET(CÁLCULO!$M$15,CRONO!$F26,0,OFFSET(ORÇAMENTO!$D$15,CRONO!$F26,0)),1,OFFSET(ORÇAMENTO!$X$15,CRONO!$F26,0,OFFSET(ORÇAMENTO!$D$15,CRONO!$F26,0))),
              0))</f>
        <v>0</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SUMIF(CÁLCULO!$AM$15:$AW$93,CRONO!U$12,CÁLCULO!$AB$15:$AL$93)/(ORÇAMENTO!$X$15-CÁLCULO.TotalAdmLocal)*CRONO!$F28,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SUMIF(CÁLCULO!$AM$15:$AW$93,CRONO!V$12,CÁLCULO!$AB$15:$AL$93)/(ORÇAMENTO!$X$15-CÁLCULO.TotalAdmLocal)*CRONO!$F28,
                        0),
                 V27*$S26),
          SUMIF(OFFSET($S28,1,0,$R26-2),($M26+1)&amp;"$",OFFSET(V28,1,0,$R26-2)))</f>
        <v>3732.72</v>
      </c>
      <c r="W28" s="202" cm="1">
        <f t="array" aca="1" ref="W28" ca="1">IF($R26=2,
         IF(AND(ACOMPANHAMENTO="PLE",ISNUMBER($F26)),
                SUMIF((OFFSET(CÁLCULO!$AM$15:$AW$15,$F26,0,OFFSET(ORÇAMENTO!$D$15,CRONO!$F26,0))),CRONO!W$12,OFFSET(CÁLCULO!$AB$15:$AL$15,$F26,0,OFFSET(ORÇAMENTO!$D$15,CRONO!$F26,0)))
                +IF(AND($F28&lt;&gt;"",$F28&lt;&gt;0),
                        SUMIF(CÁLCULO!$AM$15:$AW$93,CRONO!W$12,CÁLCULO!$AB$15:$AL$93)/(ORÇAMENTO!$X$15-CÁLCULO.TotalAdmLocal)*CRONO!$F28,
                        0),
                 W27*$S26),
          SUMIF(OFFSET($S28,1,0,$R26-2),($M26+1)&amp;"$",OFFSET(W28,1,0,$R26-2)))</f>
        <v>3732.72</v>
      </c>
      <c r="X28" s="202" cm="1">
        <f t="array" aca="1" ref="X28" ca="1">IF($R26=2,
         IF(AND(ACOMPANHAMENTO="PLE",ISNUMBER($F26)),
                SUMIF((OFFSET(CÁLCULO!$AM$15:$AW$15,$F26,0,OFFSET(ORÇAMENTO!$D$15,CRONO!$F26,0))),CRONO!X$12,OFFSET(CÁLCULO!$AB$15:$AL$15,$F26,0,OFFSET(ORÇAMENTO!$D$15,CRONO!$F26,0)))
                +IF(AND($F28&lt;&gt;"",$F28&lt;&gt;0),
                        SUMIF(CÁLCULO!$AM$15:$AW$93,CRONO!X$12,CÁLCULO!$AB$15:$AL$93)/(ORÇAMENTO!$X$15-CÁLCULO.TotalAdmLocal)*CRONO!$F28,
                        0),
                 X27*$S26),
          SUMIF(OFFSET($S28,1,0,$R26-2),($M26+1)&amp;"$",OFFSET(X28,1,0,$R26-2)))</f>
        <v>79153.77</v>
      </c>
      <c r="Y28" s="202" cm="1">
        <f t="array" aca="1" ref="Y28" ca="1">IF($R26=2,
         IF(AND(ACOMPANHAMENTO="PLE",ISNUMBER($F26)),
                SUMIF((OFFSET(CÁLCULO!$AM$15:$AW$15,$F26,0,OFFSET(ORÇAMENTO!$D$15,CRONO!$F26,0))),CRONO!Y$12,OFFSET(CÁLCULO!$AB$15:$AL$15,$F26,0,OFFSET(ORÇAMENTO!$D$15,CRONO!$F26,0)))
                +IF(AND($F28&lt;&gt;"",$F28&lt;&gt;0),
                        SUMIF(CÁLCULO!$AM$15:$AW$93,CRONO!Y$12,CÁLCULO!$AB$15:$AL$93)/(ORÇAMENTO!$X$15-CÁLCULO.TotalAdmLocal)*CRONO!$F28,
                        0),
                 Y27*$S26),
          SUMIF(OFFSET($S28,1,0,$R26-2),($M26+1)&amp;"$",OFFSET(Y28,1,0,$R26-2)))</f>
        <v>79153.77</v>
      </c>
      <c r="Z28" s="202" cm="1">
        <f t="array" aca="1" ref="Z28" ca="1">IF($R26=2,
         IF(AND(ACOMPANHAMENTO="PLE",ISNUMBER($F26)),
                SUMIF((OFFSET(CÁLCULO!$AM$15:$AW$15,$F26,0,OFFSET(ORÇAMENTO!$D$15,CRONO!$F26,0))),CRONO!Z$12,OFFSET(CÁLCULO!$AB$15:$AL$15,$F26,0,OFFSET(ORÇAMENTO!$D$15,CRONO!$F26,0)))
                +IF(AND($F28&lt;&gt;"",$F28&lt;&gt;0),
                        SUMIF(CÁLCULO!$AM$15:$AW$93,CRONO!Z$12,CÁLCULO!$AB$15:$AL$93)/(ORÇAMENTO!$X$15-CÁLCULO.TotalAdmLocal)*CRONO!$F28,
                        0),
                 Z27*$S26),
          SUMIF(OFFSET($S28,1,0,$R26-2),($M26+1)&amp;"$",OFFSET(Z28,1,0,$R26-2)))</f>
        <v>99409.600000000006</v>
      </c>
      <c r="AA28" s="202" cm="1">
        <f t="array" aca="1" ref="AA28" ca="1">IF($R26=2,
         IF(AND(ACOMPANHAMENTO="PLE",ISNUMBER($F26)),
                SUMIF((OFFSET(CÁLCULO!$AM$15:$AW$15,$F26,0,OFFSET(ORÇAMENTO!$D$15,CRONO!$F26,0))),CRONO!AA$12,OFFSET(CÁLCULO!$AB$15:$AL$15,$F26,0,OFFSET(ORÇAMENTO!$D$15,CRONO!$F26,0)))
                +IF(AND($F28&lt;&gt;"",$F28&lt;&gt;0),
                        SUMIF(CÁLCULO!$AM$15:$AW$93,CRONO!AA$12,CÁLCULO!$AB$15:$AL$93)/(ORÇAMENTO!$X$15-CÁLCULO.TotalAdmLocal)*CRONO!$F28,
                        0),
                 AA27*$S26),
          SUMIF(OFFSET($S28,1,0,$R26-2),($M26+1)&amp;"$",OFFSET(AA28,1,0,$R26-2)))</f>
        <v>95676.83</v>
      </c>
      <c r="AB28" s="202" cm="1">
        <f t="array" aca="1" ref="AB28" ca="1">IF($R26=2,
         IF(AND(ACOMPANHAMENTO="PLE",ISNUMBER($F26)),
                SUMIF((OFFSET(CÁLCULO!$AM$15:$AW$15,$F26,0,OFFSET(ORÇAMENTO!$D$15,CRONO!$F26,0))),CRONO!AB$12,OFFSET(CÁLCULO!$AB$15:$AL$15,$F26,0,OFFSET(ORÇAMENTO!$D$15,CRONO!$F26,0)))
                +IF(AND($F28&lt;&gt;"",$F28&lt;&gt;0),
                        SUMIF(CÁLCULO!$AM$15:$AW$93,CRONO!AB$12,CÁLCULO!$AB$15:$AL$93)/(ORÇAMENTO!$X$15-CÁLCULO.TotalAdmLocal)*CRONO!$F28,
                        0),
                 AB27*$S26),
          SUMIF(OFFSET($S28,1,0,$R26-2),($M26+1)&amp;"$",OFFSET(AB28,1,0,$R26-2)))</f>
        <v>95676.83</v>
      </c>
      <c r="AC28" s="202" cm="1">
        <f t="array" aca="1" ref="AC28" ca="1">IF($R26=2,
         IF(AND(ACOMPANHAMENTO="PLE",ISNUMBER($F26)),
                SUMIF((OFFSET(CÁLCULO!$AM$15:$AW$15,$F26,0,OFFSET(ORÇAMENTO!$D$15,CRONO!$F26,0))),CRONO!AC$12,OFFSET(CÁLCULO!$AB$15:$AL$15,$F26,0,OFFSET(ORÇAMENTO!$D$15,CRONO!$F26,0)))
                +IF(AND($F28&lt;&gt;"",$F28&lt;&gt;0),
                        SUMIF(CÁLCULO!$AM$15:$AW$93,CRONO!AC$12,CÁLCULO!$AB$15:$AL$93)/(ORÇAMENTO!$X$15-CÁLCULO.TotalAdmLocal)*CRONO!$F28,
                        0),
                 AC27*$S26),
          SUMIF(OFFSET($S28,1,0,$R26-2),($M26+1)&amp;"$",OFFSET(AC28,1,0,$R26-2)))</f>
        <v>20255.78</v>
      </c>
      <c r="AD28" s="202" cm="1">
        <f t="array" aca="1" ref="AD28" ca="1">IF($R26=2,
         IF(AND(ACOMPANHAMENTO="PLE",ISNUMBER($F26)),
                SUMIF((OFFSET(CÁLCULO!$AM$15:$AW$15,$F26,0,OFFSET(ORÇAMENTO!$D$15,CRONO!$F26,0))),CRONO!AD$12,OFFSET(CÁLCULO!$AB$15:$AL$15,$F26,0,OFFSET(ORÇAMENTO!$D$15,CRONO!$F26,0)))
                +IF(AND($F28&lt;&gt;"",$F28&lt;&gt;0),
                        SUMIF(CÁLCULO!$AM$15:$AW$93,CRONO!AD$12,CÁLCULO!$AB$15:$AL$93)/(ORÇAMENTO!$X$15-CÁLCULO.TotalAdmLocal)*CRONO!$F28,
                        0),
                 AD27*$S26),
          SUMIF(OFFSET($S28,1,0,$R26-2),($M26+1)&amp;"$",OFFSET(AD28,1,0,$R26-2)))</f>
        <v>20255.78</v>
      </c>
      <c r="AE28" s="202" cm="1">
        <f t="array" aca="1" ref="AE28" ca="1">IF($R26=2,
         IF(AND(ACOMPANHAMENTO="PLE",ISNUMBER($F26)),
                SUMIF((OFFSET(CÁLCULO!$AM$15:$AW$15,$F26,0,OFFSET(ORÇAMENTO!$D$15,CRONO!$F26,0))),CRONO!AE$12,OFFSET(CÁLCULO!$AB$15:$AL$15,$F26,0,OFFSET(ORÇAMENTO!$D$15,CRONO!$F26,0)))
                +IF(AND($F28&lt;&gt;"",$F28&lt;&gt;0),
                        SUMIF(CÁLCULO!$AM$15:$AW$93,CRONO!AE$12,CÁLCULO!$AB$15:$AL$93)/(ORÇAMENTO!$X$15-CÁLCULO.TotalAdmLocal)*CRONO!$F28,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SUMIF(CÁLCULO!$AM$15:$AW$93,CRONO!AF$12,CÁLCULO!$AB$15:$AL$93)/(ORÇAMENTO!$X$15-CÁLCULO.TotalAdmLocal)*CRONO!$F28,
                        0),
                 AF27*$S26),
          SUMIF(OFFSET($S28,1,0,$R26-2),($M26+1)&amp;"$",OFFSET(AF28,1,0,$R26-2)))</f>
        <v>0</v>
      </c>
      <c r="AG28" s="534"/>
    </row>
    <row r="29" spans="1:33" x14ac:dyDescent="0.2">
      <c r="A29" s="186" t="str">
        <f t="shared" ref="A29" ca="1" si="32">IF($M29&gt;1,_xlfn.CONCAT($I29," ",$J29),"")</f>
        <v>1.5. GALPÃO, UNIDADES ADMINISTRATIVAS E ÁREAS DE CONVIVÊNCIA</v>
      </c>
      <c r="B29" s="185">
        <f t="shared" ref="B29" ca="1" si="33">OFFSET(B29,-3,0)+1</f>
        <v>6</v>
      </c>
      <c r="C29" s="185">
        <f ca="1">IF($R29&lt;&gt;2,0,IF($S29=0,1,IF(F30&gt;0,OFFSET(QCI!$M$13,SUBSTITUTE(F30,".",""),0),OFFSET(ORÇAMENTO!$AA$15,CRONO!$F29,0))/$S29))</f>
        <v>0</v>
      </c>
      <c r="D29" s="185">
        <f ca="1">IF($R29&lt;&gt;2,0,IF($S29=0,1,IF(F30&gt;0,OFFSET(QCI!$N$13,SUBSTITUTE(F30,".",""),0),OFFSET(ORÇAMENTO!$AB$15,CRONO!$F29,0))/$S29))</f>
        <v>0</v>
      </c>
      <c r="E29" s="188" cm="1">
        <f t="array" aca="1" ref="E29" ca="1">IF(AND($R29=2,ACOMPANHAMENTO="BM"),ROUND(E30,4),E31/$S29)</f>
        <v>0</v>
      </c>
      <c r="F29" s="185" cm="1">
        <f t="array" aca="1" ref="F29" ca="1">IF(B29&lt;=ORÇAMENTO.MáximoListaCrono,MATCH(B29,ORÇAMENTO.ListaCrono,0),NA())</f>
        <v>55</v>
      </c>
      <c r="G29" s="185" t="str">
        <f t="shared" ref="G29" ca="1" si="34">IF(AND($F30&lt;&gt;-1,$S29&gt;0),"F","")</f>
        <v>F</v>
      </c>
      <c r="H29" s="189" t="str" cm="1">
        <f t="array" aca="1" ref="H29" ca="1">IF(OR(S29=0,S29=""),"Linha",IF(AND(OR(ACOMPANHAMENTO="PLE",$R29&lt;&gt;2),$F30=0),"Linha",ROUND(1-SUM(U29:AG29),4)))</f>
        <v>Linha</v>
      </c>
      <c r="I29" s="190" t="str">
        <f ca="1">IF($F30=0,OFFSET(ORÇAMENTO!O$15,$F29,0),IF($F30&lt;&gt;-1,OFFSET(QCI!$D$13,$F30,0),""))</f>
        <v>1.5.</v>
      </c>
      <c r="J29" s="191" t="str">
        <f ca="1">IF($F30=0,OFFSET(ORÇAMENTO!R$15,$F29,0),IF($F30&lt;&gt;-1,OFFSET(QCI!$G$13,$F30,0),""))</f>
        <v>GALPÃO, UNIDADES ADMINISTRATIVAS E ÁREAS DE CONVIVÊNCIA</v>
      </c>
      <c r="K29" s="191"/>
      <c r="L29" s="191"/>
      <c r="M29" s="192">
        <f ca="1">IF($F30=0,OFFSET(ORÇAMENTO!C$15,$F29,0),1)</f>
        <v>2</v>
      </c>
      <c r="N29" s="193">
        <f ca="1">IF($F30=-1,0,IF(N$13&lt;=$M29,IF(ISERROR(MATCH(N$13,OFFSET($M29,1,0,ROW($M$47)-ROW($M29)-1),0)),ROW($M$47)-ROW($M29)-1,MATCH(N$13,OFFSET($M29,1,0,ROW($M$47)-ROW($M29)-1),0)-1),0))</f>
        <v>17</v>
      </c>
      <c r="O29" s="193">
        <f ca="1">IF($F30=-1,0,IF(O$13&lt;=$M29,IF(ISERROR(MATCH(O$13,OFFSET($M29,1,0,ROW($M$47)-ROW($M29)-1),0)),ROW($M$47)-ROW($M29)-1,MATCH(O$13,OFFSET($M29,1,0,ROW($M$47)-ROW($M29)-1),0)-1),0))</f>
        <v>2</v>
      </c>
      <c r="P29" s="193">
        <f ca="1">IF($F30=-1,0,IF(P$13&lt;=$M29,IF(ISERROR(MATCH(P$13,OFFSET($M29,1,0,ROW($M$47)-ROW($M29)-1),0)),ROW($M$47)-ROW($M29)-1,MATCH(P$13,OFFSET($M29,1,0,ROW($M$47)-ROW($M29)-1),0)-1),0))</f>
        <v>0</v>
      </c>
      <c r="Q29" s="193">
        <f ca="1">IF($F30=-1,0,IF(Q$13&lt;=$M29,IF(ISERROR(MATCH(Q$13,OFFSET($M29,1,0,ROW($M$47)-ROW($M29)-1),0)),ROW($M$47)-ROW($M29)-1,MATCH(Q$13,OFFSET($M29,1,0,ROW($M$47)-ROW($M29)-1),0)-1),0))</f>
        <v>0</v>
      </c>
      <c r="R29" s="193">
        <f t="shared" ref="R29" ca="1" si="35">MIN(OFFSET(M29,0,1,,M29))</f>
        <v>2</v>
      </c>
      <c r="S29" s="194">
        <f ca="1">IF($F30=0,OFFSET(ORÇAMENTO!X$15,$F29,0),IF($F30&lt;&gt;-1,OFFSET(QCI!$O$13,$F30,0),""))</f>
        <v>4796233.05</v>
      </c>
      <c r="T29" s="195" t="s">
        <v>785</v>
      </c>
      <c r="U29" s="188" cm="1">
        <f t="array" aca="1" ref="U29" ca="1">IF(AND($R29=2,ACOMPANHAMENTO="BM"),ROUND(U30,4),U31/$S29)</f>
        <v>0</v>
      </c>
      <c r="V29" s="188" cm="1">
        <f t="array" aca="1" ref="V29" ca="1">IF(AND($R29=2,ACOMPANHAMENTO="BM"),ROUND(V30,4),V31/$S29)</f>
        <v>7.064012871517994E-2</v>
      </c>
      <c r="W29" s="188" cm="1">
        <f t="array" aca="1" ref="W29" ca="1">IF(AND($R29=2,ACOMPANHAMENTO="BM"),ROUND(W30,4),W31/$S29)</f>
        <v>0.1495599093125802</v>
      </c>
      <c r="X29" s="188" cm="1">
        <f t="array" aca="1" ref="X29" ca="1">IF(AND($R29=2,ACOMPANHAMENTO="BM"),ROUND(X30,4),X31/$S29)</f>
        <v>0.18317047375335527</v>
      </c>
      <c r="Y29" s="188" cm="1">
        <f t="array" aca="1" ref="Y29" ca="1">IF(AND($R29=2,ACOMPANHAMENTO="BM"),ROUND(Y30,4),Y31/$S29)</f>
        <v>0.18317047375335527</v>
      </c>
      <c r="Z29" s="188" cm="1">
        <f t="array" aca="1" ref="Z29" ca="1">IF(AND($R29=2,ACOMPANHAMENTO="BM"),ROUND(Z30,4),Z31/$S29)</f>
        <v>0.13737785531501642</v>
      </c>
      <c r="AA29" s="188" cm="1">
        <f t="array" aca="1" ref="AA29" ca="1">IF(AND($R29=2,ACOMPANHAMENTO="BM"),ROUND(AA30,4),AA31/$S29)</f>
        <v>9.1581992664013692E-2</v>
      </c>
      <c r="AB29" s="188" cm="1">
        <f t="array" aca="1" ref="AB29" ca="1">IF(AND($R29=2,ACOMPANHAMENTO="BM"),ROUND(AB30,4),AB31/$S29)</f>
        <v>9.1585236876677634E-2</v>
      </c>
      <c r="AC29" s="188" cm="1">
        <f t="array" aca="1" ref="AC29" ca="1">IF(AND($R29=2,ACOMPANHAMENTO="BM"),ROUND(AC30,4),AC31/$S29)</f>
        <v>9.2913929609821602E-2</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hidden="1" customHeight="1" x14ac:dyDescent="0.2">
      <c r="E30" s="587"/>
      <c r="F30" s="185">
        <f ca="1">IF(ISERROR(F29),IF(1+COUNTIF($M$13:OFFSET(M29,-1,0),1)&lt;=MAX(QCI!$D$13:$D$15),1+COUNTIF($M$13:OFFSET(M29,-1,0),1),-1),0)</f>
        <v>0</v>
      </c>
      <c r="G30" s="185" t="str" cm="1">
        <f t="array" aca="1" ref="G30" ca="1">IF(ACOMPANHAMENTO="BM",OFFSET(G30,-1,0),"")</f>
        <v/>
      </c>
      <c r="H30" s="196" t="str" cm="1">
        <f t="array" aca="1" ref="H30" ca="1">IF(OR(S29=0,S29=""),"vazia",IF(AND(OR(ACOMPANHAMENTO="PLE",$R29&lt;&gt;2),$F30=0),"calculada","--&gt;"))</f>
        <v>calculada</v>
      </c>
      <c r="I30" s="197"/>
      <c r="J30" s="198" t="str">
        <f t="shared" ref="J30" ca="1" si="36">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hidden="1"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SUMIF(CÁLCULO!$AM$15:$AW$93,CRONO!E$12,CÁLCULO!$AB$15:$AL$93)/(ORÇAMENTO!$X$15-CÁLCULO.TotalAdmLocal)*CRONO!$F31,
                        0),
                 E30*$S29),
          SUMIF(OFFSET($S31,1,0,$R29-2),($M29+1)&amp;"$",OFFSET(E31,1,0,$R29-2)))</f>
        <v>0</v>
      </c>
      <c r="F31" s="185">
        <f ca="1">IF(OR($R29&lt;&gt;2,AUTOEVENTO&lt;&gt;"manual",$F30&gt;0),"",
        IF(Import.TipoArredondamento="Tradicional",
              SUMIF(OFFSET(CÁLCULO!$M$15,CRONO!$F29,0,OFFSET(ORÇAMENTO!$D$15,CRONO!$F29,0)),1,OFFSET(ORÇAMENTO!$X$15,CRONO!$F29,0,OFFSET(ORÇAMENTO!$D$15,CRONO!$F29,0))),
              0))</f>
        <v>0</v>
      </c>
      <c r="H31" s="203"/>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SUMIF(CÁLCULO!$AM$15:$AW$93,CRONO!U$12,CÁLCULO!$AB$15:$AL$93)/(ORÇAMENTO!$X$15-CÁLCULO.TotalAdmLocal)*CRONO!$F31,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SUMIF(CÁLCULO!$AM$15:$AW$93,CRONO!V$12,CÁLCULO!$AB$15:$AL$93)/(ORÇAMENTO!$X$15-CÁLCULO.TotalAdmLocal)*CRONO!$F31,
                        0),
                 V30*$S29),
          SUMIF(OFFSET($S31,1,0,$R29-2),($M29+1)&amp;"$",OFFSET(V31,1,0,$R29-2)))</f>
        <v>338806.52</v>
      </c>
      <c r="W31" s="202" cm="1">
        <f t="array" aca="1" ref="W31" ca="1">IF($R29=2,
         IF(AND(ACOMPANHAMENTO="PLE",ISNUMBER($F29)),
                SUMIF((OFFSET(CÁLCULO!$AM$15:$AW$15,$F29,0,OFFSET(ORÇAMENTO!$D$15,CRONO!$F29,0))),CRONO!W$12,OFFSET(CÁLCULO!$AB$15:$AL$15,$F29,0,OFFSET(ORÇAMENTO!$D$15,CRONO!$F29,0)))
                +IF(AND($F31&lt;&gt;"",$F31&lt;&gt;0),
                        SUMIF(CÁLCULO!$AM$15:$AW$93,CRONO!W$12,CÁLCULO!$AB$15:$AL$93)/(ORÇAMENTO!$X$15-CÁLCULO.TotalAdmLocal)*CRONO!$F31,
                        0),
                 W30*$S29),
          SUMIF(OFFSET($S31,1,0,$R29-2),($M29+1)&amp;"$",OFFSET(W31,1,0,$R29-2)))</f>
        <v>717324.17999999993</v>
      </c>
      <c r="X31" s="202" cm="1">
        <f t="array" aca="1" ref="X31" ca="1">IF($R29=2,
         IF(AND(ACOMPANHAMENTO="PLE",ISNUMBER($F29)),
                SUMIF((OFFSET(CÁLCULO!$AM$15:$AW$15,$F29,0,OFFSET(ORÇAMENTO!$D$15,CRONO!$F29,0))),CRONO!X$12,OFFSET(CÁLCULO!$AB$15:$AL$15,$F29,0,OFFSET(ORÇAMENTO!$D$15,CRONO!$F29,0)))
                +IF(AND($F31&lt;&gt;"",$F31&lt;&gt;0),
                        SUMIF(CÁLCULO!$AM$15:$AW$93,CRONO!X$12,CÁLCULO!$AB$15:$AL$93)/(ORÇAMENTO!$X$15-CÁLCULO.TotalAdmLocal)*CRONO!$F31,
                        0),
                 X30*$S29),
          SUMIF(OFFSET($S31,1,0,$R29-2),($M29+1)&amp;"$",OFFSET(X31,1,0,$R29-2)))</f>
        <v>878528.28</v>
      </c>
      <c r="Y31" s="202" cm="1">
        <f t="array" aca="1" ref="Y31" ca="1">IF($R29=2,
         IF(AND(ACOMPANHAMENTO="PLE",ISNUMBER($F29)),
                SUMIF((OFFSET(CÁLCULO!$AM$15:$AW$15,$F29,0,OFFSET(ORÇAMENTO!$D$15,CRONO!$F29,0))),CRONO!Y$12,OFFSET(CÁLCULO!$AB$15:$AL$15,$F29,0,OFFSET(ORÇAMENTO!$D$15,CRONO!$F29,0)))
                +IF(AND($F31&lt;&gt;"",$F31&lt;&gt;0),
                        SUMIF(CÁLCULO!$AM$15:$AW$93,CRONO!Y$12,CÁLCULO!$AB$15:$AL$93)/(ORÇAMENTO!$X$15-CÁLCULO.TotalAdmLocal)*CRONO!$F31,
                        0),
                 Y30*$S29),
          SUMIF(OFFSET($S31,1,0,$R29-2),($M29+1)&amp;"$",OFFSET(Y31,1,0,$R29-2)))</f>
        <v>878528.28</v>
      </c>
      <c r="Z31" s="202" cm="1">
        <f t="array" aca="1" ref="Z31" ca="1">IF($R29=2,
         IF(AND(ACOMPANHAMENTO="PLE",ISNUMBER($F29)),
                SUMIF((OFFSET(CÁLCULO!$AM$15:$AW$15,$F29,0,OFFSET(ORÇAMENTO!$D$15,CRONO!$F29,0))),CRONO!Z$12,OFFSET(CÁLCULO!$AB$15:$AL$15,$F29,0,OFFSET(ORÇAMENTO!$D$15,CRONO!$F29,0)))
                +IF(AND($F31&lt;&gt;"",$F31&lt;&gt;0),
                        SUMIF(CÁLCULO!$AM$15:$AW$93,CRONO!Z$12,CÁLCULO!$AB$15:$AL$93)/(ORÇAMENTO!$X$15-CÁLCULO.TotalAdmLocal)*CRONO!$F31,
                        0),
                 Z30*$S29),
          SUMIF(OFFSET($S31,1,0,$R29-2),($M29+1)&amp;"$",OFFSET(Z31,1,0,$R29-2)))</f>
        <v>658896.21</v>
      </c>
      <c r="AA31" s="202" cm="1">
        <f t="array" aca="1" ref="AA31" ca="1">IF($R29=2,
         IF(AND(ACOMPANHAMENTO="PLE",ISNUMBER($F29)),
                SUMIF((OFFSET(CÁLCULO!$AM$15:$AW$15,$F29,0,OFFSET(ORÇAMENTO!$D$15,CRONO!$F29,0))),CRONO!AA$12,OFFSET(CÁLCULO!$AB$15:$AL$15,$F29,0,OFFSET(ORÇAMENTO!$D$15,CRONO!$F29,0)))
                +IF(AND($F31&lt;&gt;"",$F31&lt;&gt;0),
                        SUMIF(CÁLCULO!$AM$15:$AW$93,CRONO!AA$12,CÁLCULO!$AB$15:$AL$93)/(ORÇAMENTO!$X$15-CÁLCULO.TotalAdmLocal)*CRONO!$F31,
                        0),
                 AA30*$S29),
          SUMIF(OFFSET($S31,1,0,$R29-2),($M29+1)&amp;"$",OFFSET(AA31,1,0,$R29-2)))</f>
        <v>439248.58</v>
      </c>
      <c r="AB31" s="202" cm="1">
        <f t="array" aca="1" ref="AB31" ca="1">IF($R29=2,
         IF(AND(ACOMPANHAMENTO="PLE",ISNUMBER($F29)),
                SUMIF((OFFSET(CÁLCULO!$AM$15:$AW$15,$F29,0,OFFSET(ORÇAMENTO!$D$15,CRONO!$F29,0))),CRONO!AB$12,OFFSET(CÁLCULO!$AB$15:$AL$15,$F29,0,OFFSET(ORÇAMENTO!$D$15,CRONO!$F29,0)))
                +IF(AND($F31&lt;&gt;"",$F31&lt;&gt;0),
                        SUMIF(CÁLCULO!$AM$15:$AW$93,CRONO!AB$12,CÁLCULO!$AB$15:$AL$93)/(ORÇAMENTO!$X$15-CÁLCULO.TotalAdmLocal)*CRONO!$F31,
                        0),
                 AB30*$S29),
          SUMIF(OFFSET($S31,1,0,$R29-2),($M29+1)&amp;"$",OFFSET(AB31,1,0,$R29-2)))</f>
        <v>439264.14</v>
      </c>
      <c r="AC31" s="202" cm="1">
        <f t="array" aca="1" ref="AC31" ca="1">IF($R29=2,
         IF(AND(ACOMPANHAMENTO="PLE",ISNUMBER($F29)),
                SUMIF((OFFSET(CÁLCULO!$AM$15:$AW$15,$F29,0,OFFSET(ORÇAMENTO!$D$15,CRONO!$F29,0))),CRONO!AC$12,OFFSET(CÁLCULO!$AB$15:$AL$15,$F29,0,OFFSET(ORÇAMENTO!$D$15,CRONO!$F29,0)))
                +IF(AND($F31&lt;&gt;"",$F31&lt;&gt;0),
                        SUMIF(CÁLCULO!$AM$15:$AW$93,CRONO!AC$12,CÁLCULO!$AB$15:$AL$93)/(ORÇAMENTO!$X$15-CÁLCULO.TotalAdmLocal)*CRONO!$F31,
                        0),
                 AC30*$S29),
          SUMIF(OFFSET($S31,1,0,$R29-2),($M29+1)&amp;"$",OFFSET(AC31,1,0,$R29-2)))</f>
        <v>445636.86</v>
      </c>
      <c r="AD31" s="202" cm="1">
        <f t="array" aca="1" ref="AD31" ca="1">IF($R29=2,
         IF(AND(ACOMPANHAMENTO="PLE",ISNUMBER($F29)),
                SUMIF((OFFSET(CÁLCULO!$AM$15:$AW$15,$F29,0,OFFSET(ORÇAMENTO!$D$15,CRONO!$F29,0))),CRONO!AD$12,OFFSET(CÁLCULO!$AB$15:$AL$15,$F29,0,OFFSET(ORÇAMENTO!$D$15,CRONO!$F29,0)))
                +IF(AND($F31&lt;&gt;"",$F31&lt;&gt;0),
                        SUMIF(CÁLCULO!$AM$15:$AW$93,CRONO!AD$12,CÁLCULO!$AB$15:$AL$93)/(ORÇAMENTO!$X$15-CÁLCULO.TotalAdmLocal)*CRONO!$F31,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SUMIF(CÁLCULO!$AM$15:$AW$93,CRONO!AE$12,CÁLCULO!$AB$15:$AL$93)/(ORÇAMENTO!$X$15-CÁLCULO.TotalAdmLocal)*CRONO!$F31,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SUMIF(CÁLCULO!$AM$15:$AW$93,CRONO!AF$12,CÁLCULO!$AB$15:$AL$93)/(ORÇAMENTO!$X$15-CÁLCULO.TotalAdmLocal)*CRONO!$F31,
                        0),
                 AF30*$S29),
          SUMIF(OFFSET($S31,1,0,$R29-2),($M29+1)&amp;"$",OFFSET(AF31,1,0,$R29-2)))</f>
        <v>0</v>
      </c>
      <c r="AG31" s="534"/>
    </row>
    <row r="32" spans="1:33" x14ac:dyDescent="0.2">
      <c r="A32" s="186" t="str">
        <f t="shared" ref="A32" ca="1" si="38">IF($M32&gt;1,_xlfn.CONCAT($I32," ",$J32),"")</f>
        <v>1.6. PÁTIO DE COMPOSTAGEM</v>
      </c>
      <c r="B32" s="185">
        <f t="shared" ref="B32" ca="1" si="39">OFFSET(B32,-3,0)+1</f>
        <v>7</v>
      </c>
      <c r="C32" s="185">
        <f ca="1">IF($R32&lt;&gt;2,0,IF($S32=0,1,IF(F33&gt;0,OFFSET(QCI!$M$13,SUBSTITUTE(F33,".",""),0),OFFSET(ORÇAMENTO!$AA$15,CRONO!$F32,0))/$S32))</f>
        <v>0</v>
      </c>
      <c r="D32" s="185">
        <f ca="1">IF($R32&lt;&gt;2,0,IF($S32=0,1,IF(F33&gt;0,OFFSET(QCI!$N$13,SUBSTITUTE(F33,".",""),0),OFFSET(ORÇAMENTO!$AB$15,CRONO!$F32,0))/$S32))</f>
        <v>0</v>
      </c>
      <c r="E32" s="188" cm="1">
        <f t="array" aca="1" ref="E32" ca="1">IF(AND($R32=2,ACOMPANHAMENTO="BM"),ROUND(E33,4),E34/$S32)</f>
        <v>0</v>
      </c>
      <c r="F32" s="185" cm="1">
        <f t="array" aca="1" ref="F32" ca="1">IF(B32&lt;=ORÇAMENTO.MáximoListaCrono,MATCH(B32,ORÇAMENTO.ListaCrono,0),NA())</f>
        <v>60</v>
      </c>
      <c r="G32" s="185" t="str">
        <f t="shared" ref="G32" ca="1" si="40">IF(AND($F33&lt;&gt;-1,$S32&gt;0),"F","")</f>
        <v>F</v>
      </c>
      <c r="H32" s="189" t="str" cm="1">
        <f t="array" aca="1" ref="H32" ca="1">IF(OR(S32=0,S32=""),"Linha",IF(AND(OR(ACOMPANHAMENTO="PLE",$R32&lt;&gt;2),$F33=0),"Linha",ROUND(1-SUM(U32:AG32),4)))</f>
        <v>Linha</v>
      </c>
      <c r="I32" s="190" t="str">
        <f ca="1">IF($F33=0,OFFSET(ORÇAMENTO!O$15,$F32,0),IF($F33&lt;&gt;-1,OFFSET(QCI!$D$13,$F33,0),""))</f>
        <v>1.6.</v>
      </c>
      <c r="J32" s="191" t="str">
        <f ca="1">IF($F33=0,OFFSET(ORÇAMENTO!R$15,$F32,0),IF($F33&lt;&gt;-1,OFFSET(QCI!$G$13,$F33,0),""))</f>
        <v>PÁTIO DE COMPOSTAGEM</v>
      </c>
      <c r="K32" s="191"/>
      <c r="L32" s="191"/>
      <c r="M32" s="192">
        <f ca="1">IF($F33=0,OFFSET(ORÇAMENTO!C$15,$F32,0),1)</f>
        <v>2</v>
      </c>
      <c r="N32" s="193">
        <f ca="1">IF($F33=-1,0,IF(N$13&lt;=$M32,IF(ISERROR(MATCH(N$13,OFFSET($M32,1,0,ROW($M$47)-ROW($M32)-1),0)),ROW($M$47)-ROW($M32)-1,MATCH(N$13,OFFSET($M32,1,0,ROW($M$47)-ROW($M32)-1),0)-1),0))</f>
        <v>14</v>
      </c>
      <c r="O32" s="193">
        <f ca="1">IF($F33=-1,0,IF(O$13&lt;=$M32,IF(ISERROR(MATCH(O$13,OFFSET($M32,1,0,ROW($M$47)-ROW($M32)-1),0)),ROW($M$47)-ROW($M32)-1,MATCH(O$13,OFFSET($M32,1,0,ROW($M$47)-ROW($M32)-1),0)-1),0))</f>
        <v>2</v>
      </c>
      <c r="P32" s="193">
        <f ca="1">IF($F33=-1,0,IF(P$13&lt;=$M32,IF(ISERROR(MATCH(P$13,OFFSET($M32,1,0,ROW($M$47)-ROW($M32)-1),0)),ROW($M$47)-ROW($M32)-1,MATCH(P$13,OFFSET($M32,1,0,ROW($M$47)-ROW($M32)-1),0)-1),0))</f>
        <v>0</v>
      </c>
      <c r="Q32" s="193">
        <f ca="1">IF($F33=-1,0,IF(Q$13&lt;=$M32,IF(ISERROR(MATCH(Q$13,OFFSET($M32,1,0,ROW($M$47)-ROW($M32)-1),0)),ROW($M$47)-ROW($M32)-1,MATCH(Q$13,OFFSET($M32,1,0,ROW($M$47)-ROW($M32)-1),0)-1),0))</f>
        <v>0</v>
      </c>
      <c r="R32" s="193">
        <f t="shared" ref="R32" ca="1" si="41">MIN(OFFSET(M32,0,1,,M32))</f>
        <v>2</v>
      </c>
      <c r="S32" s="194">
        <f ca="1">IF($F33=0,OFFSET(ORÇAMENTO!X$15,$F32,0),IF($F33&lt;&gt;-1,OFFSET(QCI!$O$13,$F33,0),""))</f>
        <v>345647.02</v>
      </c>
      <c r="T32" s="195" t="s">
        <v>785</v>
      </c>
      <c r="U32" s="188" cm="1">
        <f t="array" aca="1" ref="U32" ca="1">IF(AND($R32=2,ACOMPANHAMENTO="BM"),ROUND(U33,4),U34/$S32)</f>
        <v>0</v>
      </c>
      <c r="V32" s="188" cm="1">
        <f t="array" aca="1" ref="V32" ca="1">IF(AND($R32=2,ACOMPANHAMENTO="BM"),ROUND(V33,4),V34/$S32)</f>
        <v>0</v>
      </c>
      <c r="W32" s="188" cm="1">
        <f t="array" aca="1" ref="W32" ca="1">IF(AND($R32=2,ACOMPANHAMENTO="BM"),ROUND(W33,4),W34/$S32)</f>
        <v>0</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0.49078146254522892</v>
      </c>
      <c r="AC32" s="188" cm="1">
        <f t="array" aca="1" ref="AC32" ca="1">IF(AND($R32=2,ACOMPANHAMENTO="BM"),ROUND(AC33,4),AC34/$S32)</f>
        <v>0.50921853745477097</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hidden="1" customHeight="1" x14ac:dyDescent="0.2">
      <c r="E33" s="587"/>
      <c r="F33" s="185">
        <f ca="1">IF(ISERROR(F32),IF(1+COUNTIF($M$13:OFFSET(M32,-1,0),1)&lt;=MAX(QCI!$D$13:$D$15),1+COUNTIF($M$13:OFFSET(M32,-1,0),1),-1),0)</f>
        <v>0</v>
      </c>
      <c r="G33" s="185" t="str" cm="1">
        <f t="array" aca="1" ref="G33" ca="1">IF(ACOMPANHAMENTO="BM",OFFSET(G33,-1,0),"")</f>
        <v/>
      </c>
      <c r="H33" s="196" t="str" cm="1">
        <f t="array" aca="1" ref="H33" ca="1">IF(OR(S32=0,S32=""),"vazia",IF(AND(OR(ACOMPANHAMENTO="PLE",$R32&lt;&gt;2),$F33=0),"calculada","--&gt;"))</f>
        <v>calculada</v>
      </c>
      <c r="I33" s="197"/>
      <c r="J33" s="198" t="str">
        <f t="shared" ref="J33" ca="1" si="42">IF(AND(H32&lt;&gt;0,ISNUMBER(H32)),"PREENCHA ESTA LINHA --&gt;","")</f>
        <v/>
      </c>
      <c r="K33" s="198"/>
      <c r="L33" s="198"/>
      <c r="M33" s="199"/>
      <c r="N33" s="199"/>
      <c r="O33" s="199"/>
      <c r="P33" s="199"/>
      <c r="Q33" s="199"/>
      <c r="R33" s="199"/>
      <c r="S33" s="200"/>
      <c r="T33" s="201"/>
      <c r="U33" s="587"/>
      <c r="V33" s="587"/>
      <c r="W33" s="587"/>
      <c r="X33" s="587"/>
      <c r="Y33" s="587"/>
      <c r="Z33" s="587"/>
      <c r="AA33" s="587"/>
      <c r="AB33" s="587"/>
      <c r="AC33" s="587"/>
      <c r="AD33" s="587"/>
      <c r="AE33" s="587"/>
      <c r="AF33" s="587"/>
      <c r="AG33" s="534"/>
    </row>
    <row r="34" spans="1:33" ht="12.75" hidden="1"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SUMIF(CÁLCULO!$AM$15:$AW$93,CRONO!E$12,CÁLCULO!$AB$15:$AL$93)/(ORÇAMENTO!$X$15-CÁLCULO.TotalAdmLocal)*CRONO!$F34,
                        0),
                 E33*$S32),
          SUMIF(OFFSET($S34,1,0,$R32-2),($M32+1)&amp;"$",OFFSET(E34,1,0,$R32-2)))</f>
        <v>0</v>
      </c>
      <c r="F34" s="185">
        <f ca="1">IF(OR($R32&lt;&gt;2,AUTOEVENTO&lt;&gt;"manual",$F33&gt;0),"",
        IF(Import.TipoArredondamento="Tradicional",
              SUMIF(OFFSET(CÁLCULO!$M$15,CRONO!$F32,0,OFFSET(ORÇAMENTO!$D$15,CRONO!$F32,0)),1,OFFSET(ORÇAMENTO!$X$15,CRONO!$F32,0,OFFSET(ORÇAMENTO!$D$15,CRONO!$F32,0))),
              0))</f>
        <v>0</v>
      </c>
      <c r="H34" s="203"/>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SUMIF(CÁLCULO!$AM$15:$AW$93,CRONO!U$12,CÁLCULO!$AB$15:$AL$93)/(ORÇAMENTO!$X$15-CÁLCULO.TotalAdmLocal)*CRONO!$F34,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SUMIF(CÁLCULO!$AM$15:$AW$93,CRONO!V$12,CÁLCULO!$AB$15:$AL$93)/(ORÇAMENTO!$X$15-CÁLCULO.TotalAdmLocal)*CRONO!$F34,
                        0),
                 V33*$S32),
          SUMIF(OFFSET($S34,1,0,$R32-2),($M32+1)&amp;"$",OFFSET(V34,1,0,$R32-2)))</f>
        <v>0</v>
      </c>
      <c r="W34" s="202" cm="1">
        <f t="array" aca="1" ref="W34" ca="1">IF($R32=2,
         IF(AND(ACOMPANHAMENTO="PLE",ISNUMBER($F32)),
                SUMIF((OFFSET(CÁLCULO!$AM$15:$AW$15,$F32,0,OFFSET(ORÇAMENTO!$D$15,CRONO!$F32,0))),CRONO!W$12,OFFSET(CÁLCULO!$AB$15:$AL$15,$F32,0,OFFSET(ORÇAMENTO!$D$15,CRONO!$F32,0)))
                +IF(AND($F34&lt;&gt;"",$F34&lt;&gt;0),
                        SUMIF(CÁLCULO!$AM$15:$AW$93,CRONO!W$12,CÁLCULO!$AB$15:$AL$93)/(ORÇAMENTO!$X$15-CÁLCULO.TotalAdmLocal)*CRONO!$F34,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SUMIF(CÁLCULO!$AM$15:$AW$93,CRONO!X$12,CÁLCULO!$AB$15:$AL$93)/(ORÇAMENTO!$X$15-CÁLCULO.TotalAdmLocal)*CRONO!$F34,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SUMIF(CÁLCULO!$AM$15:$AW$93,CRONO!Y$12,CÁLCULO!$AB$15:$AL$93)/(ORÇAMENTO!$X$15-CÁLCULO.TotalAdmLocal)*CRONO!$F34,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SUMIF(CÁLCULO!$AM$15:$AW$93,CRONO!Z$12,CÁLCULO!$AB$15:$AL$93)/(ORÇAMENTO!$X$15-CÁLCULO.TotalAdmLocal)*CRONO!$F34,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SUMIF(CÁLCULO!$AM$15:$AW$93,CRONO!AA$12,CÁLCULO!$AB$15:$AL$93)/(ORÇAMENTO!$X$15-CÁLCULO.TotalAdmLocal)*CRONO!$F34,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SUMIF(CÁLCULO!$AM$15:$AW$93,CRONO!AB$12,CÁLCULO!$AB$15:$AL$93)/(ORÇAMENTO!$X$15-CÁLCULO.TotalAdmLocal)*CRONO!$F34,
                        0),
                 AB33*$S32),
          SUMIF(OFFSET($S34,1,0,$R32-2),($M32+1)&amp;"$",OFFSET(AB34,1,0,$R32-2)))</f>
        <v>169637.15</v>
      </c>
      <c r="AC34" s="202" cm="1">
        <f t="array" aca="1" ref="AC34" ca="1">IF($R32=2,
         IF(AND(ACOMPANHAMENTO="PLE",ISNUMBER($F32)),
                SUMIF((OFFSET(CÁLCULO!$AM$15:$AW$15,$F32,0,OFFSET(ORÇAMENTO!$D$15,CRONO!$F32,0))),CRONO!AC$12,OFFSET(CÁLCULO!$AB$15:$AL$15,$F32,0,OFFSET(ORÇAMENTO!$D$15,CRONO!$F32,0)))
                +IF(AND($F34&lt;&gt;"",$F34&lt;&gt;0),
                        SUMIF(CÁLCULO!$AM$15:$AW$93,CRONO!AC$12,CÁLCULO!$AB$15:$AL$93)/(ORÇAMENTO!$X$15-CÁLCULO.TotalAdmLocal)*CRONO!$F34,
                        0),
                 AC33*$S32),
          SUMIF(OFFSET($S34,1,0,$R32-2),($M32+1)&amp;"$",OFFSET(AC34,1,0,$R32-2)))</f>
        <v>176009.87</v>
      </c>
      <c r="AD34" s="202" cm="1">
        <f t="array" aca="1" ref="AD34" ca="1">IF($R32=2,
         IF(AND(ACOMPANHAMENTO="PLE",ISNUMBER($F32)),
                SUMIF((OFFSET(CÁLCULO!$AM$15:$AW$15,$F32,0,OFFSET(ORÇAMENTO!$D$15,CRONO!$F32,0))),CRONO!AD$12,OFFSET(CÁLCULO!$AB$15:$AL$15,$F32,0,OFFSET(ORÇAMENTO!$D$15,CRONO!$F32,0)))
                +IF(AND($F34&lt;&gt;"",$F34&lt;&gt;0),
                        SUMIF(CÁLCULO!$AM$15:$AW$93,CRONO!AD$12,CÁLCULO!$AB$15:$AL$93)/(ORÇAMENTO!$X$15-CÁLCULO.TotalAdmLocal)*CRONO!$F34,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SUMIF(CÁLCULO!$AM$15:$AW$93,CRONO!AE$12,CÁLCULO!$AB$15:$AL$93)/(ORÇAMENTO!$X$15-CÁLCULO.TotalAdmLocal)*CRONO!$F34,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SUMIF(CÁLCULO!$AM$15:$AW$93,CRONO!AF$12,CÁLCULO!$AB$15:$AL$93)/(ORÇAMENTO!$X$15-CÁLCULO.TotalAdmLocal)*CRONO!$F34,
                        0),
                 AF33*$S32),
          SUMIF(OFFSET($S34,1,0,$R32-2),($M32+1)&amp;"$",OFFSET(AF34,1,0,$R32-2)))</f>
        <v>0</v>
      </c>
      <c r="AG34" s="534"/>
    </row>
    <row r="35" spans="1:33" x14ac:dyDescent="0.2">
      <c r="A35" s="186" t="str">
        <f t="shared" ref="A35" ca="1" si="44">IF($M35&gt;1,_xlfn.CONCAT($I35," ",$J35),"")</f>
        <v>1.7. EQUIPAMENTOS</v>
      </c>
      <c r="B35" s="185">
        <f t="shared" ref="B35" ca="1" si="45">OFFSET(B35,-3,0)+1</f>
        <v>8</v>
      </c>
      <c r="C35" s="185">
        <f ca="1">IF($R35&lt;&gt;2,0,IF($S35=0,1,IF(F36&gt;0,OFFSET(QCI!$M$13,SUBSTITUTE(F36,".",""),0),OFFSET(ORÇAMENTO!$AA$15,CRONO!$F35,0))/$S35))</f>
        <v>0</v>
      </c>
      <c r="D35" s="185">
        <f ca="1">IF($R35&lt;&gt;2,0,IF($S35=0,1,IF(F36&gt;0,OFFSET(QCI!$N$13,SUBSTITUTE(F36,".",""),0),OFFSET(ORÇAMENTO!$AB$15,CRONO!$F35,0))/$S35))</f>
        <v>0</v>
      </c>
      <c r="E35" s="188" cm="1">
        <f t="array" aca="1" ref="E35" ca="1">IF(AND($R35=2,ACOMPANHAMENTO="BM"),ROUND(E36,4),E37/$S35)</f>
        <v>0</v>
      </c>
      <c r="F35" s="185" cm="1">
        <f t="array" aca="1" ref="F35" ca="1">IF(B35&lt;=ORÇAMENTO.MáximoListaCrono,MATCH(B35,ORÇAMENTO.ListaCrono,0),NA())</f>
        <v>65</v>
      </c>
      <c r="G35" s="185" t="str">
        <f t="shared" ref="G35" ca="1" si="46">IF(AND($F36&lt;&gt;-1,$S35&gt;0),"F","")</f>
        <v>F</v>
      </c>
      <c r="H35" s="189" t="str" cm="1">
        <f t="array" aca="1" ref="H35" ca="1">IF(OR(S35=0,S35=""),"Linha",IF(AND(OR(ACOMPANHAMENTO="PLE",$R35&lt;&gt;2),$F36=0),"Linha",ROUND(1-SUM(U35:AG35),4)))</f>
        <v>Linha</v>
      </c>
      <c r="I35" s="190" t="str">
        <f ca="1">IF($F36=0,OFFSET(ORÇAMENTO!O$15,$F35,0),IF($F36&lt;&gt;-1,OFFSET(QCI!$D$13,$F36,0),""))</f>
        <v>1.7.</v>
      </c>
      <c r="J35" s="191" t="str">
        <f ca="1">IF($F36=0,OFFSET(ORÇAMENTO!R$15,$F35,0),IF($F36&lt;&gt;-1,OFFSET(QCI!$G$13,$F36,0),""))</f>
        <v>EQUIPAMENTOS</v>
      </c>
      <c r="K35" s="191"/>
      <c r="L35" s="191"/>
      <c r="M35" s="192">
        <f ca="1">IF($F36=0,OFFSET(ORÇAMENTO!C$15,$F35,0),1)</f>
        <v>2</v>
      </c>
      <c r="N35" s="193">
        <f ca="1">IF($F36=-1,0,IF(N$13&lt;=$M35,IF(ISERROR(MATCH(N$13,OFFSET($M35,1,0,ROW($M$47)-ROW($M35)-1),0)),ROW($M$47)-ROW($M35)-1,MATCH(N$13,OFFSET($M35,1,0,ROW($M$47)-ROW($M35)-1),0)-1),0))</f>
        <v>11</v>
      </c>
      <c r="O35" s="193">
        <f ca="1">IF($F36=-1,0,IF(O$13&lt;=$M35,IF(ISERROR(MATCH(O$13,OFFSET($M35,1,0,ROW($M$47)-ROW($M35)-1),0)),ROW($M$47)-ROW($M35)-1,MATCH(O$13,OFFSET($M35,1,0,ROW($M$47)-ROW($M35)-1),0)-1),0))</f>
        <v>2</v>
      </c>
      <c r="P35" s="193">
        <f ca="1">IF($F36=-1,0,IF(P$13&lt;=$M35,IF(ISERROR(MATCH(P$13,OFFSET($M35,1,0,ROW($M$47)-ROW($M35)-1),0)),ROW($M$47)-ROW($M35)-1,MATCH(P$13,OFFSET($M35,1,0,ROW($M$47)-ROW($M35)-1),0)-1),0))</f>
        <v>0</v>
      </c>
      <c r="Q35" s="193">
        <f ca="1">IF($F36=-1,0,IF(Q$13&lt;=$M35,IF(ISERROR(MATCH(Q$13,OFFSET($M35,1,0,ROW($M$47)-ROW($M35)-1),0)),ROW($M$47)-ROW($M35)-1,MATCH(Q$13,OFFSET($M35,1,0,ROW($M$47)-ROW($M35)-1),0)-1),0))</f>
        <v>0</v>
      </c>
      <c r="R35" s="193">
        <f t="shared" ref="R35" ca="1" si="47">MIN(OFFSET(M35,0,1,,M35))</f>
        <v>2</v>
      </c>
      <c r="S35" s="194">
        <f ca="1">IF($F36=0,OFFSET(ORÇAMENTO!X$15,$F35,0),IF($F36&lt;&gt;-1,OFFSET(QCI!$O$13,$F36,0),""))</f>
        <v>14327820.48</v>
      </c>
      <c r="T35" s="195" t="s">
        <v>785</v>
      </c>
      <c r="U35" s="188" cm="1">
        <f t="array" aca="1" ref="U35" ca="1">IF(AND($R35=2,ACOMPANHAMENTO="BM"),ROUND(U36,4),U37/$S35)</f>
        <v>0</v>
      </c>
      <c r="V35" s="188" cm="1">
        <f t="array" aca="1" ref="V35" ca="1">IF(AND($R35=2,ACOMPANHAMENTO="BM"),ROUND(V36,4),V37/$S35)</f>
        <v>0</v>
      </c>
      <c r="W35" s="188" cm="1">
        <f t="array" aca="1" ref="W35" ca="1">IF(AND($R35=2,ACOMPANHAMENTO="BM"),ROUND(W36,4),W37/$S35)</f>
        <v>0</v>
      </c>
      <c r="X35" s="188" cm="1">
        <f t="array" aca="1" ref="X35" ca="1">IF(AND($R35=2,ACOMPANHAMENTO="BM"),ROUND(X36,4),X37/$S35)</f>
        <v>0</v>
      </c>
      <c r="Y35" s="188" cm="1">
        <f t="array" aca="1" ref="Y35" ca="1">IF(AND($R35=2,ACOMPANHAMENTO="BM"),ROUND(Y36,4),Y37/$S35)</f>
        <v>0</v>
      </c>
      <c r="Z35" s="188" cm="1">
        <f t="array" aca="1" ref="Z35" ca="1">IF(AND($R35=2,ACOMPANHAMENTO="BM"),ROUND(Z36,4),Z37/$S35)</f>
        <v>0</v>
      </c>
      <c r="AA35" s="188" cm="1">
        <f t="array" aca="1" ref="AA35" ca="1">IF(AND($R35=2,ACOMPANHAMENTO="BM"),ROUND(AA36,4),AA37/$S35)</f>
        <v>0</v>
      </c>
      <c r="AB35" s="188" cm="1">
        <f t="array" aca="1" ref="AB35" ca="1">IF(AND($R35=2,ACOMPANHAMENTO="BM"),ROUND(AB36,4),AB37/$S35)</f>
        <v>0</v>
      </c>
      <c r="AC35" s="188" cm="1">
        <f t="array" aca="1" ref="AC35" ca="1">IF(AND($R35=2,ACOMPANHAMENTO="BM"),ROUND(AC36,4),AC37/$S35)</f>
        <v>2.0127890379598053E-2</v>
      </c>
      <c r="AD35" s="188" cm="1">
        <f t="array" aca="1" ref="AD35" ca="1">IF(AND($R35=2,ACOMPANHAMENTO="BM"),ROUND(AD36,4),AD37/$S35)</f>
        <v>0.97987210962040194</v>
      </c>
      <c r="AE35" s="188" cm="1">
        <f t="array" aca="1" ref="AE35" ca="1">IF(AND($R35=2,ACOMPANHAMENTO="BM"),ROUND(AE36,4),AE37/$S35)</f>
        <v>0</v>
      </c>
      <c r="AF35" s="188" cm="1">
        <f t="array" aca="1" ref="AF35" ca="1">IF(AND($R35=2,ACOMPANHAMENTO="BM"),ROUND(AF36,4),AF37/$S35)</f>
        <v>0</v>
      </c>
      <c r="AG35" s="534"/>
    </row>
    <row r="36" spans="1:33" ht="12.75" hidden="1" customHeight="1" x14ac:dyDescent="0.2">
      <c r="E36" s="587"/>
      <c r="F36" s="185">
        <f ca="1">IF(ISERROR(F35),IF(1+COUNTIF($M$13:OFFSET(M35,-1,0),1)&lt;=MAX(QCI!$D$13:$D$15),1+COUNTIF($M$13:OFFSET(M35,-1,0),1),-1),0)</f>
        <v>0</v>
      </c>
      <c r="G36" s="185" t="str" cm="1">
        <f t="array" aca="1" ref="G36" ca="1">IF(ACOMPANHAMENTO="BM",OFFSET(G36,-1,0),"")</f>
        <v/>
      </c>
      <c r="H36" s="196" t="str" cm="1">
        <f t="array" aca="1" ref="H36" ca="1">IF(OR(S35=0,S35=""),"vazia",IF(AND(OR(ACOMPANHAMENTO="PLE",$R35&lt;&gt;2),$F36=0),"calculada","--&gt;"))</f>
        <v>calculada</v>
      </c>
      <c r="I36" s="197"/>
      <c r="J36" s="198" t="str">
        <f t="shared" ref="J36" ca="1" si="48">IF(AND(H35&lt;&gt;0,ISNUMBER(H35)),"PREENCHA ESTA LINHA --&gt;","")</f>
        <v/>
      </c>
      <c r="K36" s="198"/>
      <c r="L36" s="198"/>
      <c r="M36" s="199"/>
      <c r="N36" s="199"/>
      <c r="O36" s="199"/>
      <c r="P36" s="199"/>
      <c r="Q36" s="199"/>
      <c r="R36" s="199"/>
      <c r="S36" s="200"/>
      <c r="T36" s="201"/>
      <c r="U36" s="587"/>
      <c r="V36" s="587"/>
      <c r="W36" s="587"/>
      <c r="X36" s="587"/>
      <c r="Y36" s="587"/>
      <c r="Z36" s="587"/>
      <c r="AA36" s="587"/>
      <c r="AB36" s="587"/>
      <c r="AC36" s="587"/>
      <c r="AD36" s="587"/>
      <c r="AE36" s="587"/>
      <c r="AF36" s="587"/>
      <c r="AG36" s="534"/>
    </row>
    <row r="37" spans="1:33" ht="12.75" hidden="1" customHeight="1" x14ac:dyDescent="0.2">
      <c r="D37" s="533"/>
      <c r="E37" s="202" cm="1">
        <f t="array" aca="1" ref="E37" ca="1">IF($R35=2,
         IF(AND(ACOMPANHAMENTO="PLE",ISNUMBER($F35)),
                SUMIF((OFFSET(CÁLCULO!$AM$15:$AW$15,$F35,0,OFFSET(ORÇAMENTO!$D$15,CRONO!$F35,0))),CRONO!E$12,OFFSET(CÁLCULO!$AB$15:$AL$15,$F35,0,OFFSET(ORÇAMENTO!$D$15,CRONO!$F35,0)))
                +IF(AND($F37&lt;&gt;"",$F37&lt;&gt;0),
                        SUMIF(CÁLCULO!$AM$15:$AW$93,CRONO!E$12,CÁLCULO!$AB$15:$AL$93)/(ORÇAMENTO!$X$15-CÁLCULO.TotalAdmLocal)*CRONO!$F37,
                        0),
                 E36*$S35),
          SUMIF(OFFSET($S37,1,0,$R35-2),($M35+1)&amp;"$",OFFSET(E37,1,0,$R35-2)))</f>
        <v>0</v>
      </c>
      <c r="F37" s="185">
        <f ca="1">IF(OR($R35&lt;&gt;2,AUTOEVENTO&lt;&gt;"manual",$F36&gt;0),"",
        IF(Import.TipoArredondamento="Tradicional",
              SUMIF(OFFSET(CÁLCULO!$M$15,CRONO!$F35,0,OFFSET(ORÇAMENTO!$D$15,CRONO!$F35,0)),1,OFFSET(ORÇAMENTO!$X$15,CRONO!$F35,0,OFFSET(ORÇAMENTO!$D$15,CRONO!$F35,0))),
              0))</f>
        <v>0</v>
      </c>
      <c r="H37" s="203"/>
      <c r="S37" s="204" t="str">
        <f t="shared" ref="S37" ca="1" si="49">M35&amp;"$"</f>
        <v>2$</v>
      </c>
      <c r="T37" s="205"/>
      <c r="U37" s="202" cm="1">
        <f t="array" aca="1" ref="U37" ca="1">IF($R35=2,
         IF(AND(ACOMPANHAMENTO="PLE",ISNUMBER($F35)),
                SUMIF((OFFSET(CÁLCULO!$AM$15:$AW$15,$F35,0,OFFSET(ORÇAMENTO!$D$15,CRONO!$F35,0))),CRONO!U$12,OFFSET(CÁLCULO!$AB$15:$AL$15,$F35,0,OFFSET(ORÇAMENTO!$D$15,CRONO!$F35,0)))
                +IF(AND($F37&lt;&gt;"",$F37&lt;&gt;0),
                        SUMIF(CÁLCULO!$AM$15:$AW$93,CRONO!U$12,CÁLCULO!$AB$15:$AL$93)/(ORÇAMENTO!$X$15-CÁLCULO.TotalAdmLocal)*CRONO!$F37,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SUMIF(CÁLCULO!$AM$15:$AW$93,CRONO!V$12,CÁLCULO!$AB$15:$AL$93)/(ORÇAMENTO!$X$15-CÁLCULO.TotalAdmLocal)*CRONO!$F37,
                        0),
                 V36*$S35),
          SUMIF(OFFSET($S37,1,0,$R35-2),($M35+1)&amp;"$",OFFSET(V37,1,0,$R35-2)))</f>
        <v>0</v>
      </c>
      <c r="W37" s="202" cm="1">
        <f t="array" aca="1" ref="W37" ca="1">IF($R35=2,
         IF(AND(ACOMPANHAMENTO="PLE",ISNUMBER($F35)),
                SUMIF((OFFSET(CÁLCULO!$AM$15:$AW$15,$F35,0,OFFSET(ORÇAMENTO!$D$15,CRONO!$F35,0))),CRONO!W$12,OFFSET(CÁLCULO!$AB$15:$AL$15,$F35,0,OFFSET(ORÇAMENTO!$D$15,CRONO!$F35,0)))
                +IF(AND($F37&lt;&gt;"",$F37&lt;&gt;0),
                        SUMIF(CÁLCULO!$AM$15:$AW$93,CRONO!W$12,CÁLCULO!$AB$15:$AL$93)/(ORÇAMENTO!$X$15-CÁLCULO.TotalAdmLocal)*CRONO!$F37,
                        0),
                 W36*$S35),
          SUMIF(OFFSET($S37,1,0,$R35-2),($M35+1)&amp;"$",OFFSET(W37,1,0,$R35-2)))</f>
        <v>0</v>
      </c>
      <c r="X37" s="202" cm="1">
        <f t="array" aca="1" ref="X37" ca="1">IF($R35=2,
         IF(AND(ACOMPANHAMENTO="PLE",ISNUMBER($F35)),
                SUMIF((OFFSET(CÁLCULO!$AM$15:$AW$15,$F35,0,OFFSET(ORÇAMENTO!$D$15,CRONO!$F35,0))),CRONO!X$12,OFFSET(CÁLCULO!$AB$15:$AL$15,$F35,0,OFFSET(ORÇAMENTO!$D$15,CRONO!$F35,0)))
                +IF(AND($F37&lt;&gt;"",$F37&lt;&gt;0),
                        SUMIF(CÁLCULO!$AM$15:$AW$93,CRONO!X$12,CÁLCULO!$AB$15:$AL$93)/(ORÇAMENTO!$X$15-CÁLCULO.TotalAdmLocal)*CRONO!$F37,
                        0),
                 X36*$S35),
          SUMIF(OFFSET($S37,1,0,$R35-2),($M35+1)&amp;"$",OFFSET(X37,1,0,$R35-2)))</f>
        <v>0</v>
      </c>
      <c r="Y37" s="202" cm="1">
        <f t="array" aca="1" ref="Y37" ca="1">IF($R35=2,
         IF(AND(ACOMPANHAMENTO="PLE",ISNUMBER($F35)),
                SUMIF((OFFSET(CÁLCULO!$AM$15:$AW$15,$F35,0,OFFSET(ORÇAMENTO!$D$15,CRONO!$F35,0))),CRONO!Y$12,OFFSET(CÁLCULO!$AB$15:$AL$15,$F35,0,OFFSET(ORÇAMENTO!$D$15,CRONO!$F35,0)))
                +IF(AND($F37&lt;&gt;"",$F37&lt;&gt;0),
                        SUMIF(CÁLCULO!$AM$15:$AW$93,CRONO!Y$12,CÁLCULO!$AB$15:$AL$93)/(ORÇAMENTO!$X$15-CÁLCULO.TotalAdmLocal)*CRONO!$F37,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SUMIF(CÁLCULO!$AM$15:$AW$93,CRONO!Z$12,CÁLCULO!$AB$15:$AL$93)/(ORÇAMENTO!$X$15-CÁLCULO.TotalAdmLocal)*CRONO!$F37,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SUMIF(CÁLCULO!$AM$15:$AW$93,CRONO!AA$12,CÁLCULO!$AB$15:$AL$93)/(ORÇAMENTO!$X$15-CÁLCULO.TotalAdmLocal)*CRONO!$F37,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SUMIF(CÁLCULO!$AM$15:$AW$93,CRONO!AB$12,CÁLCULO!$AB$15:$AL$93)/(ORÇAMENTO!$X$15-CÁLCULO.TotalAdmLocal)*CRONO!$F37,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SUMIF(CÁLCULO!$AM$15:$AW$93,CRONO!AC$12,CÁLCULO!$AB$15:$AL$93)/(ORÇAMENTO!$X$15-CÁLCULO.TotalAdmLocal)*CRONO!$F37,
                        0),
                 AC36*$S35),
          SUMIF(OFFSET($S37,1,0,$R35-2),($M35+1)&amp;"$",OFFSET(AC37,1,0,$R35-2)))</f>
        <v>288388.8</v>
      </c>
      <c r="AD37" s="202" cm="1">
        <f t="array" aca="1" ref="AD37" ca="1">IF($R35=2,
         IF(AND(ACOMPANHAMENTO="PLE",ISNUMBER($F35)),
                SUMIF((OFFSET(CÁLCULO!$AM$15:$AW$15,$F35,0,OFFSET(ORÇAMENTO!$D$15,CRONO!$F35,0))),CRONO!AD$12,OFFSET(CÁLCULO!$AB$15:$AL$15,$F35,0,OFFSET(ORÇAMENTO!$D$15,CRONO!$F35,0)))
                +IF(AND($F37&lt;&gt;"",$F37&lt;&gt;0),
                        SUMIF(CÁLCULO!$AM$15:$AW$93,CRONO!AD$12,CÁLCULO!$AB$15:$AL$93)/(ORÇAMENTO!$X$15-CÁLCULO.TotalAdmLocal)*CRONO!$F37,
                        0),
                 AD36*$S35),
          SUMIF(OFFSET($S37,1,0,$R35-2),($M35+1)&amp;"$",OFFSET(AD37,1,0,$R35-2)))</f>
        <v>14039431.68</v>
      </c>
      <c r="AE37" s="202" cm="1">
        <f t="array" aca="1" ref="AE37" ca="1">IF($R35=2,
         IF(AND(ACOMPANHAMENTO="PLE",ISNUMBER($F35)),
                SUMIF((OFFSET(CÁLCULO!$AM$15:$AW$15,$F35,0,OFFSET(ORÇAMENTO!$D$15,CRONO!$F35,0))),CRONO!AE$12,OFFSET(CÁLCULO!$AB$15:$AL$15,$F35,0,OFFSET(ORÇAMENTO!$D$15,CRONO!$F35,0)))
                +IF(AND($F37&lt;&gt;"",$F37&lt;&gt;0),
                        SUMIF(CÁLCULO!$AM$15:$AW$93,CRONO!AE$12,CÁLCULO!$AB$15:$AL$93)/(ORÇAMENTO!$X$15-CÁLCULO.TotalAdmLocal)*CRONO!$F37,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SUMIF(CÁLCULO!$AM$15:$AW$93,CRONO!AF$12,CÁLCULO!$AB$15:$AL$93)/(ORÇAMENTO!$X$15-CÁLCULO.TotalAdmLocal)*CRONO!$F37,
                        0),
                 AF36*$S35),
          SUMIF(OFFSET($S37,1,0,$R35-2),($M35+1)&amp;"$",OFFSET(AF37,1,0,$R35-2)))</f>
        <v>0</v>
      </c>
      <c r="AG37" s="534"/>
    </row>
    <row r="38" spans="1:33" x14ac:dyDescent="0.2">
      <c r="A38" s="186" t="str">
        <f t="shared" ref="A38" ca="1" si="50">IF($M38&gt;1,_xlfn.CONCAT($I38," ",$J38),"")</f>
        <v>1.8. SUBESTAÇÃO</v>
      </c>
      <c r="B38" s="185">
        <f t="shared" ref="B38" ca="1" si="51">OFFSET(B38,-3,0)+1</f>
        <v>9</v>
      </c>
      <c r="C38" s="185">
        <f ca="1">IF($R38&lt;&gt;2,0,IF($S38=0,1,IF(F39&gt;0,OFFSET(QCI!$M$13,SUBSTITUTE(F39,".",""),0),OFFSET(ORÇAMENTO!$AA$15,CRONO!$F38,0))/$S38))</f>
        <v>0</v>
      </c>
      <c r="D38" s="185">
        <f ca="1">IF($R38&lt;&gt;2,0,IF($S38=0,1,IF(F39&gt;0,OFFSET(QCI!$N$13,SUBSTITUTE(F39,".",""),0),OFFSET(ORÇAMENTO!$AB$15,CRONO!$F38,0))/$S38))</f>
        <v>0</v>
      </c>
      <c r="E38" s="188" cm="1">
        <f t="array" aca="1" ref="E38" ca="1">IF(AND($R38=2,ACOMPANHAMENTO="BM"),ROUND(E39,4),E40/$S38)</f>
        <v>0</v>
      </c>
      <c r="F38" s="185" cm="1">
        <f t="array" aca="1" ref="F38" ca="1">IF(B38&lt;=ORÇAMENTO.MáximoListaCrono,MATCH(B38,ORÇAMENTO.ListaCrono,0),NA())</f>
        <v>70</v>
      </c>
      <c r="G38" s="185" t="str">
        <f t="shared" ref="G38" ca="1" si="52">IF(AND($F39&lt;&gt;-1,$S38&gt;0),"F","")</f>
        <v>F</v>
      </c>
      <c r="H38" s="189" t="str" cm="1">
        <f t="array" aca="1" ref="H38" ca="1">IF(OR(S38=0,S38=""),"Linha",IF(AND(OR(ACOMPANHAMENTO="PLE",$R38&lt;&gt;2),$F39=0),"Linha",ROUND(1-SUM(U38:AG38),4)))</f>
        <v>Linha</v>
      </c>
      <c r="I38" s="190" t="str">
        <f ca="1">IF($F39=0,OFFSET(ORÇAMENTO!O$15,$F38,0),IF($F39&lt;&gt;-1,OFFSET(QCI!$D$13,$F39,0),""))</f>
        <v>1.8.</v>
      </c>
      <c r="J38" s="191" t="str">
        <f ca="1">IF($F39=0,OFFSET(ORÇAMENTO!R$15,$F38,0),IF($F39&lt;&gt;-1,OFFSET(QCI!$G$13,$F39,0),""))</f>
        <v>SUBESTAÇÃO</v>
      </c>
      <c r="K38" s="191"/>
      <c r="L38" s="191"/>
      <c r="M38" s="192">
        <f ca="1">IF($F39=0,OFFSET(ORÇAMENTO!C$15,$F38,0),1)</f>
        <v>2</v>
      </c>
      <c r="N38" s="193">
        <f ca="1">IF($F39=-1,0,IF(N$13&lt;=$M38,IF(ISERROR(MATCH(N$13,OFFSET($M38,1,0,ROW($M$47)-ROW($M38)-1),0)),ROW($M$47)-ROW($M38)-1,MATCH(N$13,OFFSET($M38,1,0,ROW($M$47)-ROW($M38)-1),0)-1),0))</f>
        <v>8</v>
      </c>
      <c r="O38" s="193">
        <f ca="1">IF($F39=-1,0,IF(O$13&lt;=$M38,IF(ISERROR(MATCH(O$13,OFFSET($M38,1,0,ROW($M$47)-ROW($M38)-1),0)),ROW($M$47)-ROW($M38)-1,MATCH(O$13,OFFSET($M38,1,0,ROW($M$47)-ROW($M38)-1),0)-1),0))</f>
        <v>2</v>
      </c>
      <c r="P38" s="193">
        <f ca="1">IF($F39=-1,0,IF(P$13&lt;=$M38,IF(ISERROR(MATCH(P$13,OFFSET($M38,1,0,ROW($M$47)-ROW($M38)-1),0)),ROW($M$47)-ROW($M38)-1,MATCH(P$13,OFFSET($M38,1,0,ROW($M$47)-ROW($M38)-1),0)-1),0))</f>
        <v>0</v>
      </c>
      <c r="Q38" s="193">
        <f ca="1">IF($F39=-1,0,IF(Q$13&lt;=$M38,IF(ISERROR(MATCH(Q$13,OFFSET($M38,1,0,ROW($M$47)-ROW($M38)-1),0)),ROW($M$47)-ROW($M38)-1,MATCH(Q$13,OFFSET($M38,1,0,ROW($M$47)-ROW($M38)-1),0)-1),0))</f>
        <v>0</v>
      </c>
      <c r="R38" s="193">
        <f t="shared" ref="R38" ca="1" si="53">MIN(OFFSET(M38,0,1,,M38))</f>
        <v>2</v>
      </c>
      <c r="S38" s="194">
        <f ca="1">IF($F39=0,OFFSET(ORÇAMENTO!X$15,$F38,0),IF($F39&lt;&gt;-1,OFFSET(QCI!$O$13,$F39,0),""))</f>
        <v>498152.45</v>
      </c>
      <c r="T38" s="195" t="s">
        <v>785</v>
      </c>
      <c r="U38" s="188" cm="1">
        <f t="array" aca="1" ref="U38" ca="1">IF(AND($R38=2,ACOMPANHAMENTO="BM"),ROUND(U39,4),U40/$S38)</f>
        <v>0</v>
      </c>
      <c r="V38" s="188" cm="1">
        <f t="array" aca="1" ref="V38" ca="1">IF(AND($R38=2,ACOMPANHAMENTO="BM"),ROUND(V39,4),V40/$S38)</f>
        <v>0</v>
      </c>
      <c r="W38" s="188" cm="1">
        <f t="array" aca="1" ref="W38" ca="1">IF(AND($R38=2,ACOMPANHAMENTO="BM"),ROUND(W39,4),W40/$S38)</f>
        <v>0</v>
      </c>
      <c r="X38" s="188" cm="1">
        <f t="array" aca="1" ref="X38" ca="1">IF(AND($R38=2,ACOMPANHAMENTO="BM"),ROUND(X39,4),X40/$S38)</f>
        <v>0</v>
      </c>
      <c r="Y38" s="188" cm="1">
        <f t="array" aca="1" ref="Y38" ca="1">IF(AND($R38=2,ACOMPANHAMENTO="BM"),ROUND(Y39,4),Y40/$S38)</f>
        <v>0.2</v>
      </c>
      <c r="Z38" s="188" cm="1">
        <f t="array" aca="1" ref="Z38" ca="1">IF(AND($R38=2,ACOMPANHAMENTO="BM"),ROUND(Z39,4),Z40/$S38)</f>
        <v>0.2</v>
      </c>
      <c r="AA38" s="188" cm="1">
        <f t="array" aca="1" ref="AA38" ca="1">IF(AND($R38=2,ACOMPANHAMENTO="BM"),ROUND(AA39,4),AA40/$S38)</f>
        <v>0.2</v>
      </c>
      <c r="AB38" s="188" cm="1">
        <f t="array" aca="1" ref="AB38" ca="1">IF(AND($R38=2,ACOMPANHAMENTO="BM"),ROUND(AB39,4),AB40/$S38)</f>
        <v>0.2</v>
      </c>
      <c r="AC38" s="188" cm="1">
        <f t="array" aca="1" ref="AC38" ca="1">IF(AND($R38=2,ACOMPANHAMENTO="BM"),ROUND(AC39,4),AC40/$S38)</f>
        <v>0.2</v>
      </c>
      <c r="AD38" s="188" cm="1">
        <f t="array" aca="1" ref="AD38" ca="1">IF(AND($R38=2,ACOMPANHAMENTO="BM"),ROUND(AD39,4),AD40/$S38)</f>
        <v>0</v>
      </c>
      <c r="AE38" s="188" cm="1">
        <f t="array" aca="1" ref="AE38" ca="1">IF(AND($R38=2,ACOMPANHAMENTO="BM"),ROUND(AE39,4),AE40/$S38)</f>
        <v>0</v>
      </c>
      <c r="AF38" s="188" cm="1">
        <f t="array" aca="1" ref="AF38" ca="1">IF(AND($R38=2,ACOMPANHAMENTO="BM"),ROUND(AF39,4),AF40/$S38)</f>
        <v>0</v>
      </c>
      <c r="AG38" s="534"/>
    </row>
    <row r="39" spans="1:33" ht="12.75" hidden="1" customHeight="1" x14ac:dyDescent="0.2">
      <c r="E39" s="587"/>
      <c r="F39" s="185">
        <f ca="1">IF(ISERROR(F38),IF(1+COUNTIF($M$13:OFFSET(M38,-1,0),1)&lt;=MAX(QCI!$D$13:$D$15),1+COUNTIF($M$13:OFFSET(M38,-1,0),1),-1),0)</f>
        <v>0</v>
      </c>
      <c r="G39" s="185" t="str" cm="1">
        <f t="array" aca="1" ref="G39" ca="1">IF(ACOMPANHAMENTO="BM",OFFSET(G39,-1,0),"")</f>
        <v/>
      </c>
      <c r="H39" s="196" t="str" cm="1">
        <f t="array" aca="1" ref="H39" ca="1">IF(OR(S38=0,S38=""),"vazia",IF(AND(OR(ACOMPANHAMENTO="PLE",$R38&lt;&gt;2),$F39=0),"calculada","--&gt;"))</f>
        <v>calculada</v>
      </c>
      <c r="I39" s="197"/>
      <c r="J39" s="198" t="str">
        <f t="shared" ref="J39" ca="1" si="54">IF(AND(H38&lt;&gt;0,ISNUMBER(H38)),"PREENCHA ESTA LINHA --&gt;","")</f>
        <v/>
      </c>
      <c r="K39" s="198"/>
      <c r="L39" s="198"/>
      <c r="M39" s="199"/>
      <c r="N39" s="199"/>
      <c r="O39" s="199"/>
      <c r="P39" s="199"/>
      <c r="Q39" s="199"/>
      <c r="R39" s="199"/>
      <c r="S39" s="200"/>
      <c r="T39" s="201"/>
      <c r="U39" s="587"/>
      <c r="V39" s="587"/>
      <c r="W39" s="587"/>
      <c r="X39" s="587"/>
      <c r="Y39" s="587"/>
      <c r="Z39" s="587"/>
      <c r="AA39" s="587"/>
      <c r="AB39" s="587"/>
      <c r="AC39" s="587"/>
      <c r="AD39" s="587"/>
      <c r="AE39" s="587"/>
      <c r="AF39" s="587"/>
      <c r="AG39" s="534"/>
    </row>
    <row r="40" spans="1:33" ht="12.75" hidden="1" customHeight="1" x14ac:dyDescent="0.2">
      <c r="D40" s="533"/>
      <c r="E40" s="202" cm="1">
        <f t="array" aca="1" ref="E40" ca="1">IF($R38=2,
         IF(AND(ACOMPANHAMENTO="PLE",ISNUMBER($F38)),
                SUMIF((OFFSET(CÁLCULO!$AM$15:$AW$15,$F38,0,OFFSET(ORÇAMENTO!$D$15,CRONO!$F38,0))),CRONO!E$12,OFFSET(CÁLCULO!$AB$15:$AL$15,$F38,0,OFFSET(ORÇAMENTO!$D$15,CRONO!$F38,0)))
                +IF(AND($F40&lt;&gt;"",$F40&lt;&gt;0),
                        SUMIF(CÁLCULO!$AM$15:$AW$93,CRONO!E$12,CÁLCULO!$AB$15:$AL$93)/(ORÇAMENTO!$X$15-CÁLCULO.TotalAdmLocal)*CRONO!$F40,
                        0),
                 E39*$S38),
          SUMIF(OFFSET($S40,1,0,$R38-2),($M38+1)&amp;"$",OFFSET(E40,1,0,$R38-2)))</f>
        <v>0</v>
      </c>
      <c r="F40" s="185">
        <f ca="1">IF(OR($R38&lt;&gt;2,AUTOEVENTO&lt;&gt;"manual",$F39&gt;0),"",
        IF(Import.TipoArredondamento="Tradicional",
              SUMIF(OFFSET(CÁLCULO!$M$15,CRONO!$F38,0,OFFSET(ORÇAMENTO!$D$15,CRONO!$F38,0)),1,OFFSET(ORÇAMENTO!$X$15,CRONO!$F38,0,OFFSET(ORÇAMENTO!$D$15,CRONO!$F38,0))),
              0))</f>
        <v>0</v>
      </c>
      <c r="H40" s="203"/>
      <c r="S40" s="204" t="str">
        <f t="shared" ref="S40" ca="1" si="55">M38&amp;"$"</f>
        <v>2$</v>
      </c>
      <c r="T40" s="205"/>
      <c r="U40" s="202" cm="1">
        <f t="array" aca="1" ref="U40" ca="1">IF($R38=2,
         IF(AND(ACOMPANHAMENTO="PLE",ISNUMBER($F38)),
                SUMIF((OFFSET(CÁLCULO!$AM$15:$AW$15,$F38,0,OFFSET(ORÇAMENTO!$D$15,CRONO!$F38,0))),CRONO!U$12,OFFSET(CÁLCULO!$AB$15:$AL$15,$F38,0,OFFSET(ORÇAMENTO!$D$15,CRONO!$F38,0)))
                +IF(AND($F40&lt;&gt;"",$F40&lt;&gt;0),
                        SUMIF(CÁLCULO!$AM$15:$AW$93,CRONO!U$12,CÁLCULO!$AB$15:$AL$93)/(ORÇAMENTO!$X$15-CÁLCULO.TotalAdmLocal)*CRONO!$F40,
                        0),
                 U39*$S38),
          SUMIF(OFFSET($S40,1,0,$R38-2),($M38+1)&amp;"$",OFFSET(U40,1,0,$R38-2)))</f>
        <v>0</v>
      </c>
      <c r="V40" s="202" cm="1">
        <f t="array" aca="1" ref="V40" ca="1">IF($R38=2,
         IF(AND(ACOMPANHAMENTO="PLE",ISNUMBER($F38)),
                SUMIF((OFFSET(CÁLCULO!$AM$15:$AW$15,$F38,0,OFFSET(ORÇAMENTO!$D$15,CRONO!$F38,0))),CRONO!V$12,OFFSET(CÁLCULO!$AB$15:$AL$15,$F38,0,OFFSET(ORÇAMENTO!$D$15,CRONO!$F38,0)))
                +IF(AND($F40&lt;&gt;"",$F40&lt;&gt;0),
                        SUMIF(CÁLCULO!$AM$15:$AW$93,CRONO!V$12,CÁLCULO!$AB$15:$AL$93)/(ORÇAMENTO!$X$15-CÁLCULO.TotalAdmLocal)*CRONO!$F40,
                        0),
                 V39*$S38),
          SUMIF(OFFSET($S40,1,0,$R38-2),($M38+1)&amp;"$",OFFSET(V40,1,0,$R38-2)))</f>
        <v>0</v>
      </c>
      <c r="W40" s="202" cm="1">
        <f t="array" aca="1" ref="W40" ca="1">IF($R38=2,
         IF(AND(ACOMPANHAMENTO="PLE",ISNUMBER($F38)),
                SUMIF((OFFSET(CÁLCULO!$AM$15:$AW$15,$F38,0,OFFSET(ORÇAMENTO!$D$15,CRONO!$F38,0))),CRONO!W$12,OFFSET(CÁLCULO!$AB$15:$AL$15,$F38,0,OFFSET(ORÇAMENTO!$D$15,CRONO!$F38,0)))
                +IF(AND($F40&lt;&gt;"",$F40&lt;&gt;0),
                        SUMIF(CÁLCULO!$AM$15:$AW$93,CRONO!W$12,CÁLCULO!$AB$15:$AL$93)/(ORÇAMENTO!$X$15-CÁLCULO.TotalAdmLocal)*CRONO!$F40,
                        0),
                 W39*$S38),
          SUMIF(OFFSET($S40,1,0,$R38-2),($M38+1)&amp;"$",OFFSET(W40,1,0,$R38-2)))</f>
        <v>0</v>
      </c>
      <c r="X40" s="202" cm="1">
        <f t="array" aca="1" ref="X40" ca="1">IF($R38=2,
         IF(AND(ACOMPANHAMENTO="PLE",ISNUMBER($F38)),
                SUMIF((OFFSET(CÁLCULO!$AM$15:$AW$15,$F38,0,OFFSET(ORÇAMENTO!$D$15,CRONO!$F38,0))),CRONO!X$12,OFFSET(CÁLCULO!$AB$15:$AL$15,$F38,0,OFFSET(ORÇAMENTO!$D$15,CRONO!$F38,0)))
                +IF(AND($F40&lt;&gt;"",$F40&lt;&gt;0),
                        SUMIF(CÁLCULO!$AM$15:$AW$93,CRONO!X$12,CÁLCULO!$AB$15:$AL$93)/(ORÇAMENTO!$X$15-CÁLCULO.TotalAdmLocal)*CRONO!$F40,
                        0),
                 X39*$S38),
          SUMIF(OFFSET($S40,1,0,$R38-2),($M38+1)&amp;"$",OFFSET(X40,1,0,$R38-2)))</f>
        <v>0</v>
      </c>
      <c r="Y40" s="202" cm="1">
        <f t="array" aca="1" ref="Y40" ca="1">IF($R38=2,
         IF(AND(ACOMPANHAMENTO="PLE",ISNUMBER($F38)),
                SUMIF((OFFSET(CÁLCULO!$AM$15:$AW$15,$F38,0,OFFSET(ORÇAMENTO!$D$15,CRONO!$F38,0))),CRONO!Y$12,OFFSET(CÁLCULO!$AB$15:$AL$15,$F38,0,OFFSET(ORÇAMENTO!$D$15,CRONO!$F38,0)))
                +IF(AND($F40&lt;&gt;"",$F40&lt;&gt;0),
                        SUMIF(CÁLCULO!$AM$15:$AW$93,CRONO!Y$12,CÁLCULO!$AB$15:$AL$93)/(ORÇAMENTO!$X$15-CÁLCULO.TotalAdmLocal)*CRONO!$F40,
                        0),
                 Y39*$S38),
          SUMIF(OFFSET($S40,1,0,$R38-2),($M38+1)&amp;"$",OFFSET(Y40,1,0,$R38-2)))</f>
        <v>99630.49</v>
      </c>
      <c r="Z40" s="202" cm="1">
        <f t="array" aca="1" ref="Z40" ca="1">IF($R38=2,
         IF(AND(ACOMPANHAMENTO="PLE",ISNUMBER($F38)),
                SUMIF((OFFSET(CÁLCULO!$AM$15:$AW$15,$F38,0,OFFSET(ORÇAMENTO!$D$15,CRONO!$F38,0))),CRONO!Z$12,OFFSET(CÁLCULO!$AB$15:$AL$15,$F38,0,OFFSET(ORÇAMENTO!$D$15,CRONO!$F38,0)))
                +IF(AND($F40&lt;&gt;"",$F40&lt;&gt;0),
                        SUMIF(CÁLCULO!$AM$15:$AW$93,CRONO!Z$12,CÁLCULO!$AB$15:$AL$93)/(ORÇAMENTO!$X$15-CÁLCULO.TotalAdmLocal)*CRONO!$F40,
                        0),
                 Z39*$S38),
          SUMIF(OFFSET($S40,1,0,$R38-2),($M38+1)&amp;"$",OFFSET(Z40,1,0,$R38-2)))</f>
        <v>99630.49</v>
      </c>
      <c r="AA40" s="202" cm="1">
        <f t="array" aca="1" ref="AA40" ca="1">IF($R38=2,
         IF(AND(ACOMPANHAMENTO="PLE",ISNUMBER($F38)),
                SUMIF((OFFSET(CÁLCULO!$AM$15:$AW$15,$F38,0,OFFSET(ORÇAMENTO!$D$15,CRONO!$F38,0))),CRONO!AA$12,OFFSET(CÁLCULO!$AB$15:$AL$15,$F38,0,OFFSET(ORÇAMENTO!$D$15,CRONO!$F38,0)))
                +IF(AND($F40&lt;&gt;"",$F40&lt;&gt;0),
                        SUMIF(CÁLCULO!$AM$15:$AW$93,CRONO!AA$12,CÁLCULO!$AB$15:$AL$93)/(ORÇAMENTO!$X$15-CÁLCULO.TotalAdmLocal)*CRONO!$F40,
                        0),
                 AA39*$S38),
          SUMIF(OFFSET($S40,1,0,$R38-2),($M38+1)&amp;"$",OFFSET(AA40,1,0,$R38-2)))</f>
        <v>99630.49</v>
      </c>
      <c r="AB40" s="202" cm="1">
        <f t="array" aca="1" ref="AB40" ca="1">IF($R38=2,
         IF(AND(ACOMPANHAMENTO="PLE",ISNUMBER($F38)),
                SUMIF((OFFSET(CÁLCULO!$AM$15:$AW$15,$F38,0,OFFSET(ORÇAMENTO!$D$15,CRONO!$F38,0))),CRONO!AB$12,OFFSET(CÁLCULO!$AB$15:$AL$15,$F38,0,OFFSET(ORÇAMENTO!$D$15,CRONO!$F38,0)))
                +IF(AND($F40&lt;&gt;"",$F40&lt;&gt;0),
                        SUMIF(CÁLCULO!$AM$15:$AW$93,CRONO!AB$12,CÁLCULO!$AB$15:$AL$93)/(ORÇAMENTO!$X$15-CÁLCULO.TotalAdmLocal)*CRONO!$F40,
                        0),
                 AB39*$S38),
          SUMIF(OFFSET($S40,1,0,$R38-2),($M38+1)&amp;"$",OFFSET(AB40,1,0,$R38-2)))</f>
        <v>99630.49</v>
      </c>
      <c r="AC40" s="202" cm="1">
        <f t="array" aca="1" ref="AC40" ca="1">IF($R38=2,
         IF(AND(ACOMPANHAMENTO="PLE",ISNUMBER($F38)),
                SUMIF((OFFSET(CÁLCULO!$AM$15:$AW$15,$F38,0,OFFSET(ORÇAMENTO!$D$15,CRONO!$F38,0))),CRONO!AC$12,OFFSET(CÁLCULO!$AB$15:$AL$15,$F38,0,OFFSET(ORÇAMENTO!$D$15,CRONO!$F38,0)))
                +IF(AND($F40&lt;&gt;"",$F40&lt;&gt;0),
                        SUMIF(CÁLCULO!$AM$15:$AW$93,CRONO!AC$12,CÁLCULO!$AB$15:$AL$93)/(ORÇAMENTO!$X$15-CÁLCULO.TotalAdmLocal)*CRONO!$F40,
                        0),
                 AC39*$S38),
          SUMIF(OFFSET($S40,1,0,$R38-2),($M38+1)&amp;"$",OFFSET(AC40,1,0,$R38-2)))</f>
        <v>99630.49</v>
      </c>
      <c r="AD40" s="202" cm="1">
        <f t="array" aca="1" ref="AD40" ca="1">IF($R38=2,
         IF(AND(ACOMPANHAMENTO="PLE",ISNUMBER($F38)),
                SUMIF((OFFSET(CÁLCULO!$AM$15:$AW$15,$F38,0,OFFSET(ORÇAMENTO!$D$15,CRONO!$F38,0))),CRONO!AD$12,OFFSET(CÁLCULO!$AB$15:$AL$15,$F38,0,OFFSET(ORÇAMENTO!$D$15,CRONO!$F38,0)))
                +IF(AND($F40&lt;&gt;"",$F40&lt;&gt;0),
                        SUMIF(CÁLCULO!$AM$15:$AW$93,CRONO!AD$12,CÁLCULO!$AB$15:$AL$93)/(ORÇAMENTO!$X$15-CÁLCULO.TotalAdmLocal)*CRONO!$F40,
                        0),
                 AD39*$S38),
          SUMIF(OFFSET($S40,1,0,$R38-2),($M38+1)&amp;"$",OFFSET(AD40,1,0,$R38-2)))</f>
        <v>0</v>
      </c>
      <c r="AE40" s="202" cm="1">
        <f t="array" aca="1" ref="AE40" ca="1">IF($R38=2,
         IF(AND(ACOMPANHAMENTO="PLE",ISNUMBER($F38)),
                SUMIF((OFFSET(CÁLCULO!$AM$15:$AW$15,$F38,0,OFFSET(ORÇAMENTO!$D$15,CRONO!$F38,0))),CRONO!AE$12,OFFSET(CÁLCULO!$AB$15:$AL$15,$F38,0,OFFSET(ORÇAMENTO!$D$15,CRONO!$F38,0)))
                +IF(AND($F40&lt;&gt;"",$F40&lt;&gt;0),
                        SUMIF(CÁLCULO!$AM$15:$AW$93,CRONO!AE$12,CÁLCULO!$AB$15:$AL$93)/(ORÇAMENTO!$X$15-CÁLCULO.TotalAdmLocal)*CRONO!$F40,
                        0),
                 AE39*$S38),
          SUMIF(OFFSET($S40,1,0,$R38-2),($M38+1)&amp;"$",OFFSET(AE40,1,0,$R38-2)))</f>
        <v>0</v>
      </c>
      <c r="AF40" s="202" cm="1">
        <f t="array" aca="1" ref="AF40" ca="1">IF($R38=2,
         IF(AND(ACOMPANHAMENTO="PLE",ISNUMBER($F38)),
                SUMIF((OFFSET(CÁLCULO!$AM$15:$AW$15,$F38,0,OFFSET(ORÇAMENTO!$D$15,CRONO!$F38,0))),CRONO!AF$12,OFFSET(CÁLCULO!$AB$15:$AL$15,$F38,0,OFFSET(ORÇAMENTO!$D$15,CRONO!$F38,0)))
                +IF(AND($F40&lt;&gt;"",$F40&lt;&gt;0),
                        SUMIF(CÁLCULO!$AM$15:$AW$93,CRONO!AF$12,CÁLCULO!$AB$15:$AL$93)/(ORÇAMENTO!$X$15-CÁLCULO.TotalAdmLocal)*CRONO!$F40,
                        0),
                 AF39*$S38),
          SUMIF(OFFSET($S40,1,0,$R38-2),($M38+1)&amp;"$",OFFSET(AF40,1,0,$R38-2)))</f>
        <v>0</v>
      </c>
      <c r="AG40" s="534"/>
    </row>
    <row r="41" spans="1:33" x14ac:dyDescent="0.2">
      <c r="A41" s="186" t="str">
        <f t="shared" ref="A41" ca="1" si="56">IF($M41&gt;1,_xlfn.CONCAT($I41," ",$J41),"")</f>
        <v>1.9. POÇO</v>
      </c>
      <c r="B41" s="185">
        <f t="shared" ref="B41" ca="1" si="57">OFFSET(B41,-3,0)+1</f>
        <v>10</v>
      </c>
      <c r="C41" s="185">
        <f ca="1">IF($R41&lt;&gt;2,0,IF($S41=0,1,IF(F42&gt;0,OFFSET(QCI!$M$13,SUBSTITUTE(F42,".",""),0),OFFSET(ORÇAMENTO!$AA$15,CRONO!$F41,0))/$S41))</f>
        <v>0</v>
      </c>
      <c r="D41" s="185">
        <f ca="1">IF($R41&lt;&gt;2,0,IF($S41=0,1,IF(F42&gt;0,OFFSET(QCI!$N$13,SUBSTITUTE(F42,".",""),0),OFFSET(ORÇAMENTO!$AB$15,CRONO!$F41,0))/$S41))</f>
        <v>0</v>
      </c>
      <c r="E41" s="188" cm="1">
        <f t="array" aca="1" ref="E41" ca="1">IF(AND($R41=2,ACOMPANHAMENTO="BM"),ROUND(E42,4),E43/$S41)</f>
        <v>0</v>
      </c>
      <c r="F41" s="185" cm="1">
        <f t="array" aca="1" ref="F41" ca="1">IF(B41&lt;=ORÇAMENTO.MáximoListaCrono,MATCH(B41,ORÇAMENTO.ListaCrono,0),NA())</f>
        <v>72</v>
      </c>
      <c r="G41" s="185" t="str">
        <f t="shared" ref="G41" ca="1" si="58">IF(AND($F42&lt;&gt;-1,$S41&gt;0),"F","")</f>
        <v>F</v>
      </c>
      <c r="H41" s="189" t="str" cm="1">
        <f t="array" aca="1" ref="H41" ca="1">IF(OR(S41=0,S41=""),"Linha",IF(AND(OR(ACOMPANHAMENTO="PLE",$R41&lt;&gt;2),$F42=0),"Linha",ROUND(1-SUM(U41:AG41),4)))</f>
        <v>Linha</v>
      </c>
      <c r="I41" s="190" t="str">
        <f ca="1">IF($F42=0,OFFSET(ORÇAMENTO!O$15,$F41,0),IF($F42&lt;&gt;-1,OFFSET(QCI!$D$13,$F42,0),""))</f>
        <v>1.9.</v>
      </c>
      <c r="J41" s="191" t="str">
        <f ca="1">IF($F42=0,OFFSET(ORÇAMENTO!R$15,$F41,0),IF($F42&lt;&gt;-1,OFFSET(QCI!$G$13,$F42,0),""))</f>
        <v>POÇO</v>
      </c>
      <c r="K41" s="191"/>
      <c r="L41" s="191"/>
      <c r="M41" s="192">
        <f ca="1">IF($F42=0,OFFSET(ORÇAMENTO!C$15,$F41,0),1)</f>
        <v>2</v>
      </c>
      <c r="N41" s="193">
        <f ca="1">IF($F42=-1,0,IF(N$13&lt;=$M41,IF(ISERROR(MATCH(N$13,OFFSET($M41,1,0,ROW($M$47)-ROW($M41)-1),0)),ROW($M$47)-ROW($M41)-1,MATCH(N$13,OFFSET($M41,1,0,ROW($M$47)-ROW($M41)-1),0)-1),0))</f>
        <v>5</v>
      </c>
      <c r="O41" s="193">
        <f ca="1">IF($F42=-1,0,IF(O$13&lt;=$M41,IF(ISERROR(MATCH(O$13,OFFSET($M41,1,0,ROW($M$47)-ROW($M41)-1),0)),ROW($M$47)-ROW($M41)-1,MATCH(O$13,OFFSET($M41,1,0,ROW($M$47)-ROW($M41)-1),0)-1),0))</f>
        <v>2</v>
      </c>
      <c r="P41" s="193">
        <f ca="1">IF($F42=-1,0,IF(P$13&lt;=$M41,IF(ISERROR(MATCH(P$13,OFFSET($M41,1,0,ROW($M$47)-ROW($M41)-1),0)),ROW($M$47)-ROW($M41)-1,MATCH(P$13,OFFSET($M41,1,0,ROW($M$47)-ROW($M41)-1),0)-1),0))</f>
        <v>0</v>
      </c>
      <c r="Q41" s="193">
        <f ca="1">IF($F42=-1,0,IF(Q$13&lt;=$M41,IF(ISERROR(MATCH(Q$13,OFFSET($M41,1,0,ROW($M$47)-ROW($M41)-1),0)),ROW($M$47)-ROW($M41)-1,MATCH(Q$13,OFFSET($M41,1,0,ROW($M$47)-ROW($M41)-1),0)-1),0))</f>
        <v>0</v>
      </c>
      <c r="R41" s="193">
        <f t="shared" ref="R41" ca="1" si="59">MIN(OFFSET(M41,0,1,,M41))</f>
        <v>2</v>
      </c>
      <c r="S41" s="194">
        <f ca="1">IF($F42=0,OFFSET(ORÇAMENTO!X$15,$F41,0),IF($F42&lt;&gt;-1,OFFSET(QCI!$O$13,$F42,0),""))</f>
        <v>54398</v>
      </c>
      <c r="T41" s="195" t="s">
        <v>785</v>
      </c>
      <c r="U41" s="188" cm="1">
        <f t="array" aca="1" ref="U41" ca="1">IF(AND($R41=2,ACOMPANHAMENTO="BM"),ROUND(U42,4),U43/$S41)</f>
        <v>0</v>
      </c>
      <c r="V41" s="188" cm="1">
        <f t="array" aca="1" ref="V41" ca="1">IF(AND($R41=2,ACOMPANHAMENTO="BM"),ROUND(V42,4),V43/$S41)</f>
        <v>0.5</v>
      </c>
      <c r="W41" s="188" cm="1">
        <f t="array" aca="1" ref="W41" ca="1">IF(AND($R41=2,ACOMPANHAMENTO="BM"),ROUND(W42,4),W43/$S41)</f>
        <v>0.5</v>
      </c>
      <c r="X41" s="188" cm="1">
        <f t="array" aca="1" ref="X41" ca="1">IF(AND($R41=2,ACOMPANHAMENTO="BM"),ROUND(X42,4),X43/$S41)</f>
        <v>0</v>
      </c>
      <c r="Y41" s="188" cm="1">
        <f t="array" aca="1" ref="Y41" ca="1">IF(AND($R41=2,ACOMPANHAMENTO="BM"),ROUND(Y42,4),Y43/$S41)</f>
        <v>0</v>
      </c>
      <c r="Z41" s="188" cm="1">
        <f t="array" aca="1" ref="Z41" ca="1">IF(AND($R41=2,ACOMPANHAMENTO="BM"),ROUND(Z42,4),Z43/$S41)</f>
        <v>0</v>
      </c>
      <c r="AA41" s="188" cm="1">
        <f t="array" aca="1" ref="AA41" ca="1">IF(AND($R41=2,ACOMPANHAMENTO="BM"),ROUND(AA42,4),AA43/$S41)</f>
        <v>0</v>
      </c>
      <c r="AB41" s="188" cm="1">
        <f t="array" aca="1" ref="AB41" ca="1">IF(AND($R41=2,ACOMPANHAMENTO="BM"),ROUND(AB42,4),AB43/$S41)</f>
        <v>0</v>
      </c>
      <c r="AC41" s="188" cm="1">
        <f t="array" aca="1" ref="AC41" ca="1">IF(AND($R41=2,ACOMPANHAMENTO="BM"),ROUND(AC42,4),AC43/$S41)</f>
        <v>0</v>
      </c>
      <c r="AD41" s="188" cm="1">
        <f t="array" aca="1" ref="AD41" ca="1">IF(AND($R41=2,ACOMPANHAMENTO="BM"),ROUND(AD42,4),AD43/$S41)</f>
        <v>0</v>
      </c>
      <c r="AE41" s="188" cm="1">
        <f t="array" aca="1" ref="AE41" ca="1">IF(AND($R41=2,ACOMPANHAMENTO="BM"),ROUND(AE42,4),AE43/$S41)</f>
        <v>0</v>
      </c>
      <c r="AF41" s="188" cm="1">
        <f t="array" aca="1" ref="AF41" ca="1">IF(AND($R41=2,ACOMPANHAMENTO="BM"),ROUND(AF42,4),AF43/$S41)</f>
        <v>0</v>
      </c>
      <c r="AG41" s="534"/>
    </row>
    <row r="42" spans="1:33" ht="12.75" hidden="1" customHeight="1" x14ac:dyDescent="0.2">
      <c r="E42" s="587"/>
      <c r="F42" s="185">
        <f ca="1">IF(ISERROR(F41),IF(1+COUNTIF($M$13:OFFSET(M41,-1,0),1)&lt;=MAX(QCI!$D$13:$D$15),1+COUNTIF($M$13:OFFSET(M41,-1,0),1),-1),0)</f>
        <v>0</v>
      </c>
      <c r="G42" s="185" t="str" cm="1">
        <f t="array" aca="1" ref="G42" ca="1">IF(ACOMPANHAMENTO="BM",OFFSET(G42,-1,0),"")</f>
        <v/>
      </c>
      <c r="H42" s="196" t="str" cm="1">
        <f t="array" aca="1" ref="H42" ca="1">IF(OR(S41=0,S41=""),"vazia",IF(AND(OR(ACOMPANHAMENTO="PLE",$R41&lt;&gt;2),$F42=0),"calculada","--&gt;"))</f>
        <v>calculada</v>
      </c>
      <c r="I42" s="197"/>
      <c r="J42" s="198" t="str">
        <f t="shared" ref="J42" ca="1" si="60">IF(AND(H41&lt;&gt;0,ISNUMBER(H41)),"PREENCHA ESTA LINHA --&gt;","")</f>
        <v/>
      </c>
      <c r="K42" s="198"/>
      <c r="L42" s="198"/>
      <c r="M42" s="199"/>
      <c r="N42" s="199"/>
      <c r="O42" s="199"/>
      <c r="P42" s="199"/>
      <c r="Q42" s="199"/>
      <c r="R42" s="199"/>
      <c r="S42" s="200"/>
      <c r="T42" s="201"/>
      <c r="U42" s="587"/>
      <c r="V42" s="587"/>
      <c r="W42" s="587"/>
      <c r="X42" s="587"/>
      <c r="Y42" s="587"/>
      <c r="Z42" s="587"/>
      <c r="AA42" s="587"/>
      <c r="AB42" s="587"/>
      <c r="AC42" s="587"/>
      <c r="AD42" s="587"/>
      <c r="AE42" s="587"/>
      <c r="AF42" s="587"/>
      <c r="AG42" s="534"/>
    </row>
    <row r="43" spans="1:33" ht="12.75" hidden="1" customHeight="1" x14ac:dyDescent="0.2">
      <c r="D43" s="533"/>
      <c r="E43" s="202" cm="1">
        <f t="array" aca="1" ref="E43" ca="1">IF($R41=2,
         IF(AND(ACOMPANHAMENTO="PLE",ISNUMBER($F41)),
                SUMIF((OFFSET(CÁLCULO!$AM$15:$AW$15,$F41,0,OFFSET(ORÇAMENTO!$D$15,CRONO!$F41,0))),CRONO!E$12,OFFSET(CÁLCULO!$AB$15:$AL$15,$F41,0,OFFSET(ORÇAMENTO!$D$15,CRONO!$F41,0)))
                +IF(AND($F43&lt;&gt;"",$F43&lt;&gt;0),
                        SUMIF(CÁLCULO!$AM$15:$AW$93,CRONO!E$12,CÁLCULO!$AB$15:$AL$93)/(ORÇAMENTO!$X$15-CÁLCULO.TotalAdmLocal)*CRONO!$F43,
                        0),
                 E42*$S41),
          SUMIF(OFFSET($S43,1,0,$R41-2),($M41+1)&amp;"$",OFFSET(E43,1,0,$R41-2)))</f>
        <v>0</v>
      </c>
      <c r="F43" s="185">
        <f ca="1">IF(OR($R41&lt;&gt;2,AUTOEVENTO&lt;&gt;"manual",$F42&gt;0),"",
        IF(Import.TipoArredondamento="Tradicional",
              SUMIF(OFFSET(CÁLCULO!$M$15,CRONO!$F41,0,OFFSET(ORÇAMENTO!$D$15,CRONO!$F41,0)),1,OFFSET(ORÇAMENTO!$X$15,CRONO!$F41,0,OFFSET(ORÇAMENTO!$D$15,CRONO!$F41,0))),
              0))</f>
        <v>0</v>
      </c>
      <c r="H43" s="203"/>
      <c r="S43" s="204" t="str">
        <f t="shared" ref="S43" ca="1" si="61">M41&amp;"$"</f>
        <v>2$</v>
      </c>
      <c r="T43" s="205"/>
      <c r="U43" s="202" cm="1">
        <f t="array" aca="1" ref="U43" ca="1">IF($R41=2,
         IF(AND(ACOMPANHAMENTO="PLE",ISNUMBER($F41)),
                SUMIF((OFFSET(CÁLCULO!$AM$15:$AW$15,$F41,0,OFFSET(ORÇAMENTO!$D$15,CRONO!$F41,0))),CRONO!U$12,OFFSET(CÁLCULO!$AB$15:$AL$15,$F41,0,OFFSET(ORÇAMENTO!$D$15,CRONO!$F41,0)))
                +IF(AND($F43&lt;&gt;"",$F43&lt;&gt;0),
                        SUMIF(CÁLCULO!$AM$15:$AW$93,CRONO!U$12,CÁLCULO!$AB$15:$AL$93)/(ORÇAMENTO!$X$15-CÁLCULO.TotalAdmLocal)*CRONO!$F43,
                        0),
                 U42*$S41),
          SUMIF(OFFSET($S43,1,0,$R41-2),($M41+1)&amp;"$",OFFSET(U43,1,0,$R41-2)))</f>
        <v>0</v>
      </c>
      <c r="V43" s="202" cm="1">
        <f t="array" aca="1" ref="V43" ca="1">IF($R41=2,
         IF(AND(ACOMPANHAMENTO="PLE",ISNUMBER($F41)),
                SUMIF((OFFSET(CÁLCULO!$AM$15:$AW$15,$F41,0,OFFSET(ORÇAMENTO!$D$15,CRONO!$F41,0))),CRONO!V$12,OFFSET(CÁLCULO!$AB$15:$AL$15,$F41,0,OFFSET(ORÇAMENTO!$D$15,CRONO!$F41,0)))
                +IF(AND($F43&lt;&gt;"",$F43&lt;&gt;0),
                        SUMIF(CÁLCULO!$AM$15:$AW$93,CRONO!V$12,CÁLCULO!$AB$15:$AL$93)/(ORÇAMENTO!$X$15-CÁLCULO.TotalAdmLocal)*CRONO!$F43,
                        0),
                 V42*$S41),
          SUMIF(OFFSET($S43,1,0,$R41-2),($M41+1)&amp;"$",OFFSET(V43,1,0,$R41-2)))</f>
        <v>27199</v>
      </c>
      <c r="W43" s="202" cm="1">
        <f t="array" aca="1" ref="W43" ca="1">IF($R41=2,
         IF(AND(ACOMPANHAMENTO="PLE",ISNUMBER($F41)),
                SUMIF((OFFSET(CÁLCULO!$AM$15:$AW$15,$F41,0,OFFSET(ORÇAMENTO!$D$15,CRONO!$F41,0))),CRONO!W$12,OFFSET(CÁLCULO!$AB$15:$AL$15,$F41,0,OFFSET(ORÇAMENTO!$D$15,CRONO!$F41,0)))
                +IF(AND($F43&lt;&gt;"",$F43&lt;&gt;0),
                        SUMIF(CÁLCULO!$AM$15:$AW$93,CRONO!W$12,CÁLCULO!$AB$15:$AL$93)/(ORÇAMENTO!$X$15-CÁLCULO.TotalAdmLocal)*CRONO!$F43,
                        0),
                 W42*$S41),
          SUMIF(OFFSET($S43,1,0,$R41-2),($M41+1)&amp;"$",OFFSET(W43,1,0,$R41-2)))</f>
        <v>27199</v>
      </c>
      <c r="X43" s="202" cm="1">
        <f t="array" aca="1" ref="X43" ca="1">IF($R41=2,
         IF(AND(ACOMPANHAMENTO="PLE",ISNUMBER($F41)),
                SUMIF((OFFSET(CÁLCULO!$AM$15:$AW$15,$F41,0,OFFSET(ORÇAMENTO!$D$15,CRONO!$F41,0))),CRONO!X$12,OFFSET(CÁLCULO!$AB$15:$AL$15,$F41,0,OFFSET(ORÇAMENTO!$D$15,CRONO!$F41,0)))
                +IF(AND($F43&lt;&gt;"",$F43&lt;&gt;0),
                        SUMIF(CÁLCULO!$AM$15:$AW$93,CRONO!X$12,CÁLCULO!$AB$15:$AL$93)/(ORÇAMENTO!$X$15-CÁLCULO.TotalAdmLocal)*CRONO!$F43,
                        0),
                 X42*$S41),
          SUMIF(OFFSET($S43,1,0,$R41-2),($M41+1)&amp;"$",OFFSET(X43,1,0,$R41-2)))</f>
        <v>0</v>
      </c>
      <c r="Y43" s="202" cm="1">
        <f t="array" aca="1" ref="Y43" ca="1">IF($R41=2,
         IF(AND(ACOMPANHAMENTO="PLE",ISNUMBER($F41)),
                SUMIF((OFFSET(CÁLCULO!$AM$15:$AW$15,$F41,0,OFFSET(ORÇAMENTO!$D$15,CRONO!$F41,0))),CRONO!Y$12,OFFSET(CÁLCULO!$AB$15:$AL$15,$F41,0,OFFSET(ORÇAMENTO!$D$15,CRONO!$F41,0)))
                +IF(AND($F43&lt;&gt;"",$F43&lt;&gt;0),
                        SUMIF(CÁLCULO!$AM$15:$AW$93,CRONO!Y$12,CÁLCULO!$AB$15:$AL$93)/(ORÇAMENTO!$X$15-CÁLCULO.TotalAdmLocal)*CRONO!$F43,
                        0),
                 Y42*$S41),
          SUMIF(OFFSET($S43,1,0,$R41-2),($M41+1)&amp;"$",OFFSET(Y43,1,0,$R41-2)))</f>
        <v>0</v>
      </c>
      <c r="Z43" s="202" cm="1">
        <f t="array" aca="1" ref="Z43" ca="1">IF($R41=2,
         IF(AND(ACOMPANHAMENTO="PLE",ISNUMBER($F41)),
                SUMIF((OFFSET(CÁLCULO!$AM$15:$AW$15,$F41,0,OFFSET(ORÇAMENTO!$D$15,CRONO!$F41,0))),CRONO!Z$12,OFFSET(CÁLCULO!$AB$15:$AL$15,$F41,0,OFFSET(ORÇAMENTO!$D$15,CRONO!$F41,0)))
                +IF(AND($F43&lt;&gt;"",$F43&lt;&gt;0),
                        SUMIF(CÁLCULO!$AM$15:$AW$93,CRONO!Z$12,CÁLCULO!$AB$15:$AL$93)/(ORÇAMENTO!$X$15-CÁLCULO.TotalAdmLocal)*CRONO!$F43,
                        0),
                 Z42*$S41),
          SUMIF(OFFSET($S43,1,0,$R41-2),($M41+1)&amp;"$",OFFSET(Z43,1,0,$R41-2)))</f>
        <v>0</v>
      </c>
      <c r="AA43" s="202" cm="1">
        <f t="array" aca="1" ref="AA43" ca="1">IF($R41=2,
         IF(AND(ACOMPANHAMENTO="PLE",ISNUMBER($F41)),
                SUMIF((OFFSET(CÁLCULO!$AM$15:$AW$15,$F41,0,OFFSET(ORÇAMENTO!$D$15,CRONO!$F41,0))),CRONO!AA$12,OFFSET(CÁLCULO!$AB$15:$AL$15,$F41,0,OFFSET(ORÇAMENTO!$D$15,CRONO!$F41,0)))
                +IF(AND($F43&lt;&gt;"",$F43&lt;&gt;0),
                        SUMIF(CÁLCULO!$AM$15:$AW$93,CRONO!AA$12,CÁLCULO!$AB$15:$AL$93)/(ORÇAMENTO!$X$15-CÁLCULO.TotalAdmLocal)*CRONO!$F43,
                        0),
                 AA42*$S41),
          SUMIF(OFFSET($S43,1,0,$R41-2),($M41+1)&amp;"$",OFFSET(AA43,1,0,$R41-2)))</f>
        <v>0</v>
      </c>
      <c r="AB43" s="202" cm="1">
        <f t="array" aca="1" ref="AB43" ca="1">IF($R41=2,
         IF(AND(ACOMPANHAMENTO="PLE",ISNUMBER($F41)),
                SUMIF((OFFSET(CÁLCULO!$AM$15:$AW$15,$F41,0,OFFSET(ORÇAMENTO!$D$15,CRONO!$F41,0))),CRONO!AB$12,OFFSET(CÁLCULO!$AB$15:$AL$15,$F41,0,OFFSET(ORÇAMENTO!$D$15,CRONO!$F41,0)))
                +IF(AND($F43&lt;&gt;"",$F43&lt;&gt;0),
                        SUMIF(CÁLCULO!$AM$15:$AW$93,CRONO!AB$12,CÁLCULO!$AB$15:$AL$93)/(ORÇAMENTO!$X$15-CÁLCULO.TotalAdmLocal)*CRONO!$F43,
                        0),
                 AB42*$S41),
          SUMIF(OFFSET($S43,1,0,$R41-2),($M41+1)&amp;"$",OFFSET(AB43,1,0,$R41-2)))</f>
        <v>0</v>
      </c>
      <c r="AC43" s="202" cm="1">
        <f t="array" aca="1" ref="AC43" ca="1">IF($R41=2,
         IF(AND(ACOMPANHAMENTO="PLE",ISNUMBER($F41)),
                SUMIF((OFFSET(CÁLCULO!$AM$15:$AW$15,$F41,0,OFFSET(ORÇAMENTO!$D$15,CRONO!$F41,0))),CRONO!AC$12,OFFSET(CÁLCULO!$AB$15:$AL$15,$F41,0,OFFSET(ORÇAMENTO!$D$15,CRONO!$F41,0)))
                +IF(AND($F43&lt;&gt;"",$F43&lt;&gt;0),
                        SUMIF(CÁLCULO!$AM$15:$AW$93,CRONO!AC$12,CÁLCULO!$AB$15:$AL$93)/(ORÇAMENTO!$X$15-CÁLCULO.TotalAdmLocal)*CRONO!$F43,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SUMIF(CÁLCULO!$AM$15:$AW$93,CRONO!AD$12,CÁLCULO!$AB$15:$AL$93)/(ORÇAMENTO!$X$15-CÁLCULO.TotalAdmLocal)*CRONO!$F43,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SUMIF(CÁLCULO!$AM$15:$AW$93,CRONO!AE$12,CÁLCULO!$AB$15:$AL$93)/(ORÇAMENTO!$X$15-CÁLCULO.TotalAdmLocal)*CRONO!$F43,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SUMIF(CÁLCULO!$AM$15:$AW$93,CRONO!AF$12,CÁLCULO!$AB$15:$AL$93)/(ORÇAMENTO!$X$15-CÁLCULO.TotalAdmLocal)*CRONO!$F43,
                        0),
                 AF42*$S41),
          SUMIF(OFFSET($S43,1,0,$R41-2),($M41+1)&amp;"$",OFFSET(AF43,1,0,$R41-2)))</f>
        <v>0</v>
      </c>
      <c r="AG43" s="534"/>
    </row>
    <row r="44" spans="1:33" x14ac:dyDescent="0.2">
      <c r="A44" s="186" t="str">
        <f ca="1">IF($M44&gt;1,_xlfn.CONCAT($I44," ",$J44),"")</f>
        <v>1.10. REDE ELÉTRICA (EXTENSÃO)</v>
      </c>
      <c r="B44" s="185">
        <f ca="1">OFFSET(B44,-3,0)+1</f>
        <v>11</v>
      </c>
      <c r="C44" s="185">
        <f ca="1">IF($R44&lt;&gt;2,0,IF($S44=0,1,IF(F45&gt;0,OFFSET(QCI!$M$13,SUBSTITUTE(F45,".",""),0),OFFSET(ORÇAMENTO!$AA$15,CRONO!$F44,0))/$S44))</f>
        <v>0</v>
      </c>
      <c r="D44" s="185">
        <f ca="1">IF($R44&lt;&gt;2,0,IF($S44=0,1,IF(F45&gt;0,OFFSET(QCI!$N$13,SUBSTITUTE(F45,".",""),0),OFFSET(ORÇAMENTO!$AB$15,CRONO!$F44,0))/$S44))</f>
        <v>0</v>
      </c>
      <c r="E44" s="188" cm="1">
        <f t="array" aca="1" ref="E44" ca="1">IF(AND($R44=2,ACOMPANHAMENTO="BM"),ROUND(E45,4),E46/$S44)</f>
        <v>0</v>
      </c>
      <c r="F44" s="185" cm="1">
        <f t="array" aca="1" ref="F44" ca="1">IF(B44&lt;=ORÇAMENTO.MáximoListaCrono,MATCH(B44,ORÇAMENTO.ListaCrono,0),NA())</f>
        <v>74</v>
      </c>
      <c r="G44" s="185" t="str">
        <f ca="1">IF(AND($F45&lt;&gt;-1,$S44&gt;0),"F","")</f>
        <v>F</v>
      </c>
      <c r="H44" s="189" t="str" cm="1">
        <f t="array" aca="1" ref="H44" ca="1">IF(OR(S44=0,S44=""),"Linha",IF(AND(OR(ACOMPANHAMENTO="PLE",$R44&lt;&gt;2),$F45=0),"Linha",ROUND(1-SUM(U44:AG44),4)))</f>
        <v>Linha</v>
      </c>
      <c r="I44" s="190" t="str">
        <f ca="1">IF($F45=0,OFFSET(ORÇAMENTO!O$15,$F44,0),IF($F45&lt;&gt;-1,OFFSET(QCI!$D$13,$F45,0),""))</f>
        <v>1.10.</v>
      </c>
      <c r="J44" s="191" t="str">
        <f ca="1">IF($F45=0,OFFSET(ORÇAMENTO!R$15,$F44,0),IF($F45&lt;&gt;-1,OFFSET(QCI!$G$13,$F45,0),""))</f>
        <v>REDE ELÉTRICA (EXTENSÃO)</v>
      </c>
      <c r="K44" s="191"/>
      <c r="L44" s="191"/>
      <c r="M44" s="192">
        <f ca="1">IF($F45=0,OFFSET(ORÇAMENTO!C$15,$F44,0),1)</f>
        <v>2</v>
      </c>
      <c r="N44" s="193">
        <f ca="1">IF($F45=-1,0,IF(N$13&lt;=$M44,IF(ISERROR(MATCH(N$13,OFFSET($M44,1,0,ROW($M$47)-ROW($M44)-1),0)),ROW($M$47)-ROW($M44)-1,MATCH(N$13,OFFSET($M44,1,0,ROW($M$47)-ROW($M44)-1),0)-1),0))</f>
        <v>2</v>
      </c>
      <c r="O44" s="193">
        <f ca="1">IF($F45=-1,0,IF(O$13&lt;=$M44,IF(ISERROR(MATCH(O$13,OFFSET($M44,1,0,ROW($M$47)-ROW($M44)-1),0)),ROW($M$47)-ROW($M44)-1,MATCH(O$13,OFFSET($M44,1,0,ROW($M$47)-ROW($M44)-1),0)-1),0))</f>
        <v>2</v>
      </c>
      <c r="P44" s="193">
        <f ca="1">IF($F45=-1,0,IF(P$13&lt;=$M44,IF(ISERROR(MATCH(P$13,OFFSET($M44,1,0,ROW($M$47)-ROW($M44)-1),0)),ROW($M$47)-ROW($M44)-1,MATCH(P$13,OFFSET($M44,1,0,ROW($M$47)-ROW($M44)-1),0)-1),0))</f>
        <v>0</v>
      </c>
      <c r="Q44" s="193">
        <f ca="1">IF($F45=-1,0,IF(Q$13&lt;=$M44,IF(ISERROR(MATCH(Q$13,OFFSET($M44,1,0,ROW($M$47)-ROW($M44)-1),0)),ROW($M$47)-ROW($M44)-1,MATCH(Q$13,OFFSET($M44,1,0,ROW($M$47)-ROW($M44)-1),0)-1),0))</f>
        <v>0</v>
      </c>
      <c r="R44" s="193">
        <f ca="1">MIN(OFFSET(M44,0,1,,M44))</f>
        <v>2</v>
      </c>
      <c r="S44" s="194">
        <f ca="1">IF($F45=0,OFFSET(ORÇAMENTO!X$15,$F44,0),IF($F45&lt;&gt;-1,OFFSET(QCI!$O$13,$F45,0),""))</f>
        <v>247175.94</v>
      </c>
      <c r="T44" s="195" t="s">
        <v>785</v>
      </c>
      <c r="U44" s="188" cm="1">
        <f t="array" aca="1" ref="U44" ca="1">IF(AND($R44=2,ACOMPANHAMENTO="BM"),ROUND(U45,4),U46/$S44)</f>
        <v>0</v>
      </c>
      <c r="V44" s="188" cm="1">
        <f t="array" aca="1" ref="V44" ca="1">IF(AND($R44=2,ACOMPANHAMENTO="BM"),ROUND(V45,4),V46/$S44)</f>
        <v>0.20000049357554783</v>
      </c>
      <c r="W44" s="188" cm="1">
        <f t="array" aca="1" ref="W44" ca="1">IF(AND($R44=2,ACOMPANHAMENTO="BM"),ROUND(W45,4),W46/$S44)</f>
        <v>0.20000049357554783</v>
      </c>
      <c r="X44" s="188" cm="1">
        <f t="array" aca="1" ref="X44" ca="1">IF(AND($R44=2,ACOMPANHAMENTO="BM"),ROUND(X45,4),X46/$S44)</f>
        <v>0.20000049357554783</v>
      </c>
      <c r="Y44" s="188" cm="1">
        <f t="array" aca="1" ref="Y44" ca="1">IF(AND($R44=2,ACOMPANHAMENTO="BM"),ROUND(Y45,4),Y46/$S44)</f>
        <v>0.20000049357554783</v>
      </c>
      <c r="Z44" s="188" cm="1">
        <f t="array" aca="1" ref="Z44" ca="1">IF(AND($R44=2,ACOMPANHAMENTO="BM"),ROUND(Z45,4),Z46/$S44)</f>
        <v>0.19999802569780861</v>
      </c>
      <c r="AA44" s="188" cm="1">
        <f t="array" aca="1" ref="AA44" ca="1">IF(AND($R44=2,ACOMPANHAMENTO="BM"),ROUND(AA45,4),AA46/$S44)</f>
        <v>0</v>
      </c>
      <c r="AB44" s="188" cm="1">
        <f t="array" aca="1" ref="AB44" ca="1">IF(AND($R44=2,ACOMPANHAMENTO="BM"),ROUND(AB45,4),AB46/$S44)</f>
        <v>0</v>
      </c>
      <c r="AC44" s="188" cm="1">
        <f t="array" aca="1" ref="AC44" ca="1">IF(AND($R44=2,ACOMPANHAMENTO="BM"),ROUND(AC45,4),AC46/$S44)</f>
        <v>0</v>
      </c>
      <c r="AD44" s="188" cm="1">
        <f t="array" aca="1" ref="AD44" ca="1">IF(AND($R44=2,ACOMPANHAMENTO="BM"),ROUND(AD45,4),AD46/$S44)</f>
        <v>0</v>
      </c>
      <c r="AE44" s="188" cm="1">
        <f t="array" aca="1" ref="AE44" ca="1">IF(AND($R44=2,ACOMPANHAMENTO="BM"),ROUND(AE45,4),AE46/$S44)</f>
        <v>0</v>
      </c>
      <c r="AF44" s="188" cm="1">
        <f t="array" aca="1" ref="AF44" ca="1">IF(AND($R44=2,ACOMPANHAMENTO="BM"),ROUND(AF45,4),AF46/$S44)</f>
        <v>0</v>
      </c>
      <c r="AG44" s="534"/>
    </row>
    <row r="45" spans="1:33" ht="12.75" hidden="1" customHeight="1" x14ac:dyDescent="0.2">
      <c r="E45" s="587"/>
      <c r="F45" s="185">
        <f ca="1">IF(ISERROR(F44),IF(1+COUNTIF($M$13:OFFSET(M44,-1,0),1)&lt;=MAX(QCI!$D$13:$D$15),1+COUNTIF($M$13:OFFSET(M44,-1,0),1),-1),0)</f>
        <v>0</v>
      </c>
      <c r="G45" s="185" t="str" cm="1">
        <f t="array" aca="1" ref="G45" ca="1">IF(ACOMPANHAMENTO="BM",OFFSET(G45,-1,0),"")</f>
        <v/>
      </c>
      <c r="H45" s="196" t="str" cm="1">
        <f t="array" aca="1" ref="H45" ca="1">IF(OR(S44=0,S44=""),"vazia",IF(AND(OR(ACOMPANHAMENTO="PLE",$R44&lt;&gt;2),$F45=0),"calculada","--&gt;"))</f>
        <v>calculada</v>
      </c>
      <c r="I45" s="197"/>
      <c r="J45" s="198" t="str">
        <f ca="1">IF(AND(H44&lt;&gt;0,ISNUMBER(H44)),"PREENCHA ESTA LINHA --&gt;","")</f>
        <v/>
      </c>
      <c r="K45" s="198"/>
      <c r="L45" s="198"/>
      <c r="M45" s="199"/>
      <c r="N45" s="199"/>
      <c r="O45" s="199"/>
      <c r="P45" s="199"/>
      <c r="Q45" s="199"/>
      <c r="R45" s="199"/>
      <c r="S45" s="200"/>
      <c r="T45" s="201"/>
      <c r="U45" s="587"/>
      <c r="V45" s="587"/>
      <c r="W45" s="587"/>
      <c r="X45" s="587"/>
      <c r="Y45" s="587"/>
      <c r="Z45" s="587"/>
      <c r="AA45" s="587"/>
      <c r="AB45" s="587"/>
      <c r="AC45" s="587"/>
      <c r="AD45" s="587"/>
      <c r="AE45" s="587"/>
      <c r="AF45" s="587"/>
      <c r="AG45" s="534"/>
    </row>
    <row r="46" spans="1:33" ht="12.75" hidden="1" customHeight="1" x14ac:dyDescent="0.2">
      <c r="D46" s="533"/>
      <c r="E46" s="202" cm="1">
        <f t="array" aca="1" ref="E46" ca="1">IF($R44=2,
         IF(AND(ACOMPANHAMENTO="PLE",ISNUMBER($F44)),
                SUMIF((OFFSET(CÁLCULO!$AM$15:$AW$15,$F44,0,OFFSET(ORÇAMENTO!$D$15,CRONO!$F44,0))),CRONO!E$12,OFFSET(CÁLCULO!$AB$15:$AL$15,$F44,0,OFFSET(ORÇAMENTO!$D$15,CRONO!$F44,0)))
                +IF(AND($F46&lt;&gt;"",$F46&lt;&gt;0),
                        SUMIF(CÁLCULO!$AM$15:$AW$93,CRONO!E$12,CÁLCULO!$AB$15:$AL$93)/(ORÇAMENTO!$X$15-CÁLCULO.TotalAdmLocal)*CRONO!$F46,
                        0),
                 E45*$S44),
          SUMIF(OFFSET($S46,1,0,$R44-2),($M44+1)&amp;"$",OFFSET(E46,1,0,$R44-2)))</f>
        <v>0</v>
      </c>
      <c r="F46" s="185">
        <f ca="1">IF(OR($R44&lt;&gt;2,AUTOEVENTO&lt;&gt;"manual",$F45&gt;0),"",
        IF(Import.TipoArredondamento="Tradicional",
              SUMIF(OFFSET(CÁLCULO!$M$15,CRONO!$F44,0,OFFSET(ORÇAMENTO!$D$15,CRONO!$F44,0)),1,OFFSET(ORÇAMENTO!$X$15,CRONO!$F44,0,OFFSET(ORÇAMENTO!$D$15,CRONO!$F44,0))),
              0))</f>
        <v>0</v>
      </c>
      <c r="H46" s="203"/>
      <c r="S46" s="204" t="str">
        <f ca="1">M44&amp;"$"</f>
        <v>2$</v>
      </c>
      <c r="T46" s="205"/>
      <c r="U46" s="202" cm="1">
        <f t="array" aca="1" ref="U46" ca="1">IF($R44=2,
         IF(AND(ACOMPANHAMENTO="PLE",ISNUMBER($F44)),
                SUMIF((OFFSET(CÁLCULO!$AM$15:$AW$15,$F44,0,OFFSET(ORÇAMENTO!$D$15,CRONO!$F44,0))),CRONO!U$12,OFFSET(CÁLCULO!$AB$15:$AL$15,$F44,0,OFFSET(ORÇAMENTO!$D$15,CRONO!$F44,0)))
                +IF(AND($F46&lt;&gt;"",$F46&lt;&gt;0),
                        SUMIF(CÁLCULO!$AM$15:$AW$93,CRONO!U$12,CÁLCULO!$AB$15:$AL$93)/(ORÇAMENTO!$X$15-CÁLCULO.TotalAdmLocal)*CRONO!$F46,
                        0),
                 U45*$S44),
          SUMIF(OFFSET($S46,1,0,$R44-2),($M44+1)&amp;"$",OFFSET(U46,1,0,$R44-2)))</f>
        <v>0</v>
      </c>
      <c r="V46" s="202" cm="1">
        <f t="array" aca="1" ref="V46" ca="1">IF($R44=2,
         IF(AND(ACOMPANHAMENTO="PLE",ISNUMBER($F44)),
                SUMIF((OFFSET(CÁLCULO!$AM$15:$AW$15,$F44,0,OFFSET(ORÇAMENTO!$D$15,CRONO!$F44,0))),CRONO!V$12,OFFSET(CÁLCULO!$AB$15:$AL$15,$F44,0,OFFSET(ORÇAMENTO!$D$15,CRONO!$F44,0)))
                +IF(AND($F46&lt;&gt;"",$F46&lt;&gt;0),
                        SUMIF(CÁLCULO!$AM$15:$AW$93,CRONO!V$12,CÁLCULO!$AB$15:$AL$93)/(ORÇAMENTO!$X$15-CÁLCULO.TotalAdmLocal)*CRONO!$F46,
                        0),
                 V45*$S44),
          SUMIF(OFFSET($S46,1,0,$R44-2),($M44+1)&amp;"$",OFFSET(V46,1,0,$R44-2)))</f>
        <v>49435.31</v>
      </c>
      <c r="W46" s="202" cm="1">
        <f t="array" aca="1" ref="W46" ca="1">IF($R44=2,
         IF(AND(ACOMPANHAMENTO="PLE",ISNUMBER($F44)),
                SUMIF((OFFSET(CÁLCULO!$AM$15:$AW$15,$F44,0,OFFSET(ORÇAMENTO!$D$15,CRONO!$F44,0))),CRONO!W$12,OFFSET(CÁLCULO!$AB$15:$AL$15,$F44,0,OFFSET(ORÇAMENTO!$D$15,CRONO!$F44,0)))
                +IF(AND($F46&lt;&gt;"",$F46&lt;&gt;0),
                        SUMIF(CÁLCULO!$AM$15:$AW$93,CRONO!W$12,CÁLCULO!$AB$15:$AL$93)/(ORÇAMENTO!$X$15-CÁLCULO.TotalAdmLocal)*CRONO!$F46,
                        0),
                 W45*$S44),
          SUMIF(OFFSET($S46,1,0,$R44-2),($M44+1)&amp;"$",OFFSET(W46,1,0,$R44-2)))</f>
        <v>49435.31</v>
      </c>
      <c r="X46" s="202" cm="1">
        <f t="array" aca="1" ref="X46" ca="1">IF($R44=2,
         IF(AND(ACOMPANHAMENTO="PLE",ISNUMBER($F44)),
                SUMIF((OFFSET(CÁLCULO!$AM$15:$AW$15,$F44,0,OFFSET(ORÇAMENTO!$D$15,CRONO!$F44,0))),CRONO!X$12,OFFSET(CÁLCULO!$AB$15:$AL$15,$F44,0,OFFSET(ORÇAMENTO!$D$15,CRONO!$F44,0)))
                +IF(AND($F46&lt;&gt;"",$F46&lt;&gt;0),
                        SUMIF(CÁLCULO!$AM$15:$AW$93,CRONO!X$12,CÁLCULO!$AB$15:$AL$93)/(ORÇAMENTO!$X$15-CÁLCULO.TotalAdmLocal)*CRONO!$F46,
                        0),
                 X45*$S44),
          SUMIF(OFFSET($S46,1,0,$R44-2),($M44+1)&amp;"$",OFFSET(X46,1,0,$R44-2)))</f>
        <v>49435.31</v>
      </c>
      <c r="Y46" s="202" cm="1">
        <f t="array" aca="1" ref="Y46" ca="1">IF($R44=2,
         IF(AND(ACOMPANHAMENTO="PLE",ISNUMBER($F44)),
                SUMIF((OFFSET(CÁLCULO!$AM$15:$AW$15,$F44,0,OFFSET(ORÇAMENTO!$D$15,CRONO!$F44,0))),CRONO!Y$12,OFFSET(CÁLCULO!$AB$15:$AL$15,$F44,0,OFFSET(ORÇAMENTO!$D$15,CRONO!$F44,0)))
                +IF(AND($F46&lt;&gt;"",$F46&lt;&gt;0),
                        SUMIF(CÁLCULO!$AM$15:$AW$93,CRONO!Y$12,CÁLCULO!$AB$15:$AL$93)/(ORÇAMENTO!$X$15-CÁLCULO.TotalAdmLocal)*CRONO!$F46,
                        0),
                 Y45*$S44),
          SUMIF(OFFSET($S46,1,0,$R44-2),($M44+1)&amp;"$",OFFSET(Y46,1,0,$R44-2)))</f>
        <v>49435.31</v>
      </c>
      <c r="Z46" s="202" cm="1">
        <f t="array" aca="1" ref="Z46" ca="1">IF($R44=2,
         IF(AND(ACOMPANHAMENTO="PLE",ISNUMBER($F44)),
                SUMIF((OFFSET(CÁLCULO!$AM$15:$AW$15,$F44,0,OFFSET(ORÇAMENTO!$D$15,CRONO!$F44,0))),CRONO!Z$12,OFFSET(CÁLCULO!$AB$15:$AL$15,$F44,0,OFFSET(ORÇAMENTO!$D$15,CRONO!$F44,0)))
                +IF(AND($F46&lt;&gt;"",$F46&lt;&gt;0),
                        SUMIF(CÁLCULO!$AM$15:$AW$93,CRONO!Z$12,CÁLCULO!$AB$15:$AL$93)/(ORÇAMENTO!$X$15-CÁLCULO.TotalAdmLocal)*CRONO!$F46,
                        0),
                 Z45*$S44),
          SUMIF(OFFSET($S46,1,0,$R44-2),($M44+1)&amp;"$",OFFSET(Z46,1,0,$R44-2)))</f>
        <v>49434.7</v>
      </c>
      <c r="AA46" s="202" cm="1">
        <f t="array" aca="1" ref="AA46" ca="1">IF($R44=2,
         IF(AND(ACOMPANHAMENTO="PLE",ISNUMBER($F44)),
                SUMIF((OFFSET(CÁLCULO!$AM$15:$AW$15,$F44,0,OFFSET(ORÇAMENTO!$D$15,CRONO!$F44,0))),CRONO!AA$12,OFFSET(CÁLCULO!$AB$15:$AL$15,$F44,0,OFFSET(ORÇAMENTO!$D$15,CRONO!$F44,0)))
                +IF(AND($F46&lt;&gt;"",$F46&lt;&gt;0),
                        SUMIF(CÁLCULO!$AM$15:$AW$93,CRONO!AA$12,CÁLCULO!$AB$15:$AL$93)/(ORÇAMENTO!$X$15-CÁLCULO.TotalAdmLocal)*CRONO!$F46,
                        0),
                 AA45*$S44),
          SUMIF(OFFSET($S46,1,0,$R44-2),($M44+1)&amp;"$",OFFSET(AA46,1,0,$R44-2)))</f>
        <v>0</v>
      </c>
      <c r="AB46" s="202" cm="1">
        <f t="array" aca="1" ref="AB46" ca="1">IF($R44=2,
         IF(AND(ACOMPANHAMENTO="PLE",ISNUMBER($F44)),
                SUMIF((OFFSET(CÁLCULO!$AM$15:$AW$15,$F44,0,OFFSET(ORÇAMENTO!$D$15,CRONO!$F44,0))),CRONO!AB$12,OFFSET(CÁLCULO!$AB$15:$AL$15,$F44,0,OFFSET(ORÇAMENTO!$D$15,CRONO!$F44,0)))
                +IF(AND($F46&lt;&gt;"",$F46&lt;&gt;0),
                        SUMIF(CÁLCULO!$AM$15:$AW$93,CRONO!AB$12,CÁLCULO!$AB$15:$AL$93)/(ORÇAMENTO!$X$15-CÁLCULO.TotalAdmLocal)*CRONO!$F46,
                        0),
                 AB45*$S44),
          SUMIF(OFFSET($S46,1,0,$R44-2),($M44+1)&amp;"$",OFFSET(AB46,1,0,$R44-2)))</f>
        <v>0</v>
      </c>
      <c r="AC46" s="202" cm="1">
        <f t="array" aca="1" ref="AC46" ca="1">IF($R44=2,
         IF(AND(ACOMPANHAMENTO="PLE",ISNUMBER($F44)),
                SUMIF((OFFSET(CÁLCULO!$AM$15:$AW$15,$F44,0,OFFSET(ORÇAMENTO!$D$15,CRONO!$F44,0))),CRONO!AC$12,OFFSET(CÁLCULO!$AB$15:$AL$15,$F44,0,OFFSET(ORÇAMENTO!$D$15,CRONO!$F44,0)))
                +IF(AND($F46&lt;&gt;"",$F46&lt;&gt;0),
                        SUMIF(CÁLCULO!$AM$15:$AW$93,CRONO!AC$12,CÁLCULO!$AB$15:$AL$93)/(ORÇAMENTO!$X$15-CÁLCULO.TotalAdmLocal)*CRONO!$F46,
                        0),
                 AC45*$S44),
          SUMIF(OFFSET($S46,1,0,$R44-2),($M44+1)&amp;"$",OFFSET(AC46,1,0,$R44-2)))</f>
        <v>0</v>
      </c>
      <c r="AD46" s="202" cm="1">
        <f t="array" aca="1" ref="AD46" ca="1">IF($R44=2,
         IF(AND(ACOMPANHAMENTO="PLE",ISNUMBER($F44)),
                SUMIF((OFFSET(CÁLCULO!$AM$15:$AW$15,$F44,0,OFFSET(ORÇAMENTO!$D$15,CRONO!$F44,0))),CRONO!AD$12,OFFSET(CÁLCULO!$AB$15:$AL$15,$F44,0,OFFSET(ORÇAMENTO!$D$15,CRONO!$F44,0)))
                +IF(AND($F46&lt;&gt;"",$F46&lt;&gt;0),
                        SUMIF(CÁLCULO!$AM$15:$AW$93,CRONO!AD$12,CÁLCULO!$AB$15:$AL$93)/(ORÇAMENTO!$X$15-CÁLCULO.TotalAdmLocal)*CRONO!$F46,
                        0),
                 AD45*$S44),
          SUMIF(OFFSET($S46,1,0,$R44-2),($M44+1)&amp;"$",OFFSET(AD46,1,0,$R44-2)))</f>
        <v>0</v>
      </c>
      <c r="AE46" s="202" cm="1">
        <f t="array" aca="1" ref="AE46" ca="1">IF($R44=2,
         IF(AND(ACOMPANHAMENTO="PLE",ISNUMBER($F44)),
                SUMIF((OFFSET(CÁLCULO!$AM$15:$AW$15,$F44,0,OFFSET(ORÇAMENTO!$D$15,CRONO!$F44,0))),CRONO!AE$12,OFFSET(CÁLCULO!$AB$15:$AL$15,$F44,0,OFFSET(ORÇAMENTO!$D$15,CRONO!$F44,0)))
                +IF(AND($F46&lt;&gt;"",$F46&lt;&gt;0),
                        SUMIF(CÁLCULO!$AM$15:$AW$93,CRONO!AE$12,CÁLCULO!$AB$15:$AL$93)/(ORÇAMENTO!$X$15-CÁLCULO.TotalAdmLocal)*CRONO!$F46,
                        0),
                 AE45*$S44),
          SUMIF(OFFSET($S46,1,0,$R44-2),($M44+1)&amp;"$",OFFSET(AE46,1,0,$R44-2)))</f>
        <v>0</v>
      </c>
      <c r="AF46" s="202" cm="1">
        <f t="array" aca="1" ref="AF46" ca="1">IF($R44=2,
         IF(AND(ACOMPANHAMENTO="PLE",ISNUMBER($F44)),
                SUMIF((OFFSET(CÁLCULO!$AM$15:$AW$15,$F44,0,OFFSET(ORÇAMENTO!$D$15,CRONO!$F44,0))),CRONO!AF$12,OFFSET(CÁLCULO!$AB$15:$AL$15,$F44,0,OFFSET(ORÇAMENTO!$D$15,CRONO!$F44,0)))
                +IF(AND($F46&lt;&gt;"",$F46&lt;&gt;0),
                        SUMIF(CÁLCULO!$AM$15:$AW$93,CRONO!AF$12,CÁLCULO!$AB$15:$AL$93)/(ORÇAMENTO!$X$15-CÁLCULO.TotalAdmLocal)*CRONO!$F46,
                        0),
                 AF45*$S44),
          SUMIF(OFFSET($S46,1,0,$R44-2),($M44+1)&amp;"$",OFFSET(AF46,1,0,$R44-2)))</f>
        <v>0</v>
      </c>
      <c r="AG46" s="534"/>
    </row>
    <row r="47" spans="1:33" ht="5.0999999999999996" customHeight="1" x14ac:dyDescent="0.2">
      <c r="E47" s="640"/>
      <c r="G47" s="185" t="s">
        <v>536</v>
      </c>
      <c r="H47" s="432"/>
      <c r="I47" s="641"/>
      <c r="J47" s="642"/>
      <c r="K47" s="642"/>
      <c r="L47" s="642"/>
      <c r="M47" s="643" t="s">
        <v>797</v>
      </c>
      <c r="N47" s="643"/>
      <c r="O47" s="643"/>
      <c r="P47" s="643"/>
      <c r="Q47" s="643"/>
      <c r="R47" s="643"/>
      <c r="S47" s="644"/>
      <c r="T47" s="644"/>
      <c r="U47" s="642"/>
      <c r="V47" s="642"/>
      <c r="W47" s="642"/>
      <c r="X47" s="642"/>
      <c r="Y47" s="642"/>
      <c r="Z47" s="642"/>
      <c r="AA47" s="642"/>
      <c r="AB47" s="642"/>
      <c r="AC47" s="642"/>
      <c r="AD47" s="642"/>
      <c r="AE47" s="642"/>
      <c r="AF47" s="642"/>
      <c r="AG47" s="534"/>
    </row>
    <row r="48" spans="1:33" ht="12.75" customHeight="1" x14ac:dyDescent="0.2">
      <c r="E48" s="528">
        <f ca="1">E52/$R$48</f>
        <v>6.6509498739545231E-3</v>
      </c>
      <c r="G48" s="185" t="s">
        <v>536</v>
      </c>
      <c r="I48" s="775" t="str">
        <f ca="1">"Total:    R$ "&amp;TEXT(R48,"#.##0,00")</f>
        <v>Total:    R$ 21.394.861,29</v>
      </c>
      <c r="J48" s="775"/>
      <c r="K48" s="775"/>
      <c r="L48" s="227"/>
      <c r="R48" s="228">
        <f ca="1">SUMIF(M12:M47,1,S12:S47)</f>
        <v>21394861.289999999</v>
      </c>
      <c r="S48" s="229"/>
      <c r="T48" s="230" t="s">
        <v>798</v>
      </c>
      <c r="U48" s="528">
        <f t="shared" ref="U48:AF48" ca="1" si="62">ROUND(U52,2)/$R$48</f>
        <v>6.6509498739545231E-3</v>
      </c>
      <c r="V48" s="528">
        <f t="shared" ca="1" si="62"/>
        <v>2.6141215052486094E-2</v>
      </c>
      <c r="W48" s="528">
        <f t="shared" ca="1" si="62"/>
        <v>4.2148129299696899E-2</v>
      </c>
      <c r="X48" s="528">
        <f t="shared" ca="1" si="62"/>
        <v>4.8941284816341059E-2</v>
      </c>
      <c r="Y48" s="528">
        <f t="shared" ca="1" si="62"/>
        <v>5.3808785875984526E-2</v>
      </c>
      <c r="Z48" s="528">
        <f t="shared" ca="1" si="62"/>
        <v>4.2795545509236629E-2</v>
      </c>
      <c r="AA48" s="528">
        <f t="shared" ca="1" si="62"/>
        <v>2.9928494105231004E-2</v>
      </c>
      <c r="AB48" s="528">
        <f t="shared" ca="1" si="62"/>
        <v>3.792840341429482E-2</v>
      </c>
      <c r="AC48" s="528">
        <f t="shared" ca="1" si="62"/>
        <v>4.8572286864309928E-2</v>
      </c>
      <c r="AD48" s="528">
        <f t="shared" ca="1" si="62"/>
        <v>0.66308490518846452</v>
      </c>
      <c r="AE48" s="528">
        <f t="shared" ca="1" si="62"/>
        <v>0</v>
      </c>
      <c r="AF48" s="539">
        <f t="shared" ca="1" si="62"/>
        <v>0</v>
      </c>
      <c r="AG48" s="534"/>
    </row>
    <row r="49" spans="4:33" ht="15" customHeight="1" x14ac:dyDescent="0.2">
      <c r="E49" s="231">
        <f ca="1">IF(E$12=1,ROUND(E54,2),ROUND(E54,2)-ROUND(D54,2))</f>
        <v>142296.15</v>
      </c>
      <c r="G49" s="185" t="s">
        <v>536</v>
      </c>
      <c r="I49" s="775"/>
      <c r="J49" s="775"/>
      <c r="K49" s="775"/>
      <c r="L49" s="232"/>
      <c r="R49" s="228"/>
      <c r="S49" s="233"/>
      <c r="T49" s="234" t="str">
        <f>IF(import.recurso="FGTS","Financiamento:","Repasse:")</f>
        <v>Repasse:</v>
      </c>
      <c r="U49" s="231">
        <f t="shared" ref="U49:AF49" ca="1" si="63">IF(U$12=1,ROUND(U54,2),ROUND(U54,2)-ROUND(T54,2))</f>
        <v>142296.15</v>
      </c>
      <c r="V49" s="231">
        <f t="shared" ca="1" si="63"/>
        <v>559287.66999999993</v>
      </c>
      <c r="W49" s="231">
        <f t="shared" ca="1" si="63"/>
        <v>901753.38</v>
      </c>
      <c r="X49" s="231">
        <f t="shared" ca="1" si="63"/>
        <v>1047092.0000000002</v>
      </c>
      <c r="Y49" s="231">
        <f t="shared" ca="1" si="63"/>
        <v>1151231.5099999998</v>
      </c>
      <c r="Z49" s="231">
        <f t="shared" ca="1" si="63"/>
        <v>915604.75999999978</v>
      </c>
      <c r="AA49" s="231">
        <f t="shared" ca="1" si="63"/>
        <v>640315.98000000045</v>
      </c>
      <c r="AB49" s="231">
        <f t="shared" ca="1" si="63"/>
        <v>811472.9299999997</v>
      </c>
      <c r="AC49" s="231">
        <f t="shared" ca="1" si="63"/>
        <v>1039197.3399999999</v>
      </c>
      <c r="AD49" s="231">
        <f t="shared" ca="1" si="63"/>
        <v>14186609.57</v>
      </c>
      <c r="AE49" s="231">
        <f t="shared" ca="1" si="63"/>
        <v>0</v>
      </c>
      <c r="AF49" s="231">
        <f t="shared" ca="1" si="63"/>
        <v>0</v>
      </c>
      <c r="AG49" s="534"/>
    </row>
    <row r="50" spans="4:33" ht="12.75" customHeight="1" x14ac:dyDescent="0.2">
      <c r="E50" s="529">
        <f ca="1">IF(E$12=1,ROUND(E55,2),ROUND(E55,2)-ROUND(D55,2))</f>
        <v>0</v>
      </c>
      <c r="G50" s="185" t="s">
        <v>536</v>
      </c>
      <c r="I50" s="235"/>
      <c r="L50" s="236" t="s">
        <v>799</v>
      </c>
      <c r="R50" s="228"/>
      <c r="S50" s="237"/>
      <c r="T50" s="238" t="s">
        <v>800</v>
      </c>
      <c r="U50" s="529">
        <f t="shared" ref="U50:AF50" ca="1" si="64">IF(U$12=1,ROUND(U55,2),ROUND(U55,2)-ROUND(T55,2))</f>
        <v>0</v>
      </c>
      <c r="V50" s="529">
        <f t="shared" ca="1" si="64"/>
        <v>0</v>
      </c>
      <c r="W50" s="529">
        <f t="shared" ca="1" si="64"/>
        <v>0</v>
      </c>
      <c r="X50" s="529">
        <f t="shared" ca="1" si="64"/>
        <v>0</v>
      </c>
      <c r="Y50" s="529">
        <f t="shared" ca="1" si="64"/>
        <v>0</v>
      </c>
      <c r="Z50" s="529">
        <f t="shared" ca="1" si="64"/>
        <v>0</v>
      </c>
      <c r="AA50" s="529">
        <f t="shared" ca="1" si="64"/>
        <v>0</v>
      </c>
      <c r="AB50" s="529">
        <f t="shared" ca="1" si="64"/>
        <v>0</v>
      </c>
      <c r="AC50" s="529">
        <f t="shared" ca="1" si="64"/>
        <v>0</v>
      </c>
      <c r="AD50" s="529">
        <f t="shared" ca="1" si="64"/>
        <v>0</v>
      </c>
      <c r="AE50" s="529">
        <f t="shared" ca="1" si="64"/>
        <v>0</v>
      </c>
      <c r="AF50" s="529">
        <f t="shared" ca="1" si="64"/>
        <v>0</v>
      </c>
      <c r="AG50" s="534"/>
    </row>
    <row r="51" spans="4:33" x14ac:dyDescent="0.2">
      <c r="E51" s="239">
        <f ca="1">IF(E$12=1,ROUND(E56,2),ROUND(E56,2)-ROUND(D56,2))</f>
        <v>0</v>
      </c>
      <c r="G51" s="185" t="s">
        <v>536</v>
      </c>
      <c r="I51" s="235"/>
      <c r="L51" s="236"/>
      <c r="R51" s="228"/>
      <c r="S51" s="240"/>
      <c r="T51" s="241" t="s">
        <v>801</v>
      </c>
      <c r="U51" s="239">
        <f t="shared" ref="U51:AF51" ca="1" si="65">IF(U$12=1,ROUND(U56,2),ROUND(U56,2)-ROUND(T56,2))</f>
        <v>0</v>
      </c>
      <c r="V51" s="239">
        <f t="shared" ca="1" si="65"/>
        <v>0</v>
      </c>
      <c r="W51" s="239">
        <f t="shared" ca="1" si="65"/>
        <v>0</v>
      </c>
      <c r="X51" s="239">
        <f t="shared" ca="1" si="65"/>
        <v>0</v>
      </c>
      <c r="Y51" s="239">
        <f t="shared" ca="1" si="65"/>
        <v>0</v>
      </c>
      <c r="Z51" s="239">
        <f t="shared" ca="1" si="65"/>
        <v>0</v>
      </c>
      <c r="AA51" s="239">
        <f t="shared" ca="1" si="65"/>
        <v>0</v>
      </c>
      <c r="AB51" s="239">
        <f t="shared" ca="1" si="65"/>
        <v>0</v>
      </c>
      <c r="AC51" s="239">
        <f t="shared" ca="1" si="65"/>
        <v>0</v>
      </c>
      <c r="AD51" s="239">
        <f t="shared" ca="1" si="65"/>
        <v>0</v>
      </c>
      <c r="AE51" s="239">
        <f t="shared" ca="1" si="65"/>
        <v>0</v>
      </c>
      <c r="AF51" s="239">
        <f t="shared" ca="1" si="65"/>
        <v>0</v>
      </c>
      <c r="AG51" s="534"/>
    </row>
    <row r="52" spans="4:33" x14ac:dyDescent="0.2">
      <c r="E52" s="530">
        <f ca="1">IF(E$12=1,ROUND(E57,2),ROUND(E57,2)-ROUND(D57,2))</f>
        <v>142296.15</v>
      </c>
      <c r="G52" s="185" t="s">
        <v>536</v>
      </c>
      <c r="H52" s="536"/>
      <c r="L52" s="242"/>
      <c r="S52" s="243"/>
      <c r="T52" s="244" t="s">
        <v>802</v>
      </c>
      <c r="U52" s="530">
        <f t="shared" ref="U52:AF52" ca="1" si="66">IF(U$12=1,ROUND(U57,2),ROUND(U57,2)-ROUND(T57,2))</f>
        <v>142296.15</v>
      </c>
      <c r="V52" s="530">
        <f t="shared" ca="1" si="66"/>
        <v>559287.66999999993</v>
      </c>
      <c r="W52" s="530">
        <f t="shared" ca="1" si="66"/>
        <v>901753.38</v>
      </c>
      <c r="X52" s="530">
        <f t="shared" ca="1" si="66"/>
        <v>1047092.0000000002</v>
      </c>
      <c r="Y52" s="530">
        <f t="shared" ca="1" si="66"/>
        <v>1151231.5099999998</v>
      </c>
      <c r="Z52" s="530">
        <f t="shared" ca="1" si="66"/>
        <v>915604.75999999978</v>
      </c>
      <c r="AA52" s="530">
        <f t="shared" ca="1" si="66"/>
        <v>640315.98000000045</v>
      </c>
      <c r="AB52" s="530">
        <f t="shared" ca="1" si="66"/>
        <v>811472.9299999997</v>
      </c>
      <c r="AC52" s="530">
        <f t="shared" ca="1" si="66"/>
        <v>1039197.3399999999</v>
      </c>
      <c r="AD52" s="530">
        <f t="shared" ca="1" si="66"/>
        <v>14186609.57</v>
      </c>
      <c r="AE52" s="530">
        <f t="shared" ca="1" si="66"/>
        <v>0</v>
      </c>
      <c r="AF52" s="530">
        <f t="shared" ca="1" si="66"/>
        <v>0</v>
      </c>
      <c r="AG52" s="534"/>
    </row>
    <row r="53" spans="4:33" x14ac:dyDescent="0.2">
      <c r="E53" s="528">
        <f ca="1">ROUND(ROUND(E57,2)/$R$48,4)</f>
        <v>6.7000000000000002E-3</v>
      </c>
      <c r="G53" s="185" t="s">
        <v>536</v>
      </c>
      <c r="L53" s="227"/>
      <c r="S53" s="229"/>
      <c r="T53" s="230" t="s">
        <v>798</v>
      </c>
      <c r="U53" s="528">
        <f t="shared" ref="U53:AF53" ca="1" si="67">ROUND(ROUND(U57,2)/$R$48,4)</f>
        <v>6.7000000000000002E-3</v>
      </c>
      <c r="V53" s="528">
        <f t="shared" ca="1" si="67"/>
        <v>3.2800000000000003E-2</v>
      </c>
      <c r="W53" s="528">
        <f t="shared" ca="1" si="67"/>
        <v>7.4899999999999994E-2</v>
      </c>
      <c r="X53" s="528">
        <f t="shared" ca="1" si="67"/>
        <v>0.1239</v>
      </c>
      <c r="Y53" s="528">
        <f t="shared" ca="1" si="67"/>
        <v>0.1777</v>
      </c>
      <c r="Z53" s="528">
        <f t="shared" ca="1" si="67"/>
        <v>0.2205</v>
      </c>
      <c r="AA53" s="528">
        <f t="shared" ca="1" si="67"/>
        <v>0.25040000000000001</v>
      </c>
      <c r="AB53" s="528">
        <f t="shared" ca="1" si="67"/>
        <v>0.2883</v>
      </c>
      <c r="AC53" s="528">
        <f t="shared" ca="1" si="67"/>
        <v>0.33689999999999998</v>
      </c>
      <c r="AD53" s="528">
        <f t="shared" ca="1" si="67"/>
        <v>1</v>
      </c>
      <c r="AE53" s="528">
        <f t="shared" ca="1" si="67"/>
        <v>1</v>
      </c>
      <c r="AF53" s="528">
        <f t="shared" ca="1" si="67"/>
        <v>1</v>
      </c>
      <c r="AG53" s="534"/>
    </row>
    <row r="54" spans="4:33" x14ac:dyDescent="0.2">
      <c r="E54" s="231">
        <f ca="1">ROUND(E57-E56-E55,2)</f>
        <v>142296.15</v>
      </c>
      <c r="G54" s="185" t="s">
        <v>536</v>
      </c>
      <c r="L54" s="232"/>
      <c r="S54" s="233"/>
      <c r="T54" s="234" t="str">
        <f>IF(import.recurso="FGTS","Financiamento:","Repasse:")</f>
        <v>Repasse:</v>
      </c>
      <c r="U54" s="231">
        <f t="shared" ref="U54:AF54" ca="1" si="68">ROUND(U57-U56-U55,2)</f>
        <v>142296.15</v>
      </c>
      <c r="V54" s="231">
        <f t="shared" ca="1" si="68"/>
        <v>701583.82</v>
      </c>
      <c r="W54" s="231">
        <f t="shared" ca="1" si="68"/>
        <v>1603337.2</v>
      </c>
      <c r="X54" s="231">
        <f t="shared" ca="1" si="68"/>
        <v>2650429.2000000002</v>
      </c>
      <c r="Y54" s="231">
        <f t="shared" ca="1" si="68"/>
        <v>3801660.71</v>
      </c>
      <c r="Z54" s="231">
        <f t="shared" ca="1" si="68"/>
        <v>4717265.47</v>
      </c>
      <c r="AA54" s="231">
        <f t="shared" ca="1" si="68"/>
        <v>5357581.45</v>
      </c>
      <c r="AB54" s="231">
        <f t="shared" ca="1" si="68"/>
        <v>6169054.3799999999</v>
      </c>
      <c r="AC54" s="231">
        <f t="shared" ca="1" si="68"/>
        <v>7208251.7199999997</v>
      </c>
      <c r="AD54" s="231">
        <f t="shared" ca="1" si="68"/>
        <v>21394861.289999999</v>
      </c>
      <c r="AE54" s="231">
        <f t="shared" ca="1" si="68"/>
        <v>21394861.289999999</v>
      </c>
      <c r="AF54" s="231">
        <f t="shared" ca="1" si="68"/>
        <v>21394861.289999999</v>
      </c>
      <c r="AG54" s="534"/>
    </row>
    <row r="55" spans="4:33" x14ac:dyDescent="0.2">
      <c r="E55" s="529" cm="1">
        <f t="array" aca="1" ref="E55" ca="1">IF(E$12=1,0,OFFSET(E55,0,-1))+SUM((OFFSET($C$13,1,0):OFFSET($C$47,-3,0))*IF(ISNUMBER(OFFSET(E$11,5,0):OFFSET(E$47,-1,0)),OFFSET(E$11,5,0):OFFSET(E$47,-1,0),0))</f>
        <v>0</v>
      </c>
      <c r="G55" s="185" t="s">
        <v>536</v>
      </c>
      <c r="L55" s="236" t="s">
        <v>803</v>
      </c>
      <c r="S55" s="237"/>
      <c r="T55" s="238" t="s">
        <v>800</v>
      </c>
      <c r="U55" s="529" cm="1">
        <f t="array" aca="1" ref="U55" ca="1">IF(U$12=1,0,OFFSET(U55,0,-1))+SUM((OFFSET($C$13,1,0):OFFSET($C$47,-3,0))*IF(ISNUMBER(OFFSET(U$11,5,0):OFFSET(U$47,-1,0)),OFFSET(U$11,5,0):OFFSET(U$47,-1,0),0))</f>
        <v>0</v>
      </c>
      <c r="V55" s="529" cm="1">
        <f t="array" aca="1" ref="V55" ca="1">IF(V$12=1,0,OFFSET(V55,0,-1))+SUM((OFFSET($C$13,1,0):OFFSET($C$47,-3,0))*IF(ISNUMBER(OFFSET(V$11,5,0):OFFSET(V$47,-1,0)),OFFSET(V$11,5,0):OFFSET(V$47,-1,0),0))</f>
        <v>0</v>
      </c>
      <c r="W55" s="529" cm="1">
        <f t="array" aca="1" ref="W55" ca="1">IF(W$12=1,0,OFFSET(W55,0,-1))+SUM((OFFSET($C$13,1,0):OFFSET($C$47,-3,0))*IF(ISNUMBER(OFFSET(W$11,5,0):OFFSET(W$47,-1,0)),OFFSET(W$11,5,0):OFFSET(W$47,-1,0),0))</f>
        <v>0</v>
      </c>
      <c r="X55" s="529" cm="1">
        <f t="array" aca="1" ref="X55" ca="1">IF(X$12=1,0,OFFSET(X55,0,-1))+SUM((OFFSET($C$13,1,0):OFFSET($C$47,-3,0))*IF(ISNUMBER(OFFSET(X$11,5,0):OFFSET(X$47,-1,0)),OFFSET(X$11,5,0):OFFSET(X$47,-1,0),0))</f>
        <v>0</v>
      </c>
      <c r="Y55" s="529" cm="1">
        <f t="array" aca="1" ref="Y55" ca="1">IF(Y$12=1,0,OFFSET(Y55,0,-1))+SUM((OFFSET($C$13,1,0):OFFSET($C$47,-3,0))*IF(ISNUMBER(OFFSET(Y$11,5,0):OFFSET(Y$47,-1,0)),OFFSET(Y$11,5,0):OFFSET(Y$47,-1,0),0))</f>
        <v>0</v>
      </c>
      <c r="Z55" s="529" cm="1">
        <f t="array" aca="1" ref="Z55" ca="1">IF(Z$12=1,0,OFFSET(Z55,0,-1))+SUM((OFFSET($C$13,1,0):OFFSET($C$47,-3,0))*IF(ISNUMBER(OFFSET(Z$11,5,0):OFFSET(Z$47,-1,0)),OFFSET(Z$11,5,0):OFFSET(Z$47,-1,0),0))</f>
        <v>0</v>
      </c>
      <c r="AA55" s="529" cm="1">
        <f t="array" aca="1" ref="AA55" ca="1">IF(AA$12=1,0,OFFSET(AA55,0,-1))+SUM((OFFSET($C$13,1,0):OFFSET($C$47,-3,0))*IF(ISNUMBER(OFFSET(AA$11,5,0):OFFSET(AA$47,-1,0)),OFFSET(AA$11,5,0):OFFSET(AA$47,-1,0),0))</f>
        <v>0</v>
      </c>
      <c r="AB55" s="529" cm="1">
        <f t="array" aca="1" ref="AB55" ca="1">IF(AB$12=1,0,OFFSET(AB55,0,-1))+SUM((OFFSET($C$13,1,0):OFFSET($C$47,-3,0))*IF(ISNUMBER(OFFSET(AB$11,5,0):OFFSET(AB$47,-1,0)),OFFSET(AB$11,5,0):OFFSET(AB$47,-1,0),0))</f>
        <v>0</v>
      </c>
      <c r="AC55" s="529" cm="1">
        <f t="array" aca="1" ref="AC55" ca="1">IF(AC$12=1,0,OFFSET(AC55,0,-1))+SUM((OFFSET($C$13,1,0):OFFSET($C$47,-3,0))*IF(ISNUMBER(OFFSET(AC$11,5,0):OFFSET(AC$47,-1,0)),OFFSET(AC$11,5,0):OFFSET(AC$47,-1,0),0))</f>
        <v>0</v>
      </c>
      <c r="AD55" s="529" cm="1">
        <f t="array" aca="1" ref="AD55" ca="1">IF(AD$12=1,0,OFFSET(AD55,0,-1))+SUM((OFFSET($C$13,1,0):OFFSET($C$47,-3,0))*IF(ISNUMBER(OFFSET(AD$11,5,0):OFFSET(AD$47,-1,0)),OFFSET(AD$11,5,0):OFFSET(AD$47,-1,0),0))</f>
        <v>0</v>
      </c>
      <c r="AE55" s="529" cm="1">
        <f t="array" aca="1" ref="AE55" ca="1">IF(AE$12=1,0,OFFSET(AE55,0,-1))+SUM((OFFSET($C$13,1,0):OFFSET($C$47,-3,0))*IF(ISNUMBER(OFFSET(AE$11,5,0):OFFSET(AE$47,-1,0)),OFFSET(AE$11,5,0):OFFSET(AE$47,-1,0),0))</f>
        <v>0</v>
      </c>
      <c r="AF55" s="529" cm="1">
        <f t="array" aca="1" ref="AF55" ca="1">IF(AF$12=1,0,OFFSET(AF55,0,-1))+SUM((OFFSET($C$13,1,0):OFFSET($C$47,-3,0))*IF(ISNUMBER(OFFSET(AF$11,5,0):OFFSET(AF$47,-1,0)),OFFSET(AF$11,5,0):OFFSET(AF$47,-1,0),0))</f>
        <v>0</v>
      </c>
      <c r="AG55" s="534"/>
    </row>
    <row r="56" spans="4:33" x14ac:dyDescent="0.2">
      <c r="E56" s="239" cm="1">
        <f t="array" aca="1" ref="E56" ca="1">IF(E$12=1,0,OFFSET(E56,0,-1))+SUM((OFFSET($D$13,1,0):OFFSET($D$47,-3,0))*IF(ISNUMBER(OFFSET(E$11,5,0):OFFSET(E$47,-1,0)),OFFSET(E$11,5,0):OFFSET(E$47,-1,0),0))</f>
        <v>0</v>
      </c>
      <c r="G56" s="185" t="s">
        <v>536</v>
      </c>
      <c r="L56" s="236"/>
      <c r="S56" s="240"/>
      <c r="T56" s="241" t="s">
        <v>801</v>
      </c>
      <c r="U56" s="239" cm="1">
        <f t="array" aca="1" ref="U56" ca="1">IF(U$12=1,0,OFFSET(U56,0,-1))+SUM((OFFSET($D$13,1,0):OFFSET($D$47,-3,0))*IF(ISNUMBER(OFFSET(U$11,5,0):OFFSET(U$47,-1,0)),OFFSET(U$11,5,0):OFFSET(U$47,-1,0),0))</f>
        <v>0</v>
      </c>
      <c r="V56" s="239" cm="1">
        <f t="array" aca="1" ref="V56" ca="1">IF(V$12=1,0,OFFSET(V56,0,-1))+SUM((OFFSET($D$13,1,0):OFFSET($D$47,-3,0))*IF(ISNUMBER(OFFSET(V$11,5,0):OFFSET(V$47,-1,0)),OFFSET(V$11,5,0):OFFSET(V$47,-1,0),0))</f>
        <v>0</v>
      </c>
      <c r="W56" s="239" cm="1">
        <f t="array" aca="1" ref="W56" ca="1">IF(W$12=1,0,OFFSET(W56,0,-1))+SUM((OFFSET($D$13,1,0):OFFSET($D$47,-3,0))*IF(ISNUMBER(OFFSET(W$11,5,0):OFFSET(W$47,-1,0)),OFFSET(W$11,5,0):OFFSET(W$47,-1,0),0))</f>
        <v>0</v>
      </c>
      <c r="X56" s="239" cm="1">
        <f t="array" aca="1" ref="X56" ca="1">IF(X$12=1,0,OFFSET(X56,0,-1))+SUM((OFFSET($D$13,1,0):OFFSET($D$47,-3,0))*IF(ISNUMBER(OFFSET(X$11,5,0):OFFSET(X$47,-1,0)),OFFSET(X$11,5,0):OFFSET(X$47,-1,0),0))</f>
        <v>0</v>
      </c>
      <c r="Y56" s="239" cm="1">
        <f t="array" aca="1" ref="Y56" ca="1">IF(Y$12=1,0,OFFSET(Y56,0,-1))+SUM((OFFSET($D$13,1,0):OFFSET($D$47,-3,0))*IF(ISNUMBER(OFFSET(Y$11,5,0):OFFSET(Y$47,-1,0)),OFFSET(Y$11,5,0):OFFSET(Y$47,-1,0),0))</f>
        <v>0</v>
      </c>
      <c r="Z56" s="239" cm="1">
        <f t="array" aca="1" ref="Z56" ca="1">IF(Z$12=1,0,OFFSET(Z56,0,-1))+SUM((OFFSET($D$13,1,0):OFFSET($D$47,-3,0))*IF(ISNUMBER(OFFSET(Z$11,5,0):OFFSET(Z$47,-1,0)),OFFSET(Z$11,5,0):OFFSET(Z$47,-1,0),0))</f>
        <v>0</v>
      </c>
      <c r="AA56" s="239" cm="1">
        <f t="array" aca="1" ref="AA56" ca="1">IF(AA$12=1,0,OFFSET(AA56,0,-1))+SUM((OFFSET($D$13,1,0):OFFSET($D$47,-3,0))*IF(ISNUMBER(OFFSET(AA$11,5,0):OFFSET(AA$47,-1,0)),OFFSET(AA$11,5,0):OFFSET(AA$47,-1,0),0))</f>
        <v>0</v>
      </c>
      <c r="AB56" s="239" cm="1">
        <f t="array" aca="1" ref="AB56" ca="1">IF(AB$12=1,0,OFFSET(AB56,0,-1))+SUM((OFFSET($D$13,1,0):OFFSET($D$47,-3,0))*IF(ISNUMBER(OFFSET(AB$11,5,0):OFFSET(AB$47,-1,0)),OFFSET(AB$11,5,0):OFFSET(AB$47,-1,0),0))</f>
        <v>0</v>
      </c>
      <c r="AC56" s="239" cm="1">
        <f t="array" aca="1" ref="AC56" ca="1">IF(AC$12=1,0,OFFSET(AC56,0,-1))+SUM((OFFSET($D$13,1,0):OFFSET($D$47,-3,0))*IF(ISNUMBER(OFFSET(AC$11,5,0):OFFSET(AC$47,-1,0)),OFFSET(AC$11,5,0):OFFSET(AC$47,-1,0),0))</f>
        <v>0</v>
      </c>
      <c r="AD56" s="239" cm="1">
        <f t="array" aca="1" ref="AD56" ca="1">IF(AD$12=1,0,OFFSET(AD56,0,-1))+SUM((OFFSET($D$13,1,0):OFFSET($D$47,-3,0))*IF(ISNUMBER(OFFSET(AD$11,5,0):OFFSET(AD$47,-1,0)),OFFSET(AD$11,5,0):OFFSET(AD$47,-1,0),0))</f>
        <v>0</v>
      </c>
      <c r="AE56" s="239" cm="1">
        <f t="array" aca="1" ref="AE56" ca="1">IF(AE$12=1,0,OFFSET(AE56,0,-1))+SUM((OFFSET($D$13,1,0):OFFSET($D$47,-3,0))*IF(ISNUMBER(OFFSET(AE$11,5,0):OFFSET(AE$47,-1,0)),OFFSET(AE$11,5,0):OFFSET(AE$47,-1,0),0))</f>
        <v>0</v>
      </c>
      <c r="AF56" s="239" cm="1">
        <f t="array" aca="1" ref="AF56" ca="1">IF(AF$12=1,0,OFFSET(AF56,0,-1))+SUM((OFFSET($D$13,1,0):OFFSET($D$47,-3,0))*IF(ISNUMBER(OFFSET(AF$11,5,0):OFFSET(AF$47,-1,0)),OFFSET(AF$11,5,0):OFFSET(AF$47,-1,0),0))</f>
        <v>0</v>
      </c>
      <c r="AG56" s="534"/>
    </row>
    <row r="57" spans="4:33" ht="13.5" thickBot="1" x14ac:dyDescent="0.25">
      <c r="D57" s="533"/>
      <c r="E57" s="531">
        <f ca="1">SUMIF($S$12:$S$47,"1$",E12:E47)+IF(E$12&gt;1,OFFSET(E57,0,-1),0)</f>
        <v>142296.15</v>
      </c>
      <c r="G57" s="185" t="s">
        <v>536</v>
      </c>
      <c r="H57" s="522" t="str" cm="1">
        <f t="array" ref="H57">IF(ACOMPANHAMENTO="BM","Selecione o Macrosserviço da Administração Local:","")</f>
        <v/>
      </c>
      <c r="I57"/>
      <c r="L57" s="236"/>
      <c r="S57" s="237"/>
      <c r="T57" s="526" t="s">
        <v>802</v>
      </c>
      <c r="U57" s="531">
        <f t="shared" ref="U57:AF57" ca="1" si="69">SUMIF($S$12:$S$47,"1$",U12:U47)+IF(U$12&gt;1,OFFSET(U57,0,-1),0)</f>
        <v>142296.15</v>
      </c>
      <c r="V57" s="531">
        <f t="shared" ca="1" si="69"/>
        <v>701583.82</v>
      </c>
      <c r="W57" s="531">
        <f t="shared" ca="1" si="69"/>
        <v>1603337.1999999997</v>
      </c>
      <c r="X57" s="531">
        <f t="shared" ca="1" si="69"/>
        <v>2650429.1999999997</v>
      </c>
      <c r="Y57" s="531">
        <f t="shared" ca="1" si="69"/>
        <v>3801660.71</v>
      </c>
      <c r="Z57" s="531">
        <f t="shared" ca="1" si="69"/>
        <v>4717265.47</v>
      </c>
      <c r="AA57" s="531">
        <f t="shared" ca="1" si="69"/>
        <v>5357581.4499999993</v>
      </c>
      <c r="AB57" s="531">
        <f t="shared" ca="1" si="69"/>
        <v>6169054.379999999</v>
      </c>
      <c r="AC57" s="531">
        <f t="shared" ca="1" si="69"/>
        <v>7208251.7199999988</v>
      </c>
      <c r="AD57" s="531">
        <f t="shared" ca="1" si="69"/>
        <v>21394861.289999999</v>
      </c>
      <c r="AE57" s="531">
        <f t="shared" ca="1" si="69"/>
        <v>21394861.289999999</v>
      </c>
      <c r="AF57" s="540">
        <f t="shared" ca="1" si="69"/>
        <v>21394861.289999999</v>
      </c>
      <c r="AG57" s="534"/>
    </row>
    <row r="58" spans="4:33" ht="13.5" thickBot="1" x14ac:dyDescent="0.25">
      <c r="D58" s="533"/>
      <c r="E58" s="532">
        <f ca="1">IF($F$58="","",
  IF(ACOMPANHAMENTO="PLE",
     IF(AUTOEVENTO="Manual",
         IF(AdmLocal="Automática",
              E53,
              SUMIF(OFFSET(CRONOPLE!$F$14,CRONOPLE!$A$8+1,1,1,OFFSET(CRONOPLE!$AF$12,0,-1)),"&lt;="&amp;E$12,OFFSET(EVENTOS!$G$14,CRONOPLE!$A$8+1,1,1,OFFSET(CRONOPLE!$AF$12,0,-1)))/OFFSET(EVENTOS!$G$14,CRONOPLE!$A$8+1,-1)),
         SUMIFS(OFFSET(CÁLCULO!$AA$15,$F$58,1,OFFSET(ORÇAMENTO!$D$15,$F$58,0),CÁLCULO.FrentesPreenchidas),OFFSET(CÁLCULO!$AL$15,$F$58,1,OFFSET(ORÇAMENTO!$D$15,$F$58,0),CÁLCULO.FrentesPreenchidas),"&lt;="&amp;E$12)/OFFSET(ORÇAMENTO!$X$15,$F$58,0)),
     IF(ACOMPANHAMENTO="BM",SUM(OFFSET($T$13,$F$58+2,1,1,E$12))/OFFSET($S$13,$F$58,0),"")))</f>
        <v>3.7274508016888206E-3</v>
      </c>
      <c r="F58" s="185">
        <f ca="1">IF(ACOMPANHAMENTO="PLE",
    IF(AUTOEVENTO="Manual",
        IF(AdmLocal="Automática",1,IF(CRONOPLE!$D$8&lt;&gt;"","",MATCH(Import.EventoAdmLocal,EVENTOS!$B$15:$B$26,0))),
        IF(CRONOPLE!$D$8&lt;&gt;"","",CRONOPLE!$A$10)),
    IF($H$59&lt;&gt;"","",MATCH(Import.MacrosserviçoAdmLocal,$A$13:$A$47,0)-1))</f>
        <v>4</v>
      </c>
      <c r="G58" s="185" t="s">
        <v>536</v>
      </c>
      <c r="H58" s="728"/>
      <c r="I58" s="770"/>
      <c r="J58" s="729"/>
      <c r="L58" s="242"/>
      <c r="S58" s="525"/>
      <c r="T58" s="527" t="s">
        <v>804</v>
      </c>
      <c r="U58" s="532">
        <f ca="1">IF($F$58="","",
  IF(ACOMPANHAMENTO="PLE",
     IF(AUTOEVENTO="Manual",
         IF(AdmLocal="Automática",
              U53,
              SUMIF(OFFSET(CRONOPLE!$F$14,CRONOPLE!$A$8+1,1,1,OFFSET(CRONOPLE!$AF$12,0,-1)),"&lt;="&amp;U$12,OFFSET(EVENTOS!$G$14,CRONOPLE!$A$8+1,1,1,OFFSET(CRONOPLE!$AF$12,0,-1)))/OFFSET(EVENTOS!$G$14,CRONOPLE!$A$8+1,-1)),
         SUMIFS(OFFSET(CÁLCULO!$AA$15,$F$58,1,OFFSET(ORÇAMENTO!$D$15,$F$58,0),CÁLCULO.FrentesPreenchidas),OFFSET(CÁLCULO!$AL$15,$F$58,1,OFFSET(ORÇAMENTO!$D$15,$F$58,0),CÁLCULO.FrentesPreenchidas),"&lt;="&amp;U$12)/OFFSET(ORÇAMENTO!$X$15,$F$58,0)),
     IF(ACOMPANHAMENTO="BM",SUM(OFFSET($T$13,$F$58+2,1,1,U$12))/OFFSET($S$13,$F$58,0),"")))</f>
        <v>3.7274508016888206E-3</v>
      </c>
      <c r="V58" s="532">
        <f ca="1">IF($F$58="","",
  IF(ACOMPANHAMENTO="PLE",
     IF(AUTOEVENTO="Manual",
         IF(AdmLocal="Automática",
              V53,
              SUMIF(OFFSET(CRONOPLE!$F$14,CRONOPLE!$A$8+1,1,1,OFFSET(CRONOPLE!$AF$12,0,-1)),"&lt;="&amp;V$12,OFFSET(EVENTOS!$G$14,CRONOPLE!$A$8+1,1,1,OFFSET(CRONOPLE!$AF$12,0,-1)))/OFFSET(EVENTOS!$G$14,CRONOPLE!$A$8+1,-1)),
         SUMIFS(OFFSET(CÁLCULO!$AA$15,$F$58,1,OFFSET(ORÇAMENTO!$D$15,$F$58,0),CÁLCULO.FrentesPreenchidas),OFFSET(CÁLCULO!$AL$15,$F$58,1,OFFSET(ORÇAMENTO!$D$15,$F$58,0),CÁLCULO.FrentesPreenchidas),"&lt;="&amp;V$12)/OFFSET(ORÇAMENTO!$X$15,$F$58,0)),
     IF(ACOMPANHAMENTO="BM",SUM(OFFSET($T$13,$F$58+2,1,1,V$12))/OFFSET($S$13,$F$58,0),"")))</f>
        <v>2.2789824122476821E-2</v>
      </c>
      <c r="W58" s="532">
        <f ca="1">IF($F$58="","",
  IF(ACOMPANHAMENTO="PLE",
     IF(AUTOEVENTO="Manual",
         IF(AdmLocal="Automática",
              W53,
              SUMIF(OFFSET(CRONOPLE!$F$14,CRONOPLE!$A$8+1,1,1,OFFSET(CRONOPLE!$AF$12,0,-1)),"&lt;="&amp;W$12,OFFSET(EVENTOS!$G$14,CRONOPLE!$A$8+1,1,1,OFFSET(CRONOPLE!$AF$12,0,-1)))/OFFSET(EVENTOS!$G$14,CRONOPLE!$A$8+1,-1)),
         SUMIFS(OFFSET(CÁLCULO!$AA$15,$F$58,1,OFFSET(ORÇAMENTO!$D$15,$F$58,0),CÁLCULO.FrentesPreenchidas),OFFSET(CÁLCULO!$AL$15,$F$58,1,OFFSET(ORÇAMENTO!$D$15,$F$58,0),CÁLCULO.FrentesPreenchidas),"&lt;="&amp;W$12)/OFFSET(ORÇAMENTO!$X$15,$F$58,0)),
     IF(ACOMPANHAMENTO="BM",SUM(OFFSET($T$13,$F$58+2,1,1,W$12))/OFFSET($S$13,$F$58,0),"")))</f>
        <v>6.2024530801563546E-2</v>
      </c>
      <c r="X58" s="532">
        <f ca="1">IF($F$58="","",
  IF(ACOMPANHAMENTO="PLE",
     IF(AUTOEVENTO="Manual",
         IF(AdmLocal="Automática",
              X53,
              SUMIF(OFFSET(CRONOPLE!$F$14,CRONOPLE!$A$8+1,1,1,OFFSET(CRONOPLE!$AF$12,0,-1)),"&lt;="&amp;X$12,OFFSET(EVENTOS!$G$14,CRONOPLE!$A$8+1,1,1,OFFSET(CRONOPLE!$AF$12,0,-1)))/OFFSET(EVENTOS!$G$14,CRONOPLE!$A$8+1,-1)),
         SUMIFS(OFFSET(CÁLCULO!$AA$15,$F$58,1,OFFSET(ORÇAMENTO!$D$15,$F$58,0),CÁLCULO.FrentesPreenchidas),OFFSET(CÁLCULO!$AL$15,$F$58,1,OFFSET(ORÇAMENTO!$D$15,$F$58,0),CÁLCULO.FrentesPreenchidas),"&lt;="&amp;X$12)/OFFSET(ORÇAMENTO!$X$15,$F$58,0)),
     IF(ACOMPANHAMENTO="BM",SUM(OFFSET($T$13,$F$58+2,1,1,X$12))/OFFSET($S$13,$F$58,0),"")))</f>
        <v>0.11066223546089562</v>
      </c>
      <c r="Y58" s="532">
        <f ca="1">IF($F$58="","",
  IF(ACOMPANHAMENTO="PLE",
     IF(AUTOEVENTO="Manual",
         IF(AdmLocal="Automática",
              Y53,
              SUMIF(OFFSET(CRONOPLE!$F$14,CRONOPLE!$A$8+1,1,1,OFFSET(CRONOPLE!$AF$12,0,-1)),"&lt;="&amp;Y$12,OFFSET(EVENTOS!$G$14,CRONOPLE!$A$8+1,1,1,OFFSET(CRONOPLE!$AF$12,0,-1)))/OFFSET(EVENTOS!$G$14,CRONOPLE!$A$8+1,-1)),
         SUMIFS(OFFSET(CÁLCULO!$AA$15,$F$58,1,OFFSET(ORÇAMENTO!$D$15,$F$58,0),CÁLCULO.FrentesPreenchidas),OFFSET(CÁLCULO!$AL$15,$F$58,1,OFFSET(ORÇAMENTO!$D$15,$F$58,0),CÁLCULO.FrentesPreenchidas),"&lt;="&amp;Y$12)/OFFSET(ORÇAMENTO!$X$15,$F$58,0)),
     IF(ACOMPANHAMENTO="BM",SUM(OFFSET($T$13,$F$58+2,1,1,Y$12))/OFFSET($S$13,$F$58,0),"")))</f>
        <v>0.16422142999435704</v>
      </c>
      <c r="Z58" s="532">
        <f ca="1">IF($F$58="","",
  IF(ACOMPANHAMENTO="PLE",
     IF(AUTOEVENTO="Manual",
         IF(AdmLocal="Automática",
              Z53,
              SUMIF(OFFSET(CRONOPLE!$F$14,CRONOPLE!$A$8+1,1,1,OFFSET(CRONOPLE!$AF$12,0,-1)),"&lt;="&amp;Z$12,OFFSET(EVENTOS!$G$14,CRONOPLE!$A$8+1,1,1,OFFSET(CRONOPLE!$AF$12,0,-1)))/OFFSET(EVENTOS!$G$14,CRONOPLE!$A$8+1,-1)),
         SUMIFS(OFFSET(CÁLCULO!$AA$15,$F$58,1,OFFSET(ORÇAMENTO!$D$15,$F$58,0),CÁLCULO.FrentesPreenchidas),OFFSET(CÁLCULO!$AL$15,$F$58,1,OFFSET(ORÇAMENTO!$D$15,$F$58,0),CÁLCULO.FrentesPreenchidas),"&lt;="&amp;Z$12)/OFFSET(ORÇAMENTO!$X$15,$F$58,0)),
     IF(ACOMPANHAMENTO="BM",SUM(OFFSET($T$13,$F$58+2,1,1,Z$12))/OFFSET($S$13,$F$58,0),"")))</f>
        <v>0.2079263917774101</v>
      </c>
      <c r="AA58" s="532">
        <f ca="1">IF($F$58="","",
  IF(ACOMPANHAMENTO="PLE",
     IF(AUTOEVENTO="Manual",
         IF(AdmLocal="Automática",
              AA53,
              SUMIF(OFFSET(CRONOPLE!$F$14,CRONOPLE!$A$8+1,1,1,OFFSET(CRONOPLE!$AF$12,0,-1)),"&lt;="&amp;AA$12,OFFSET(EVENTOS!$G$14,CRONOPLE!$A$8+1,1,1,OFFSET(CRONOPLE!$AF$12,0,-1)))/OFFSET(EVENTOS!$G$14,CRONOPLE!$A$8+1,-1)),
         SUMIFS(OFFSET(CÁLCULO!$AA$15,$F$58,1,OFFSET(ORÇAMENTO!$D$15,$F$58,0),CÁLCULO.FrentesPreenchidas),OFFSET(CÁLCULO!$AL$15,$F$58,1,OFFSET(ORÇAMENTO!$D$15,$F$58,0),CÁLCULO.FrentesPreenchidas),"&lt;="&amp;AA$12)/OFFSET(ORÇAMENTO!$X$15,$F$58,0)),
     IF(ACOMPANHAMENTO="BM",SUM(OFFSET($T$13,$F$58+2,1,1,AA$12))/OFFSET($S$13,$F$58,0),"")))</f>
        <v>0.23850101093892662</v>
      </c>
      <c r="AB58" s="532">
        <f ca="1">IF($F$58="","",
  IF(ACOMPANHAMENTO="PLE",
     IF(AUTOEVENTO="Manual",
         IF(AdmLocal="Automática",
              AB53,
              SUMIF(OFFSET(CRONOPLE!$F$14,CRONOPLE!$A$8+1,1,1,OFFSET(CRONOPLE!$AF$12,0,-1)),"&lt;="&amp;AB$12,OFFSET(EVENTOS!$G$14,CRONOPLE!$A$8+1,1,1,OFFSET(CRONOPLE!$AF$12,0,-1)))/OFFSET(EVENTOS!$G$14,CRONOPLE!$A$8+1,-1)),
         SUMIFS(OFFSET(CÁLCULO!$AA$15,$F$58,1,OFFSET(ORÇAMENTO!$D$15,$F$58,0),CÁLCULO.FrentesPreenchidas),OFFSET(CÁLCULO!$AL$15,$F$58,1,OFFSET(ORÇAMENTO!$D$15,$F$58,0),CÁLCULO.FrentesPreenchidas),"&lt;="&amp;AB$12)/OFFSET(ORÇAMENTO!$X$15,$F$58,0)),
     IF(ACOMPANHAMENTO="BM",SUM(OFFSET($T$13,$F$58+2,1,1,AB$12))/OFFSET($S$13,$F$58,0),"")))</f>
        <v>0.27706016592763993</v>
      </c>
      <c r="AC58" s="532">
        <f ca="1">IF($F$58="","",
  IF(ACOMPANHAMENTO="PLE",
     IF(AUTOEVENTO="Manual",
         IF(AdmLocal="Automática",
              AC53,
              SUMIF(OFFSET(CRONOPLE!$F$14,CRONOPLE!$A$8+1,1,1,OFFSET(CRONOPLE!$AF$12,0,-1)),"&lt;="&amp;AC$12,OFFSET(EVENTOS!$G$14,CRONOPLE!$A$8+1,1,1,OFFSET(CRONOPLE!$AF$12,0,-1)))/OFFSET(EVENTOS!$G$14,CRONOPLE!$A$8+1,-1)),
         SUMIFS(OFFSET(CÁLCULO!$AA$15,$F$58,1,OFFSET(ORÇAMENTO!$D$15,$F$58,0),CÁLCULO.FrentesPreenchidas),OFFSET(CÁLCULO!$AL$15,$F$58,1,OFFSET(ORÇAMENTO!$D$15,$F$58,0),CÁLCULO.FrentesPreenchidas),"&lt;="&amp;AC$12)/OFFSET(ORÇAMENTO!$X$15,$F$58,0)),
     IF(ACOMPANHAMENTO="BM",SUM(OFFSET($T$13,$F$58+2,1,1,AC$12))/OFFSET($S$13,$F$58,0),"")))</f>
        <v>0.32629491666329163</v>
      </c>
      <c r="AD58" s="532">
        <f ca="1">IF($F$58="","",
  IF(ACOMPANHAMENTO="PLE",
     IF(AUTOEVENTO="Manual",
         IF(AdmLocal="Automática",
              AD53,
              SUMIF(OFFSET(CRONOPLE!$F$14,CRONOPLE!$A$8+1,1,1,OFFSET(CRONOPLE!$AF$12,0,-1)),"&lt;="&amp;AD$12,OFFSET(EVENTOS!$G$14,CRONOPLE!$A$8+1,1,1,OFFSET(CRONOPLE!$AF$12,0,-1)))/OFFSET(EVENTOS!$G$14,CRONOPLE!$A$8+1,-1)),
         SUMIFS(OFFSET(CÁLCULO!$AA$15,$F$58,1,OFFSET(ORÇAMENTO!$D$15,$F$58,0),CÁLCULO.FrentesPreenchidas),OFFSET(CÁLCULO!$AL$15,$F$58,1,OFFSET(ORÇAMENTO!$D$15,$F$58,0),CÁLCULO.FrentesPreenchidas),"&lt;="&amp;AD$12)/OFFSET(ORÇAMENTO!$X$15,$F$58,0)),
     IF(ACOMPANHAMENTO="BM",SUM(OFFSET($T$13,$F$58+2,1,1,AD$12))/OFFSET($S$13,$F$58,0),"")))</f>
        <v>1</v>
      </c>
      <c r="AE58" s="532">
        <f ca="1">IF($F$58="","",
  IF(ACOMPANHAMENTO="PLE",
     IF(AUTOEVENTO="Manual",
         IF(AdmLocal="Automática",
              AE53,
              SUMIF(OFFSET(CRONOPLE!$F$14,CRONOPLE!$A$8+1,1,1,OFFSET(CRONOPLE!$AF$12,0,-1)),"&lt;="&amp;AE$12,OFFSET(EVENTOS!$G$14,CRONOPLE!$A$8+1,1,1,OFFSET(CRONOPLE!$AF$12,0,-1)))/OFFSET(EVENTOS!$G$14,CRONOPLE!$A$8+1,-1)),
         SUMIFS(OFFSET(CÁLCULO!$AA$15,$F$58,1,OFFSET(ORÇAMENTO!$D$15,$F$58,0),CÁLCULO.FrentesPreenchidas),OFFSET(CÁLCULO!$AL$15,$F$58,1,OFFSET(ORÇAMENTO!$D$15,$F$58,0),CÁLCULO.FrentesPreenchidas),"&lt;="&amp;AE$12)/OFFSET(ORÇAMENTO!$X$15,$F$58,0)),
     IF(ACOMPANHAMENTO="BM",SUM(OFFSET($T$13,$F$58+2,1,1,AE$12))/OFFSET($S$13,$F$58,0),"")))</f>
        <v>1</v>
      </c>
      <c r="AF58" s="532">
        <f ca="1">IF($F$58="","",
  IF(ACOMPANHAMENTO="PLE",
     IF(AUTOEVENTO="Manual",
         IF(AdmLocal="Automática",
              AF53,
              SUMIF(OFFSET(CRONOPLE!$F$14,CRONOPLE!$A$8+1,1,1,OFFSET(CRONOPLE!$AF$12,0,-1)),"&lt;="&amp;AF$12,OFFSET(EVENTOS!$G$14,CRONOPLE!$A$8+1,1,1,OFFSET(CRONOPLE!$AF$12,0,-1)))/OFFSET(EVENTOS!$G$14,CRONOPLE!$A$8+1,-1)),
         SUMIFS(OFFSET(CÁLCULO!$AA$15,$F$58,1,OFFSET(ORÇAMENTO!$D$15,$F$58,0),CÁLCULO.FrentesPreenchidas),OFFSET(CÁLCULO!$AL$15,$F$58,1,OFFSET(ORÇAMENTO!$D$15,$F$58,0),CÁLCULO.FrentesPreenchidas),"&lt;="&amp;AF$12)/OFFSET(ORÇAMENTO!$X$15,$F$58,0)),
     IF(ACOMPANHAMENTO="BM",SUM(OFFSET($T$13,$F$58+2,1,1,AF$12))/OFFSET($S$13,$F$58,0),"")))</f>
        <v>1</v>
      </c>
      <c r="AG58" s="534"/>
    </row>
    <row r="59" spans="4:33" ht="17.100000000000001" customHeight="1" x14ac:dyDescent="0.25">
      <c r="G59" s="185" t="s">
        <v>536</v>
      </c>
      <c r="H59" s="571" t="str" cm="1">
        <f t="array" ref="H59">IF(AND(ACOMPANHAMENTO="BM",$H$58=""),"↑ Não foi indicado o Macrosserviço de Administração Local","")</f>
        <v/>
      </c>
      <c r="T59" s="583" t="str">
        <f ca="1">IF(COUNTIF(U59:AG59,"%Adm&gt;%Global")&gt;0,"Verificar proporcionalidade da Administração Local","")</f>
        <v/>
      </c>
      <c r="U59" s="535" t="str">
        <f ca="1">IF(U58="","",IF(ROUND(U58,4)&gt;ROUND(U53,4),"%Adm&gt;%Global",""))</f>
        <v/>
      </c>
      <c r="V59" s="535" t="str">
        <f t="shared" ref="V59:AG59" ca="1" si="70">IF(V58="","",IF(ROUND(V58,4)&gt;ROUND(V53,4),"%Adm&gt;%Global",""))</f>
        <v/>
      </c>
      <c r="W59" s="535" t="str">
        <f t="shared" ca="1" si="70"/>
        <v/>
      </c>
      <c r="X59" s="535" t="str">
        <f t="shared" ca="1" si="70"/>
        <v/>
      </c>
      <c r="Y59" s="535" t="str">
        <f t="shared" ca="1" si="70"/>
        <v/>
      </c>
      <c r="Z59" s="535" t="str">
        <f t="shared" ca="1" si="70"/>
        <v/>
      </c>
      <c r="AA59" s="535" t="str">
        <f t="shared" ca="1" si="70"/>
        <v/>
      </c>
      <c r="AB59" s="535" t="str">
        <f t="shared" ca="1" si="70"/>
        <v/>
      </c>
      <c r="AC59" s="535" t="str">
        <f t="shared" ca="1" si="70"/>
        <v/>
      </c>
      <c r="AD59" s="535" t="str">
        <f t="shared" ca="1" si="70"/>
        <v/>
      </c>
      <c r="AE59" s="535" t="str">
        <f t="shared" ca="1" si="70"/>
        <v/>
      </c>
      <c r="AF59" s="535" t="str">
        <f t="shared" ca="1" si="70"/>
        <v/>
      </c>
      <c r="AG59" s="535" t="str">
        <f t="shared" si="70"/>
        <v/>
      </c>
    </row>
    <row r="60" spans="4:33" ht="32.25" customHeight="1" x14ac:dyDescent="0.2">
      <c r="G60" s="185" t="s">
        <v>536</v>
      </c>
      <c r="I60" s="716" t="str">
        <f>Import.Município</f>
        <v>BURITIZEIRO-MG</v>
      </c>
      <c r="J60" s="716"/>
      <c r="K60" s="716"/>
      <c r="L60" s="716"/>
      <c r="M60" s="716"/>
      <c r="N60" s="716"/>
      <c r="O60" s="716"/>
      <c r="P60" s="716"/>
      <c r="Q60" s="716"/>
      <c r="R60" s="716"/>
      <c r="S60" s="716"/>
      <c r="AA60" s="460"/>
      <c r="AB60" s="460"/>
      <c r="AC60" s="460"/>
      <c r="AD60" s="460"/>
      <c r="AE60" s="462"/>
      <c r="AF60" s="462"/>
    </row>
    <row r="61" spans="4:33" x14ac:dyDescent="0.2">
      <c r="G61" s="185" t="s">
        <v>536</v>
      </c>
      <c r="I61" s="9" t="s">
        <v>693</v>
      </c>
      <c r="J61"/>
      <c r="K61"/>
      <c r="L61"/>
      <c r="AA61" s="181" t="s">
        <v>696</v>
      </c>
      <c r="AB61" s="181"/>
      <c r="AC61" s="181"/>
      <c r="AD61" s="181"/>
      <c r="AE61" s="185"/>
      <c r="AF61" s="185"/>
    </row>
    <row r="62" spans="4:33" x14ac:dyDescent="0.2">
      <c r="G62" s="185" t="s">
        <v>536</v>
      </c>
      <c r="I62"/>
      <c r="J62"/>
      <c r="K62"/>
      <c r="L62"/>
      <c r="AA62" s="398" t="str">
        <f t="array" aca="1" ref="AA62:AA64" ca="1">OFFSET(Import.RespOrçamento,0,-1) &amp; " " &amp; Import.RespOrçamento</f>
        <v>Nome: RAFAEL LACERDA MAIA</v>
      </c>
      <c r="AC62"/>
      <c r="AD62" s="79"/>
      <c r="AE62" s="185"/>
      <c r="AF62" s="185"/>
    </row>
    <row r="63" spans="4:33" x14ac:dyDescent="0.2">
      <c r="G63" s="185" t="s">
        <v>536</v>
      </c>
      <c r="I63" s="769">
        <f>DADOS!$C$25</f>
        <v>46107</v>
      </c>
      <c r="J63" s="769"/>
      <c r="K63" s="769"/>
      <c r="L63" s="180"/>
      <c r="M63" s="245"/>
      <c r="N63" s="245"/>
      <c r="O63" s="245"/>
      <c r="P63" s="245"/>
      <c r="Q63" s="245"/>
      <c r="R63" s="245"/>
      <c r="S63" s="246"/>
      <c r="AA63" s="398" t="str">
        <f ca="1"/>
        <v>CREA/CAU: 173.269/D</v>
      </c>
      <c r="AC63" s="79"/>
      <c r="AD63" s="79"/>
      <c r="AE63" s="185"/>
      <c r="AF63" s="185"/>
    </row>
    <row r="64" spans="4:33" x14ac:dyDescent="0.2">
      <c r="G64" s="185" t="s">
        <v>536</v>
      </c>
      <c r="I64" s="9" t="s">
        <v>694</v>
      </c>
      <c r="J64"/>
      <c r="K64"/>
      <c r="L64"/>
      <c r="AA64" s="398" t="str">
        <f ca="1"/>
        <v>ART/RRT: MG20254479691</v>
      </c>
      <c r="AC64" s="79"/>
      <c r="AD64" s="79"/>
      <c r="AE64" s="185"/>
      <c r="AF64" s="185"/>
    </row>
  </sheetData>
  <sheetProtection algorithmName="SHA-512" hashValue="KV9a09hy7x5yOmciYmHOHw0RFs4XE2/13ivtVM1WU7HTtfSkBwh+ifDedJl1mlivZsgHgcGvSytIyt+bVSWHjw==" saltValue="egZpwxObN77Dga3fmog9RQ==" spinCount="100000" sheet="1" objects="1" scenarios="1" autoFilter="0"/>
  <autoFilter ref="G13:G64" xr:uid="{00000000-0009-0000-0000-000007000000}">
    <filterColumn colId="0">
      <filters>
        <filter val="F"/>
      </filters>
    </filterColumn>
  </autoFilter>
  <mergeCells count="18">
    <mergeCell ref="T12:T13"/>
    <mergeCell ref="L8:T8"/>
    <mergeCell ref="U8:Y8"/>
    <mergeCell ref="K10:T11"/>
    <mergeCell ref="I48:K49"/>
    <mergeCell ref="H12:H13"/>
    <mergeCell ref="I12:I13"/>
    <mergeCell ref="J12:J13"/>
    <mergeCell ref="I63:K63"/>
    <mergeCell ref="I60:S60"/>
    <mergeCell ref="H58:J58"/>
    <mergeCell ref="S12:S13"/>
    <mergeCell ref="G8:G11"/>
    <mergeCell ref="I8:J8"/>
    <mergeCell ref="H7:H9"/>
    <mergeCell ref="AE4:AF4"/>
    <mergeCell ref="AE5:AF5"/>
    <mergeCell ref="Z8:AE8"/>
  </mergeCells>
  <phoneticPr fontId="38" type="noConversion"/>
  <conditionalFormatting sqref="U12:U13">
    <cfRule type="expression" dxfId="231" priority="16608" stopIfTrue="1">
      <formula>NOT(ISNUMBER(T$12))</formula>
    </cfRule>
  </conditionalFormatting>
  <conditionalFormatting sqref="E2 U2:AF2">
    <cfRule type="expression" dxfId="230" priority="16609" stopIfTrue="1">
      <formula>AND(ISNUMBER($H1),$H1&lt;&gt;0)</formula>
    </cfRule>
  </conditionalFormatting>
  <conditionalFormatting sqref="I2:S2">
    <cfRule type="expression" dxfId="229" priority="16610" stopIfTrue="1">
      <formula>$M1=2</formula>
    </cfRule>
    <cfRule type="expression" dxfId="228" priority="16611" stopIfTrue="1">
      <formula>AND($M1=1,$S1&lt;&gt;"")</formula>
    </cfRule>
  </conditionalFormatting>
  <conditionalFormatting sqref="I1:S1">
    <cfRule type="expression" dxfId="227" priority="16612" stopIfTrue="1">
      <formula>$M1=2</formula>
    </cfRule>
    <cfRule type="expression" dxfId="226" priority="16613" stopIfTrue="1">
      <formula>AND($M1=1,$S1&lt;&gt;"")</formula>
    </cfRule>
  </conditionalFormatting>
  <conditionalFormatting sqref="E48 E50 E52:E53 E55 E57 U57:AF57 U48:AF48 U50:AF50 U52:AF53 U55:AF55">
    <cfRule type="expression" dxfId="225" priority="16614" stopIfTrue="1">
      <formula>D$53=1</formula>
    </cfRule>
  </conditionalFormatting>
  <conditionalFormatting sqref="E49 E51 E54 E56 E58 U49:AF49 U51:AF51 U54:AF54 U56:AF56 U58:AF58">
    <cfRule type="expression" dxfId="224" priority="16615" stopIfTrue="1">
      <formula>D$53=1</formula>
    </cfRule>
  </conditionalFormatting>
  <conditionalFormatting sqref="AF7:AF8">
    <cfRule type="expression" dxfId="223" priority="16619" stopIfTrue="1">
      <formula>OR(TIPOORCAMENTO&lt;&gt;"Licitado",QCI.ExisteManual)</formula>
    </cfRule>
  </conditionalFormatting>
  <conditionalFormatting sqref="Z7:AE8">
    <cfRule type="expression" dxfId="222" priority="16607" stopIfTrue="1">
      <formula>QCI.ExisteManual</formula>
    </cfRule>
  </conditionalFormatting>
  <conditionalFormatting sqref="H2">
    <cfRule type="expression" dxfId="221" priority="12753">
      <formula>AND(H1&lt;&gt;0,ISNUMBER(H1))</formula>
    </cfRule>
  </conditionalFormatting>
  <conditionalFormatting sqref="E58 U58:AF58">
    <cfRule type="expression" dxfId="220" priority="12744">
      <formula>ROUND(E58,4)&gt;ROUND(E53,4)</formula>
    </cfRule>
  </conditionalFormatting>
  <conditionalFormatting sqref="H1">
    <cfRule type="expression" dxfId="219" priority="12743">
      <formula>AND(H1&lt;&gt;0,ISNUMBER(H1))</formula>
    </cfRule>
  </conditionalFormatting>
  <conditionalFormatting sqref="H58:J58">
    <cfRule type="expression" dxfId="218" priority="12742">
      <formula>$H$57=""</formula>
    </cfRule>
  </conditionalFormatting>
  <conditionalFormatting sqref="E58">
    <cfRule type="expression" dxfId="217" priority="12735" stopIfTrue="1">
      <formula>D$53=1</formula>
    </cfRule>
  </conditionalFormatting>
  <conditionalFormatting sqref="E1">
    <cfRule type="expression" dxfId="216" priority="12732" stopIfTrue="1">
      <formula>E1&lt;&gt;0</formula>
    </cfRule>
  </conditionalFormatting>
  <conditionalFormatting sqref="E2">
    <cfRule type="expression" dxfId="215" priority="12731">
      <formula>AND(_xlfn.SINGLE(ACOMPANHAMENTO)="BM",E2&gt;ROUND(E2,4))</formula>
    </cfRule>
  </conditionalFormatting>
  <conditionalFormatting sqref="E58">
    <cfRule type="expression" dxfId="214" priority="12730" stopIfTrue="1">
      <formula>D$53=1</formula>
    </cfRule>
  </conditionalFormatting>
  <conditionalFormatting sqref="U1:AF1">
    <cfRule type="expression" dxfId="213" priority="2686" stopIfTrue="1">
      <formula>U1&lt;&gt;0</formula>
    </cfRule>
  </conditionalFormatting>
  <conditionalFormatting sqref="U2:AF2">
    <cfRule type="expression" dxfId="212" priority="2685">
      <formula>AND(_xlfn.SINGLE(ACOMPANHAMENTO)="BM",U2&gt;ROUND(U2,4))</formula>
    </cfRule>
  </conditionalFormatting>
  <conditionalFormatting sqref="E15 E18 E21 U15:AF15 U18:AF18 U21:AF21">
    <cfRule type="expression" dxfId="211" priority="216" stopIfTrue="1">
      <formula>AND(ISNUMBER($H14),$H14&lt;&gt;0)</formula>
    </cfRule>
  </conditionalFormatting>
  <conditionalFormatting sqref="I15:S15 I18:S18 I21:S21">
    <cfRule type="expression" dxfId="210" priority="217" stopIfTrue="1">
      <formula>$M14=2</formula>
    </cfRule>
    <cfRule type="expression" dxfId="209" priority="218" stopIfTrue="1">
      <formula>AND($M14=1,$S14&lt;&gt;"")</formula>
    </cfRule>
  </conditionalFormatting>
  <conditionalFormatting sqref="I14:S14 I17:S17 I20:S20">
    <cfRule type="expression" dxfId="208" priority="219" stopIfTrue="1">
      <formula>$M14=2</formula>
    </cfRule>
    <cfRule type="expression" dxfId="207" priority="220" stopIfTrue="1">
      <formula>AND($M14=1,$S14&lt;&gt;"")</formula>
    </cfRule>
  </conditionalFormatting>
  <conditionalFormatting sqref="H15 H18 H21">
    <cfRule type="expression" dxfId="206" priority="215">
      <formula>AND(H14&lt;&gt;0,ISNUMBER(H14))</formula>
    </cfRule>
  </conditionalFormatting>
  <conditionalFormatting sqref="H14 H17 H20">
    <cfRule type="expression" dxfId="205" priority="214">
      <formula>AND(H14&lt;&gt;0,ISNUMBER(H14))</formula>
    </cfRule>
  </conditionalFormatting>
  <conditionalFormatting sqref="E14 E17 E20">
    <cfRule type="expression" dxfId="204" priority="213" stopIfTrue="1">
      <formula>E14&lt;&gt;0</formula>
    </cfRule>
  </conditionalFormatting>
  <conditionalFormatting sqref="E15 E18 E21">
    <cfRule type="expression" dxfId="203" priority="212">
      <formula>AND(_xlfn.SINGLE(ACOMPANHAMENTO)="BM",E15&gt;ROUND(E15,4))</formula>
    </cfRule>
  </conditionalFormatting>
  <conditionalFormatting sqref="U14:AF14 U17:AF17 U20:AF20">
    <cfRule type="expression" dxfId="202" priority="211" stopIfTrue="1">
      <formula>U14&lt;&gt;0</formula>
    </cfRule>
  </conditionalFormatting>
  <conditionalFormatting sqref="U15:AF15 U18:AF18 U21:AF21">
    <cfRule type="expression" dxfId="201" priority="210">
      <formula>AND(_xlfn.SINGLE(ACOMPANHAMENTO)="BM",U15&gt;ROUND(U15,4))</formula>
    </cfRule>
  </conditionalFormatting>
  <conditionalFormatting sqref="E24 U24:AF24">
    <cfRule type="expression" dxfId="200" priority="205" stopIfTrue="1">
      <formula>AND(ISNUMBER($H23),$H23&lt;&gt;0)</formula>
    </cfRule>
  </conditionalFormatting>
  <conditionalFormatting sqref="I24:S24">
    <cfRule type="expression" dxfId="199" priority="206" stopIfTrue="1">
      <formula>$M23=2</formula>
    </cfRule>
    <cfRule type="expression" dxfId="198" priority="207" stopIfTrue="1">
      <formula>AND($M23=1,$S23&lt;&gt;"")</formula>
    </cfRule>
  </conditionalFormatting>
  <conditionalFormatting sqref="I23:S23">
    <cfRule type="expression" dxfId="197" priority="208" stopIfTrue="1">
      <formula>$M23=2</formula>
    </cfRule>
    <cfRule type="expression" dxfId="196" priority="209" stopIfTrue="1">
      <formula>AND($M23=1,$S23&lt;&gt;"")</formula>
    </cfRule>
  </conditionalFormatting>
  <conditionalFormatting sqref="H24">
    <cfRule type="expression" dxfId="195" priority="204">
      <formula>AND(H23&lt;&gt;0,ISNUMBER(H23))</formula>
    </cfRule>
  </conditionalFormatting>
  <conditionalFormatting sqref="H23">
    <cfRule type="expression" dxfId="194" priority="203">
      <formula>AND(H23&lt;&gt;0,ISNUMBER(H23))</formula>
    </cfRule>
  </conditionalFormatting>
  <conditionalFormatting sqref="E23">
    <cfRule type="expression" dxfId="193" priority="202" stopIfTrue="1">
      <formula>E23&lt;&gt;0</formula>
    </cfRule>
  </conditionalFormatting>
  <conditionalFormatting sqref="E24">
    <cfRule type="expression" dxfId="192" priority="201">
      <formula>AND(_xlfn.SINGLE(ACOMPANHAMENTO)="BM",E24&gt;ROUND(E24,4))</formula>
    </cfRule>
  </conditionalFormatting>
  <conditionalFormatting sqref="U23:AF23">
    <cfRule type="expression" dxfId="191" priority="200" stopIfTrue="1">
      <formula>U23&lt;&gt;0</formula>
    </cfRule>
  </conditionalFormatting>
  <conditionalFormatting sqref="U24:AF24">
    <cfRule type="expression" dxfId="190" priority="199">
      <formula>AND(_xlfn.SINGLE(ACOMPANHAMENTO)="BM",U24&gt;ROUND(U24,4))</formula>
    </cfRule>
  </conditionalFormatting>
  <conditionalFormatting sqref="E27 E30 E33 U27:AF27 U30:AF30 U33:AF33">
    <cfRule type="expression" dxfId="189" priority="29" stopIfTrue="1">
      <formula>AND(ISNUMBER($H26),$H26&lt;&gt;0)</formula>
    </cfRule>
  </conditionalFormatting>
  <conditionalFormatting sqref="I27:S27 I30:S30 I33:S33">
    <cfRule type="expression" dxfId="188" priority="30" stopIfTrue="1">
      <formula>$M26=2</formula>
    </cfRule>
    <cfRule type="expression" dxfId="187" priority="31" stopIfTrue="1">
      <formula>AND($M26=1,$S26&lt;&gt;"")</formula>
    </cfRule>
  </conditionalFormatting>
  <conditionalFormatting sqref="I26:S26 I29:S29 I32:S32">
    <cfRule type="expression" dxfId="186" priority="32" stopIfTrue="1">
      <formula>$M26=2</formula>
    </cfRule>
    <cfRule type="expression" dxfId="185" priority="33" stopIfTrue="1">
      <formula>AND($M26=1,$S26&lt;&gt;"")</formula>
    </cfRule>
  </conditionalFormatting>
  <conditionalFormatting sqref="H27 H30 H33">
    <cfRule type="expression" dxfId="184" priority="28">
      <formula>AND(H26&lt;&gt;0,ISNUMBER(H26))</formula>
    </cfRule>
  </conditionalFormatting>
  <conditionalFormatting sqref="H26 H29 H32">
    <cfRule type="expression" dxfId="183" priority="27">
      <formula>AND(H26&lt;&gt;0,ISNUMBER(H26))</formula>
    </cfRule>
  </conditionalFormatting>
  <conditionalFormatting sqref="E26 E29 E32">
    <cfRule type="expression" dxfId="182" priority="26" stopIfTrue="1">
      <formula>E26&lt;&gt;0</formula>
    </cfRule>
  </conditionalFormatting>
  <conditionalFormatting sqref="E27 E30 E33">
    <cfRule type="expression" dxfId="181" priority="25">
      <formula>AND(_xlfn.SINGLE(ACOMPANHAMENTO)="BM",E27&gt;ROUND(E27,4))</formula>
    </cfRule>
  </conditionalFormatting>
  <conditionalFormatting sqref="U26:AF26 U29:AF29 U32:AF32">
    <cfRule type="expression" dxfId="180" priority="24" stopIfTrue="1">
      <formula>U26&lt;&gt;0</formula>
    </cfRule>
  </conditionalFormatting>
  <conditionalFormatting sqref="U27:AF27 U30:AF30 U33:AF33">
    <cfRule type="expression" dxfId="179" priority="23">
      <formula>AND(_xlfn.SINGLE(ACOMPANHAMENTO)="BM",U27&gt;ROUND(U27,4))</formula>
    </cfRule>
  </conditionalFormatting>
  <conditionalFormatting sqref="E36 E39 E42 U36:AF36 U39:AF39 U42:AF42">
    <cfRule type="expression" dxfId="178" priority="18" stopIfTrue="1">
      <formula>AND(ISNUMBER($H35),$H35&lt;&gt;0)</formula>
    </cfRule>
  </conditionalFormatting>
  <conditionalFormatting sqref="I36:S36 I39:S39 I42:S42">
    <cfRule type="expression" dxfId="177" priority="19" stopIfTrue="1">
      <formula>$M35=2</formula>
    </cfRule>
    <cfRule type="expression" dxfId="176" priority="20" stopIfTrue="1">
      <formula>AND($M35=1,$S35&lt;&gt;"")</formula>
    </cfRule>
  </conditionalFormatting>
  <conditionalFormatting sqref="I35:S35 I38:S38 I41:S41">
    <cfRule type="expression" dxfId="175" priority="21" stopIfTrue="1">
      <formula>$M35=2</formula>
    </cfRule>
    <cfRule type="expression" dxfId="174" priority="22" stopIfTrue="1">
      <formula>AND($M35=1,$S35&lt;&gt;"")</formula>
    </cfRule>
  </conditionalFormatting>
  <conditionalFormatting sqref="H36 H39 H42">
    <cfRule type="expression" dxfId="173" priority="17">
      <formula>AND(H35&lt;&gt;0,ISNUMBER(H35))</formula>
    </cfRule>
  </conditionalFormatting>
  <conditionalFormatting sqref="H35 H38 H41">
    <cfRule type="expression" dxfId="172" priority="16">
      <formula>AND(H35&lt;&gt;0,ISNUMBER(H35))</formula>
    </cfRule>
  </conditionalFormatting>
  <conditionalFormatting sqref="E35 E38 E41">
    <cfRule type="expression" dxfId="171" priority="15" stopIfTrue="1">
      <formula>E35&lt;&gt;0</formula>
    </cfRule>
  </conditionalFormatting>
  <conditionalFormatting sqref="E36 E39 E42">
    <cfRule type="expression" dxfId="170" priority="14">
      <formula>AND(_xlfn.SINGLE(ACOMPANHAMENTO)="BM",E36&gt;ROUND(E36,4))</formula>
    </cfRule>
  </conditionalFormatting>
  <conditionalFormatting sqref="U35:AF35 U38:AF38 U41:AF41">
    <cfRule type="expression" dxfId="169" priority="13" stopIfTrue="1">
      <formula>U35&lt;&gt;0</formula>
    </cfRule>
  </conditionalFormatting>
  <conditionalFormatting sqref="U36:AF36 U39:AF39 U42:AF42">
    <cfRule type="expression" dxfId="168" priority="12">
      <formula>AND(_xlfn.SINGLE(ACOMPANHAMENTO)="BM",U36&gt;ROUND(U36,4))</formula>
    </cfRule>
  </conditionalFormatting>
  <conditionalFormatting sqref="E45 U45:AF45">
    <cfRule type="expression" dxfId="167" priority="7" stopIfTrue="1">
      <formula>AND(ISNUMBER($H44),$H44&lt;&gt;0)</formula>
    </cfRule>
  </conditionalFormatting>
  <conditionalFormatting sqref="I45:S45">
    <cfRule type="expression" dxfId="166" priority="8" stopIfTrue="1">
      <formula>$M44=2</formula>
    </cfRule>
    <cfRule type="expression" dxfId="165" priority="9" stopIfTrue="1">
      <formula>AND($M44=1,$S44&lt;&gt;"")</formula>
    </cfRule>
  </conditionalFormatting>
  <conditionalFormatting sqref="I44:S44">
    <cfRule type="expression" dxfId="164" priority="10" stopIfTrue="1">
      <formula>$M44=2</formula>
    </cfRule>
    <cfRule type="expression" dxfId="163" priority="11" stopIfTrue="1">
      <formula>AND($M44=1,$S44&lt;&gt;"")</formula>
    </cfRule>
  </conditionalFormatting>
  <conditionalFormatting sqref="H45">
    <cfRule type="expression" dxfId="162" priority="6">
      <formula>AND(H44&lt;&gt;0,ISNUMBER(H44))</formula>
    </cfRule>
  </conditionalFormatting>
  <conditionalFormatting sqref="H44">
    <cfRule type="expression" dxfId="161" priority="5">
      <formula>AND(H44&lt;&gt;0,ISNUMBER(H44))</formula>
    </cfRule>
  </conditionalFormatting>
  <conditionalFormatting sqref="E44">
    <cfRule type="expression" dxfId="160" priority="4" stopIfTrue="1">
      <formula>E44&lt;&gt;0</formula>
    </cfRule>
  </conditionalFormatting>
  <conditionalFormatting sqref="E45">
    <cfRule type="expression" dxfId="159" priority="3">
      <formula>AND(_xlfn.SINGLE(ACOMPANHAMENTO)="BM",E45&gt;ROUND(E45,4))</formula>
    </cfRule>
  </conditionalFormatting>
  <conditionalFormatting sqref="U44:AF44">
    <cfRule type="expression" dxfId="158" priority="2" stopIfTrue="1">
      <formula>U44&lt;&gt;0</formula>
    </cfRule>
  </conditionalFormatting>
  <conditionalFormatting sqref="U45:AF45">
    <cfRule type="expression" dxfId="157" priority="1">
      <formula>AND(_xlfn.SINGLE(ACOMPANHAMENTO)="BM",U45&gt;ROUND(U45,4))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U23:AF23 E26 E29 E32 U26:AF26 U29:AF29 U32:AF32 E35 E38 E41 U35:AF35 U38:AF38 U41:AF41 E44 U44:AF44"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U24:AG24 E27 E30 E33 U27:AG27 U30:AG30 U33:AG33 E36 E39 E42 U36:AG36 U39:AG39 U42:AG42 E45 U45:AG45"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58:J58"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filterMode="1">
    <pageSetUpPr fitToPage="1"/>
  </sheetPr>
  <dimension ref="A1:AE28"/>
  <sheetViews>
    <sheetView showGridLines="0" zoomScaleNormal="100" zoomScaleSheetLayoutView="90" workbookViewId="0">
      <pane xSplit="7" ySplit="13" topLeftCell="H20"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683" t="s">
        <v>650</v>
      </c>
      <c r="E3" s="683"/>
      <c r="F3" s="87" t="s">
        <v>707</v>
      </c>
      <c r="G3" s="683" t="s">
        <v>652</v>
      </c>
      <c r="H3" s="683"/>
      <c r="I3" s="683"/>
      <c r="J3" s="776" t="s">
        <v>808</v>
      </c>
      <c r="K3" s="776"/>
      <c r="L3" s="776"/>
      <c r="M3" s="777" t="s">
        <v>809</v>
      </c>
      <c r="N3" s="777"/>
      <c r="O3" s="777"/>
      <c r="Z3" s="102">
        <f ca="1">MAX(Z7:AB7)</f>
        <v>0</v>
      </c>
      <c r="AA3" s="273" cm="1">
        <f t="array" aca="1" ref="AA3" ca="1">IF(OR($O$15=ORÇAMENTO.SumINVMANUAL+QCI.SumINVMANUAL,$O$15=0),0,MIN(MAX(0,($Z$3*$O$15-ORÇAMENTO.SumCPMANUAL-QCI.SumCPMANUAL)/($O$15-ORÇAMENTO.SumINVMANUAL-QCI.SumINVMANUAL)),1))</f>
        <v>0</v>
      </c>
      <c r="AB3" s="92"/>
    </row>
    <row r="4" spans="1:31" x14ac:dyDescent="0.2">
      <c r="A4" t="s">
        <v>977</v>
      </c>
      <c r="D4" s="680" t="str">
        <f>Import.CR</f>
        <v>1099388-52</v>
      </c>
      <c r="E4" s="680"/>
      <c r="F4" s="56" t="str">
        <f>Import.TransfereGOV</f>
        <v>974020</v>
      </c>
      <c r="G4" s="680" t="str">
        <f>Import.Proponente</f>
        <v>MINISTÉRIO DAS CIDADES</v>
      </c>
      <c r="H4" s="680"/>
      <c r="I4" s="680"/>
      <c r="J4" s="778" t="str">
        <f>Import.Município</f>
        <v>BURITIZEIRO-MG</v>
      </c>
      <c r="K4" s="778"/>
      <c r="L4" s="778"/>
      <c r="M4" s="777"/>
      <c r="N4" s="777"/>
      <c r="O4" s="777"/>
      <c r="R4" s="129"/>
      <c r="Z4" s="92"/>
      <c r="AA4" s="92"/>
      <c r="AB4" s="92"/>
    </row>
    <row r="5" spans="1:31" ht="5.0999999999999996" customHeight="1" x14ac:dyDescent="0.2">
      <c r="A5" t="s">
        <v>978</v>
      </c>
      <c r="M5" s="265"/>
      <c r="O5" s="4"/>
    </row>
    <row r="6" spans="1:31" x14ac:dyDescent="0.2">
      <c r="A6" t="s">
        <v>979</v>
      </c>
      <c r="D6" s="683" t="s">
        <v>708</v>
      </c>
      <c r="E6" s="683"/>
      <c r="F6" s="683"/>
      <c r="G6" s="683"/>
      <c r="H6" s="683"/>
      <c r="I6" s="683"/>
      <c r="J6" s="683"/>
      <c r="K6" s="683"/>
      <c r="L6" s="274" t="s">
        <v>715</v>
      </c>
      <c r="M6" s="87" t="str">
        <f>IF(import.recurso="FGTS","FINANCIAMENTO","REPASSE")</f>
        <v>REPASSE</v>
      </c>
      <c r="N6" s="87" t="s">
        <v>810</v>
      </c>
      <c r="O6" s="87" t="s">
        <v>811</v>
      </c>
      <c r="Z6" t="s">
        <v>812</v>
      </c>
      <c r="AA6" t="s">
        <v>813</v>
      </c>
      <c r="AB6" t="s">
        <v>814</v>
      </c>
    </row>
    <row r="7" spans="1:31" ht="12.75" customHeight="1" x14ac:dyDescent="0.2">
      <c r="A7" s="658" t="s">
        <v>982</v>
      </c>
      <c r="C7" s="709" t="s">
        <v>655</v>
      </c>
      <c r="D7" s="680" t="str">
        <f>Import.Apelido</f>
        <v>USINA DE TRIAGEM MECANIZADA</v>
      </c>
      <c r="E7" s="680"/>
      <c r="F7" s="680"/>
      <c r="G7" s="680"/>
      <c r="H7" s="680"/>
      <c r="I7" s="680"/>
      <c r="J7" s="680"/>
      <c r="K7" s="680"/>
      <c r="L7" s="275" t="str">
        <f>import.recurso</f>
        <v>OGU</v>
      </c>
      <c r="M7" s="276">
        <f>Import.Repasse</f>
        <v>21838620</v>
      </c>
      <c r="N7" s="276">
        <f>Import.Contrapartida</f>
        <v>0</v>
      </c>
      <c r="O7" s="276">
        <f>M7+N7</f>
        <v>21838620</v>
      </c>
      <c r="Z7" s="102">
        <f>ROUND(Import.CPMinPerc,4)</f>
        <v>0</v>
      </c>
      <c r="AA7" s="102">
        <f ca="1">IF($O$15=0,0,Import.CPMinAbsoluta/$O$15)</f>
        <v>0</v>
      </c>
      <c r="AB7" s="102">
        <f ca="1">IF($O$15=0,0,($O$15-$AB$15-Import.Repasse)/($O$15))</f>
        <v>-2.0741368872880452E-2</v>
      </c>
    </row>
    <row r="8" spans="1:31" x14ac:dyDescent="0.2">
      <c r="A8" t="s">
        <v>819</v>
      </c>
      <c r="C8" s="709"/>
      <c r="D8" s="92"/>
      <c r="E8" s="92"/>
      <c r="F8" s="277"/>
      <c r="G8" s="92"/>
      <c r="H8" s="92"/>
      <c r="I8" s="92"/>
      <c r="J8" s="92"/>
      <c r="K8" s="92"/>
      <c r="L8" s="92"/>
      <c r="M8" s="92"/>
      <c r="N8" s="92"/>
      <c r="O8" s="92"/>
    </row>
    <row r="9" spans="1:31" ht="12.75" customHeight="1" x14ac:dyDescent="0.2">
      <c r="A9" t="s">
        <v>981</v>
      </c>
      <c r="C9" s="709"/>
      <c r="G9" s="782" t="str">
        <f ca="1">IF($T$11&lt;&gt;"","PREENCHIMENTO INCOMPLETO DA TABELA AUXILIAR DO QCI",
  IF($G$11&lt;&gt;"","PREENCHIMENTO INCOMPLETO DA TABELA PRINCIPAL DO QCI",
  IF(AND($O$15&gt;0,$M$16&gt;Import.CPMaxPerc,Import.CPMaxPerc&gt;0),"ERRO: CONTRAPARTIDA MAIOR QUE A MÁXIMA",
  IF(OR(AND($O$15&gt;0,$M$16&lt;QCI!$Z$7),$M$15&lt;ROUND(Import.CPMinAbsoluta,2)),"ERRO: CONTRAPARTIDA MENOR QUE A MÍNIMA",
  IF(OR($L$10&lt;0,$M$10&lt;0),"ERRO: SALDO NEGATIVO",
  IF(COUNTIF($L$13:$L$15,"&lt;0")&gt;0,"ERRO: VALORES DE REPASSE NEGATIVOS",
  IF(OFFSET($A$15,-1,0)&lt;OFFSET(ORÇAMENTO!$E$93,-1,0),"ERRO: NÚMERO DE LINHAS DO QCI INSUFICIENTE. CLIQUE NO BOTÃO ADICIONAR LINHAS",
  "")))))))</f>
        <v/>
      </c>
      <c r="H9" s="782"/>
      <c r="I9" s="512"/>
      <c r="J9" s="511"/>
      <c r="K9" s="781" t="s">
        <v>815</v>
      </c>
      <c r="L9" s="278" t="str">
        <f>$L$13</f>
        <v>Repasse (R$)</v>
      </c>
      <c r="M9" s="278" t="s">
        <v>741</v>
      </c>
      <c r="AD9" s="779"/>
      <c r="AE9" s="779"/>
    </row>
    <row r="10" spans="1:31" ht="12.75" customHeight="1" x14ac:dyDescent="0.2">
      <c r="A10" s="783" t="s">
        <v>816</v>
      </c>
      <c r="C10" s="709"/>
      <c r="G10" s="782"/>
      <c r="H10" s="782"/>
      <c r="I10" s="512"/>
      <c r="J10" s="511"/>
      <c r="K10" s="781"/>
      <c r="L10" s="279">
        <f ca="1">Import.Repasse-L15</f>
        <v>443758.71000000089</v>
      </c>
      <c r="M10" s="280">
        <f ca="1">Import.Contrapartida-M15</f>
        <v>0</v>
      </c>
      <c r="Z10" s="723" t="s">
        <v>721</v>
      </c>
      <c r="AA10" s="723"/>
      <c r="AB10" s="723"/>
      <c r="AD10" s="779" t="s">
        <v>817</v>
      </c>
      <c r="AE10" s="779"/>
    </row>
    <row r="11" spans="1:31" ht="20.100000000000001" customHeight="1" x14ac:dyDescent="0.25">
      <c r="A11" s="783"/>
      <c r="C11" s="709"/>
      <c r="G11" s="582" t="str">
        <f ca="1">IF(COUNTIF($P$13:$P$15,"ITEM")&gt;0,"Falta definir o ITEM de Investimento da Meta "&amp;INDEX($D$13:$D$15,MATCH("ITEM",$P$13:$P$15,0)),
  IF(COUNTIF($P$13:$P$15,"SUBITEM")&gt;0,"Falta definir o SUBITEM de Investimento da Meta "&amp;INDEX($D$13:$D$15,MATCH("SUBITEM",$P$13:$P$15,0)),
  IF(COUNTIF($P$13:$P$15,"SITUAÇÃO")&gt;0,"Falta definir a SITUAÇÃO do Investimento da Meta "&amp;INDEX($D$13:$D$15,MATCH("SITUAÇÃO",$P$13:$P$15,0)),
  IF(COUNTIF($P$13:$P$15,"QUANT.")&gt;0,"Falta preencher a QUANTIDADE da Meta "&amp;INDEX($D$13:$D$15,MATCH("QUANT.",$P$13:$P$15,0)),
  ""))))</f>
        <v/>
      </c>
      <c r="T11" s="521" t="str">
        <f>IF(COUNTIF($S$13:$S$15,"► LOTE")&gt;0,"Falta preencher o LOTE/CTEF da Meta "&amp;INDEX($D$13:$D$15,MATCH("► LOTE",$S$13:$S$15,0)),
  IF(COUNTIF($S$13:$S$15,"► INVEST")&gt;0,"Falta preencher o valor do INVESTIMENTO da Meta "&amp;INDEX($D$13:$D$15,MATCH("► INVEST",$S$13:$S$15,0)),
  IF(COUNTIF($S$13:$S$15,"► DIV")&gt;0,"Falta definir a DIVISÃO do Investimento da Meta "&amp;INDEX($D$13:$D$15,MATCH("► DIV",$S$13:$S$15,0)),
  IF(COUNTIF($S$13:$S$15,"► CP")&gt;0,"Falta preencher o valor da CONTRAPARTIDA da Meta "&amp;INDEX($D$13:$D$15,MATCH("► CP",$S$13:$S$15,0)),
  IF(COUNTIF($S$13:$S$15,"► OU")&gt;0,"Falta preencher o valor de OUTROS recursos da Meta "&amp;INDEX($D$13:$D$15,MATCH("► OU",$S$13:$S$15,0)),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IF(NOT(ISBLANK(QCI.DescManual)),IF(QCI.Divisao="Calculado","Manual","SemiAuto"),IF(ISERROR(MATCH($A12,ORÇAMENTO!$E$15:$E$93,0)),"Branco","Automático"))</f>
        <v>Branco</v>
      </c>
      <c r="C12" t="str">
        <f ca="1">IF(O12&gt;0,"F","")</f>
        <v/>
      </c>
      <c r="D12" s="281">
        <f>ROW()-ROW($D$13)</f>
        <v>-1</v>
      </c>
      <c r="E12" s="118"/>
      <c r="F12" s="118"/>
      <c r="G12" s="163" t="str">
        <f ca="1">IF(OR($B12="Manual",$B12="SemiAuto"),QCI.DescManual,IF($B12="Automático",INDEX(ORÇAMENTO!$R$15:$R$93,MATCH($A12,ORÇAMENTO!$E$15:$E$93,0)),""))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IF($B12="Branco",0,IF(OR($B12="Manual",$B12="SemiAuto"),QCI.InvManual,INDEX(ORÇAMENTO!X$15:X$93,MATCH($A12,ORÇAMENTO!$E$15:$E$93,0))))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IF($B12="Branco",0,IF($B12="Manual",QCI.CPManual,IF($B12="SemiAuto",ROUND(QCI!$AA$3*QCI.InvManual,2),INDEX(ORÇAMENTO!$AA$15:$AA$93,MATCH($A12,ORÇAMENTO!$E$15:$E$93,0)))))</f>
        <v>0</v>
      </c>
      <c r="AB12" cm="1">
        <f t="array" aca="1" ref="AB12" ca="1">IF($B12="Branco",0,IF($B12="Manual",QCI.OutrosManual,IF($B12="SemiAuto",0,INDEX(ORÇAMENTO!$AB$15:$AB$93,MATCH($A12,ORÇAMENTO!$E$15:$E$93,0)))))</f>
        <v>0</v>
      </c>
      <c r="AD12" s="289" t="b">
        <f ca="1">AND($AA$3&gt;0,$AA$3&lt;1,$O12&gt;0,OR($B12="Automático",$B12="SemiAuto"),OR(QCI!$Z$3=QCI!$Z$7,QCI!$Z$3=QCI!$AA$7,QCI!$Z$3=QCI!$AB$7))</f>
        <v>0</v>
      </c>
      <c r="AE12" s="289">
        <f ca="1">IF(AND($AD12,$O12&gt;0,COUNTIF(OFFSET($AD12,1,0):$AD$15,TRUE)=0),CHOOSE(1+LOG(1+2*(QCI!$Z$3=QCI!$Z$7)+4*(QCI!$Z$3=QCI!$AA$7)+8*(QCI!$Z$3=QCI!$AB$7),2),0,$AA$15-ROUND(Import.CPMinPerc*$O$15,2),$AA$15-Import.CPMinAbsoluta,Import.Repasse-$Z$15),0)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 ca="1" si="0">IF(NOT(ISBLANK(QCI.DescManual)),OFFSET(A14,-1,0),D14)</f>
        <v>1</v>
      </c>
      <c r="B14" t="str">
        <f ca="1">IF(NOT(ISBLANK(QCI.DescManual)),IF(QCI.Divisao="Calculado","Manual","SemiAuto"),IF(ISERROR(MATCH($A14,ORÇAMENTO!$E$15:$E$93,0)),"Branco","Automático"))</f>
        <v>Automático</v>
      </c>
      <c r="C14" t="str">
        <f t="shared" ref="C14" ca="1" si="1">IF(O14&gt;0,"F","")</f>
        <v>F</v>
      </c>
      <c r="D14" s="281">
        <f t="shared" ref="D14" si="2">ROW()-ROW($D$13)</f>
        <v>1</v>
      </c>
      <c r="E14" s="118" t="s">
        <v>107</v>
      </c>
      <c r="F14" s="118" t="s">
        <v>195</v>
      </c>
      <c r="G14" s="163" t="str">
        <f ca="1">IF(OR($B14="Manual",$B14="SemiAuto"),QCI.DescManual,IF($B14="Automático",INDEX(ORÇAMENTO!$R$15:$R$93,MATCH($A14,ORÇAMENTO!$E$15:$E$93,0)),""))</f>
        <v>USINA DE TRIAGEM MECANIZADA - ARRANJO BURITIZEIRO/MG</v>
      </c>
      <c r="H14" s="118" t="s">
        <v>976</v>
      </c>
      <c r="I14" s="464">
        <v>1</v>
      </c>
      <c r="J14" s="282" t="str">
        <f ca="1">IF(AND(ISBLANK(E14),ISBLANK(F14)),"",VLOOKUP($F14,OFFSET(DADOS!$A$2,1,MATCH(QCI!$E14,DADOS!$2:$2,0)-1,100,50),2,FALSE))</f>
        <v>m²</v>
      </c>
      <c r="K14" s="463" t="str" cm="1">
        <f t="array" aca="1" ref="K14" ca="1">IF(OR($B14="Manual",$B14="SemiAuto"),QCI.LoteManual,IF($B14="Automático",IF(TIPOORCAMENTO="Licitado",Import.CTEF,"LOTE 1"),""))</f>
        <v>LOTE 1</v>
      </c>
      <c r="L14" s="283">
        <f t="shared" ref="L14" ca="1" si="3">ROUND($O14,2)-ROUND($M14,2)-ROUND($N14,2)</f>
        <v>21394861.289999999</v>
      </c>
      <c r="M14" s="284">
        <f t="shared" ref="M14" ca="1" si="4">ROUND($AA14,2)-ROUND($AE14,2)</f>
        <v>0</v>
      </c>
      <c r="N14" s="285">
        <f t="shared" ref="N14" ca="1" si="5">ROUND($AB14,2)</f>
        <v>0</v>
      </c>
      <c r="O14" s="286" cm="1">
        <f t="array" aca="1" ref="O14" ca="1">IF($B14="Branco",0,IF(OR($B14="Manual",$B14="SemiAuto"),QCI.InvManual,INDEX(ORÇAMENTO!X$15:X$93,MATCH($A14,ORÇAMENTO!$E$15:$E$93,0))))</f>
        <v>21394861.289999999</v>
      </c>
      <c r="P14" s="577" t="str">
        <f t="shared" ref="P14" ca="1" si="6">IF(O14=0,"",
  IF(E14="","ITEM",
  IF(F14="","SUBITEM",
  IF(H14="","SITUAÇÃO",
  IF(I14=0,"QUANT.","")))))</f>
        <v/>
      </c>
      <c r="R14" s="465"/>
      <c r="S14" s="578" t="str">
        <f t="shared" ref="S14" si="7">IF(R14="","",
  IF(T14=0,"► LOTE",
  IF(U14=0,"► INVEST",
  IF(V14=0,"► DIV",
  IF(AND(V14="Calculado",W14=""),"► CP",
  IF(AND(V14="Calculado",X14=""),"► OU",""))))))</f>
        <v/>
      </c>
      <c r="T14" s="466"/>
      <c r="U14" s="579"/>
      <c r="V14" s="467" t="s">
        <v>819</v>
      </c>
      <c r="W14" s="580"/>
      <c r="X14" s="581"/>
      <c r="Z14">
        <f t="shared" ref="Z14" ca="1" si="8">$O14-$AA14-$AB14</f>
        <v>21394861.289999999</v>
      </c>
      <c r="AA14" cm="1">
        <f t="array" aca="1" ref="AA14" ca="1">IF($B14="Branco",0,IF($B14="Manual",QCI.CPManual,IF($B14="SemiAuto",ROUND(QCI!$AA$3*QCI.InvManual,2),INDEX(ORÇAMENTO!$AA$15:$AA$93,MATCH($A14,ORÇAMENTO!$E$15:$E$93,0)))))</f>
        <v>0</v>
      </c>
      <c r="AB14" cm="1">
        <f t="array" aca="1" ref="AB14" ca="1">IF($B14="Branco",0,IF($B14="Manual",QCI.OutrosManual,IF($B14="SemiAuto",0,INDEX(ORÇAMENTO!$AB$15:$AB$93,MATCH($A14,ORÇAMENTO!$E$15:$E$93,0)))))</f>
        <v>0</v>
      </c>
      <c r="AD14" s="289" t="b">
        <f ca="1">AND($AA$3&gt;0,$AA$3&lt;1,$O14&gt;0,OR($B14="Automático",$B14="SemiAuto"),OR(QCI!$Z$3=QCI!$Z$7,QCI!$Z$3=QCI!$AA$7,QCI!$Z$3=QCI!$AB$7))</f>
        <v>0</v>
      </c>
      <c r="AE14" s="289">
        <f ca="1">IF(AND($AD14,$O14&gt;0,COUNTIF(OFFSET($AD14,1,0):$AD$15,TRUE)=0),CHOOSE(1+LOG(1+2*(QCI!$Z$3=QCI!$Z$7)+4*(QCI!$Z$3=QCI!$AA$7)+8*(QCI!$Z$3=QCI!$AB$7),2),0,$AA$15-ROUND(Import.CPMinPerc*$O$15,2),$AA$15-Import.CPMinAbsoluta,Import.Repasse-$Z$15),0)</f>
        <v>0</v>
      </c>
    </row>
    <row r="15" spans="1:31" ht="15" x14ac:dyDescent="0.2">
      <c r="B15" t="s">
        <v>829</v>
      </c>
      <c r="C15" t="s">
        <v>536</v>
      </c>
      <c r="D15" s="294"/>
      <c r="E15" s="295"/>
      <c r="F15" s="295"/>
      <c r="G15" s="295"/>
      <c r="H15" s="295"/>
      <c r="I15" s="295"/>
      <c r="J15" s="295"/>
      <c r="K15" s="780" t="s">
        <v>830</v>
      </c>
      <c r="L15" s="296">
        <f ca="1">SUM(L13:OFFSET(L15,-1,0))</f>
        <v>21394861.289999999</v>
      </c>
      <c r="M15" s="297">
        <f ca="1">SUM(M13:OFFSET(M15,-1,0))</f>
        <v>0</v>
      </c>
      <c r="N15" s="298">
        <f ca="1">SUM(N13:OFFSET(N15,-1,0))</f>
        <v>0</v>
      </c>
      <c r="O15" s="299">
        <f ca="1">SUM(O13:OFFSET(O15,-1,0))</f>
        <v>21394861.289999999</v>
      </c>
      <c r="R15" s="300"/>
      <c r="T15" s="301"/>
      <c r="U15" s="302"/>
      <c r="V15" s="303"/>
      <c r="W15" s="304"/>
      <c r="X15" s="305"/>
      <c r="Z15" s="88">
        <f ca="1">SUMPRODUCT(ROUND(Z13:OFFSET(Z15,-1,0),2))</f>
        <v>21394861.289999999</v>
      </c>
      <c r="AA15" s="88">
        <f ca="1">SUMPRODUCT(ROUND(AA13:OFFSET(AA15,-1,0),2))</f>
        <v>0</v>
      </c>
      <c r="AB15" s="88">
        <f ca="1">SUM(AB13:OFFSET(AB15,-1,0))</f>
        <v>0</v>
      </c>
    </row>
    <row r="16" spans="1:31" x14ac:dyDescent="0.2">
      <c r="B16" t="s">
        <v>831</v>
      </c>
      <c r="C16" t="s">
        <v>536</v>
      </c>
      <c r="D16" s="306"/>
      <c r="E16" s="307"/>
      <c r="F16" s="307"/>
      <c r="G16" s="307"/>
      <c r="H16" s="307"/>
      <c r="I16" s="307"/>
      <c r="J16" s="307"/>
      <c r="K16" s="780"/>
      <c r="L16" s="308">
        <f ca="1">IF(ISERROR(L15/$O15),0,ROUND(L15/$O15,4))</f>
        <v>1</v>
      </c>
      <c r="M16" s="309">
        <f ca="1">IF(ISERROR(M15/$O15),0,ROUND(M15/$O15,4))</f>
        <v>0</v>
      </c>
      <c r="N16" s="310">
        <f ca="1">IF(ISERROR(N15/$O15),0,ROUND(N15/$O15,4))</f>
        <v>0</v>
      </c>
      <c r="O16" s="311">
        <f ca="1">IF(ISERROR(O15/$O15),0,ROUND(O15/$O15,4))</f>
        <v>1</v>
      </c>
      <c r="R16" s="312"/>
      <c r="T16" s="313"/>
      <c r="U16" s="314"/>
      <c r="V16" s="315"/>
      <c r="W16" s="316"/>
      <c r="X16" s="317"/>
    </row>
    <row r="18" spans="4:15" ht="14.25" x14ac:dyDescent="0.2">
      <c r="D18" s="135" t="s">
        <v>689</v>
      </c>
    </row>
    <row r="19" spans="4:15" ht="12.75" customHeight="1" x14ac:dyDescent="0.2">
      <c r="D19" s="714"/>
      <c r="E19" s="714"/>
      <c r="F19" s="714"/>
      <c r="G19" s="714"/>
      <c r="H19" s="714"/>
      <c r="I19" s="714"/>
      <c r="J19" s="714"/>
      <c r="K19" s="714"/>
      <c r="L19" s="714"/>
      <c r="M19" s="714"/>
      <c r="N19" s="714"/>
      <c r="O19" s="714"/>
    </row>
    <row r="20" spans="4:15" ht="12.75" customHeight="1" x14ac:dyDescent="0.2">
      <c r="D20" s="714"/>
      <c r="E20" s="714"/>
      <c r="F20" s="714"/>
      <c r="G20" s="714"/>
      <c r="H20" s="714"/>
      <c r="I20" s="714"/>
      <c r="J20" s="714"/>
      <c r="K20" s="714"/>
      <c r="L20" s="714"/>
      <c r="M20" s="714"/>
      <c r="N20" s="714"/>
      <c r="O20" s="714"/>
    </row>
    <row r="21" spans="4:15" ht="12.75" customHeight="1" x14ac:dyDescent="0.2">
      <c r="D21" s="714"/>
      <c r="E21" s="714"/>
      <c r="F21" s="714"/>
      <c r="G21" s="714"/>
      <c r="H21" s="714"/>
      <c r="I21" s="714"/>
      <c r="J21" s="714"/>
      <c r="K21" s="714"/>
      <c r="L21" s="714"/>
      <c r="M21" s="714"/>
      <c r="N21" s="714"/>
      <c r="O21" s="714"/>
    </row>
    <row r="24" spans="4:15" ht="15" x14ac:dyDescent="0.2">
      <c r="D24" s="716" t="str">
        <f>Import.Município</f>
        <v>BURITIZEIRO-MG</v>
      </c>
      <c r="E24" s="716"/>
      <c r="F24" s="716"/>
      <c r="I24" s="139"/>
      <c r="J24" s="139"/>
      <c r="K24" s="180"/>
      <c r="L24" s="180"/>
    </row>
    <row r="25" spans="4:15" x14ac:dyDescent="0.2">
      <c r="D25" s="9" t="s">
        <v>693</v>
      </c>
      <c r="I25" s="181" t="s">
        <v>832</v>
      </c>
      <c r="J25" s="181"/>
    </row>
    <row r="26" spans="4:15" x14ac:dyDescent="0.2">
      <c r="I26" s="77" t="str">
        <f>"Nome:" &amp;  " " &amp; DADOS!C28</f>
        <v>Nome: MIGUEL FELIPE FERREIRA DE OLIVEIRA</v>
      </c>
    </row>
    <row r="27" spans="4:15" x14ac:dyDescent="0.2">
      <c r="D27" s="710">
        <f>DADOS!$C$25</f>
        <v>46107</v>
      </c>
      <c r="E27" s="710"/>
      <c r="F27" s="710"/>
      <c r="I27" s="77" t="str">
        <f>"Cargo:"  &amp; " " &amp; DADOS!C29</f>
        <v>Cargo: PRESIDENTE</v>
      </c>
    </row>
    <row r="28" spans="4:15" x14ac:dyDescent="0.2">
      <c r="D28" s="140" t="s">
        <v>694</v>
      </c>
      <c r="E28" s="1"/>
      <c r="F28" s="1"/>
      <c r="K28" s="77"/>
      <c r="L28" s="78"/>
    </row>
  </sheetData>
  <sheetProtection algorithmName="SHA-512" hashValue="Yq35fvTZMlIrVnLT/f/gUUnVWHvQLtmny1v2lYZMT2r3mhNujaEh2DtoieCwSsdaADfDkVtWJkyKEhxF9hClaw==" saltValue="zKFd9dN9orUMm/y4Vcr3qA==" spinCount="100000" sheet="1" objects="1" scenarios="1" autoFilter="0"/>
  <autoFilter ref="C13:C16" xr:uid="{00000000-0009-0000-0000-00000A000000}">
    <filterColumn colId="0">
      <filters>
        <filter val="F"/>
      </filters>
    </filterColumn>
  </autoFilter>
  <mergeCells count="20">
    <mergeCell ref="D6:K6"/>
    <mergeCell ref="A10:A11"/>
    <mergeCell ref="Z10:AB10"/>
    <mergeCell ref="D27:F27"/>
    <mergeCell ref="D19:O21"/>
    <mergeCell ref="D24:F24"/>
    <mergeCell ref="AD10:AE10"/>
    <mergeCell ref="K15:K16"/>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156" priority="965" stopIfTrue="1">
      <formula>OR($B12="Automático",$B12="Branco")</formula>
    </cfRule>
  </conditionalFormatting>
  <conditionalFormatting sqref="L12">
    <cfRule type="expression" dxfId="155" priority="966"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54" priority="967" stopIfTrue="1">
      <formula>OR($B12="Automático",$B12="Branco",$V12&lt;&gt;"Calculado")</formula>
    </cfRule>
  </conditionalFormatting>
  <conditionalFormatting sqref="M16">
    <cfRule type="expression" dxfId="153" priority="969" stopIfTrue="1">
      <formula>AND($G$9&lt;&gt;"",OR($M$16&lt;Import.CPMinPerc,$M$16&gt;Import.CPMaxPerc))</formula>
    </cfRule>
  </conditionalFormatting>
  <conditionalFormatting sqref="M15">
    <cfRule type="expression" dxfId="152" priority="970" stopIfTrue="1">
      <formula>AND($G$9&lt;&gt;"",$M$15&lt;Import.CPMinAbsoluta)</formula>
    </cfRule>
  </conditionalFormatting>
  <conditionalFormatting sqref="L10:M10">
    <cfRule type="cellIs" dxfId="151" priority="971" stopIfTrue="1" operator="lessThan">
      <formula>0</formula>
    </cfRule>
  </conditionalFormatting>
  <conditionalFormatting sqref="G12">
    <cfRule type="cellIs" dxfId="150" priority="972" stopIfTrue="1" operator="equal">
      <formula>"(digite a descrição aqui)"</formula>
    </cfRule>
  </conditionalFormatting>
  <conditionalFormatting sqref="T14:V14">
    <cfRule type="expression" dxfId="149" priority="9" stopIfTrue="1">
      <formula>OR($B14="Automático",$B14="Branco")</formula>
    </cfRule>
  </conditionalFormatting>
  <conditionalFormatting sqref="L14">
    <cfRule type="expression" dxfId="148" priority="10" stopIfTrue="1">
      <formula>OR(L14&lt;0,AND(L$13="Contrapartida Financeira (R$)",$B14="T%",OR(L14&lt;Import.CPMinPerc,AND(L14&gt;Import.CPMaxPerc,Import.CPMaxPerc&gt;0))),AND(L$13="Contrapartida Financeira (R$)",$B14="TR$",L14&lt;Import.CPMinAbsoluta))</formula>
    </cfRule>
  </conditionalFormatting>
  <conditionalFormatting sqref="W14:X14">
    <cfRule type="expression" dxfId="147" priority="11" stopIfTrue="1">
      <formula>OR($B14="Automático",$B14="Branco",$V14&lt;&gt;"Calculado")</formula>
    </cfRule>
  </conditionalFormatting>
  <conditionalFormatting sqref="G14">
    <cfRule type="cellIs" dxfId="146" priority="12" stopIfTrue="1" operator="equal">
      <formula>"(digite a descrição aqui)"</formula>
    </cfRule>
  </conditionalFormatting>
  <dataValidations count="9">
    <dataValidation type="decimal" operator="greaterThan" allowBlank="1" showErrorMessage="1" error="Digite apenas números decimais maiores do que 0." sqref="U12 U14" xr:uid="{00000000-0002-0000-0A00-000000000000}">
      <formula1>0</formula1>
      <formula2>0</formula2>
    </dataValidation>
    <dataValidation type="decimal" operator="greaterThan" allowBlank="1" showErrorMessage="1" errorTitle="Erro" error="Digite valores maiores do que 0." sqref="I12 I14"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 xr:uid="{00000000-0002-0000-0A00-000007000000}">
      <formula1>0</formula1>
      <formula2>QCI.MaxOUManual</formula2>
    </dataValidation>
    <dataValidation allowBlank="1" showInputMessage="1" showErrorMessage="1" prompt="Preencha somente se a meta não fizer parte do Orçamento desta Plan. Mult." sqref="R12 R14" xr:uid="{00000000-0002-0000-0A00-000008000000}"/>
    <dataValidation type="list" allowBlank="1" showInputMessage="1" showErrorMessage="1" errorTitle="Erro:" error="Selecione uma opção da lista." prompt="Selecione uma opção da lista." sqref="H12 H14" xr:uid="{2C92EC3B-F6E1-4E2F-B694-FDBD44D7E101}">
      <formula1>QCI.Lista.Situação</formula1>
    </dataValidation>
    <dataValidation type="list" allowBlank="1" showInputMessage="1" showErrorMessage="1" errorTitle="Erro:" error="Selecione uma opção da lista." prompt="Selecione uma opção da lista." sqref="F12 F14" xr:uid="{B8760799-99A8-4AC2-BB6C-C10778E4DA4D}">
      <formula1>QCI.SubItemInvestimento</formula1>
    </dataValidation>
    <dataValidation type="list" allowBlank="1" showInputMessage="1" showErrorMessage="1" errorTitle="Erro:" error="Selecione uma opção da lista." prompt="Selecione uma opção da lista." sqref="E12 E14" xr:uid="{C47D275E-9B79-4BFD-8F23-46B4A1B34E7F}">
      <formula1>QCI.ItemInvestimento</formula1>
    </dataValidation>
    <dataValidation type="list" allowBlank="1" showInputMessage="1" showErrorMessage="1" errorTitle="Erro:" error="Selecione uma opção da lista." prompt="Selecione uma opção da lista." sqref="V12 V14"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43"/>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92" t="e">
        <f ca="1">IF(AUTOEVENTO="Manual",OFFSET(EVENTOS!$D$15,$B1-$B$15,0),IF(B1&lt;=MAX(CÁLCULO!$M$15:$M$93),VLOOKUP($B1,CÁLCULO!$M$15:$N$93,2,FALSE),0))</f>
        <v>#REF!</v>
      </c>
      <c r="D1" s="792"/>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681" t="s">
        <v>644</v>
      </c>
      <c r="AE3" s="681"/>
      <c r="AF3" s="681"/>
    </row>
    <row r="4" spans="1:33" ht="15.75" x14ac:dyDescent="0.2">
      <c r="B4" s="82"/>
      <c r="C4" s="82"/>
      <c r="H4" s="83" t="str">
        <f>import.recurso</f>
        <v>OGU</v>
      </c>
      <c r="AD4" s="682" t="s">
        <v>647</v>
      </c>
      <c r="AE4" s="682"/>
      <c r="AF4" s="682"/>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3" t="str" cm="1">
        <f t="array" ref="AE6">IF(TIPOORCAMENTO="Licitado","Nº CTEF","")</f>
        <v/>
      </c>
      <c r="AF6" s="793"/>
    </row>
    <row r="7" spans="1:33" x14ac:dyDescent="0.2">
      <c r="B7" s="763" t="str">
        <f>Import.CR</f>
        <v>1099388-52</v>
      </c>
      <c r="C7" s="763"/>
      <c r="D7" s="214" t="str">
        <f>Import.TransfereGOV</f>
        <v>974020</v>
      </c>
      <c r="E7" s="42"/>
      <c r="H7" s="773" t="str">
        <f>Import.Proponente</f>
        <v>MINISTÉRIO DAS CIDADES</v>
      </c>
      <c r="I7" s="773"/>
      <c r="J7" s="773"/>
      <c r="K7" s="773"/>
      <c r="L7" s="773"/>
      <c r="M7" s="773"/>
      <c r="N7" s="773"/>
      <c r="O7" s="763" t="str">
        <f>Import.Apelido</f>
        <v>USINA DE TRIAGEM MECANIZADA</v>
      </c>
      <c r="P7" s="763"/>
      <c r="Q7" s="763"/>
      <c r="R7" s="763"/>
      <c r="S7" s="763"/>
      <c r="T7" s="763"/>
      <c r="U7" s="763"/>
      <c r="V7" s="763" t="str" cm="1">
        <f t="array" ref="V7">IF(TIPOORCAMENTO="Licitado",Import.empresa,Import.DescLote)</f>
        <v>Implantação de uma Usina de Triagem Mecanizada de Resíduos Sólidos em Buritizeiro/MG, que atenderá também as cidades de Várzea da Palma/MG, Lassance/MG e Jequitaí/MG.</v>
      </c>
      <c r="W7" s="763"/>
      <c r="X7" s="763"/>
      <c r="Y7" s="763"/>
      <c r="Z7" s="763"/>
      <c r="AA7" s="763"/>
      <c r="AB7" s="763"/>
      <c r="AC7" s="763"/>
      <c r="AD7" s="763"/>
      <c r="AE7" s="794" t="str" cm="1">
        <f t="array" ref="AE7">IF(TIPOORCAMENTO="Licitado",Import.CTEF,"")</f>
        <v/>
      </c>
      <c r="AF7" s="794"/>
      <c r="AG7" s="265"/>
    </row>
    <row r="9" spans="1:33" ht="15.75" x14ac:dyDescent="0.25">
      <c r="A9" s="165">
        <v>0</v>
      </c>
      <c r="B9" s="266"/>
      <c r="C9" s="266"/>
      <c r="I9" s="267" t="s">
        <v>834</v>
      </c>
      <c r="J9" s="796">
        <v>1</v>
      </c>
      <c r="K9" s="796"/>
      <c r="M9" s="267" t="s">
        <v>799</v>
      </c>
      <c r="N9" s="797" t="str">
        <f ca="1">TEXT(IF(PLE.Medicao=1,Import.DataInicioObra,OFFSET($H$29,0,1+(PLE.Medicao-$I$30)*2-2)+1),"dd/mm/aaaa")&amp;" a "&amp;TEXT(OFFSET($H$29,0,1+(PLE.Medicao-$I$30)*2),"dd/mm/aaaa")</f>
        <v>00/01/1900 a 00/01/1900</v>
      </c>
      <c r="O9" s="797"/>
      <c r="P9" s="797"/>
      <c r="Q9" s="797"/>
      <c r="R9" s="797"/>
      <c r="S9" s="797"/>
      <c r="T9" s="797"/>
      <c r="U9" s="268"/>
      <c r="X9" s="267" t="s">
        <v>835</v>
      </c>
      <c r="Y9" s="795">
        <f ca="1">OFFSET($I$30,1+8*(ROUNDUP(($J$9-0)/((COLUMN($AG$14)-COLUMN($G$14)-1)/25*12),0)-1),ROUNDDOWN((($J$9-0)-OFFSET($I$30,8*(ROUNDUP(($J$9-0)/((COLUMN($AG$14)-COLUMN($G$14)-1)/25*12),0)-1),0))*(2+1/12),0))</f>
        <v>0</v>
      </c>
      <c r="Z9" s="795"/>
      <c r="AD9" s="267" t="s">
        <v>836</v>
      </c>
      <c r="AE9" s="795">
        <f ca="1">OFFSET($I$30,3+8*(ROUNDUP(($J$9-0)/((COLUMN($AG$14)-COLUMN($G$14)-1)/25*12),0)-1),ROUNDDOWN((($J$9-0)-OFFSET($I$30,8*(ROUNDUP(($J$9-0)/((COLUMN($AG$14)-COLUMN($G$14)-1)/25*12),0)-1),0))*(2+1/12),0))</f>
        <v>0</v>
      </c>
      <c r="AF9" s="795"/>
    </row>
    <row r="11" spans="1:33" ht="65.25" customHeight="1" x14ac:dyDescent="0.2">
      <c r="A11" s="250" t="s">
        <v>837</v>
      </c>
      <c r="C11" s="798"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IF($H$29&lt;&gt;"",UPPER($H$29),
 IF($S$38&lt;&gt;"",UPPER($S$38),""))))))</f>
        <v>ALTERE O TIPO DE ORÇAMENTO NA ABA 'MENU' PARA LICITADO.</v>
      </c>
      <c r="D11" s="798"/>
      <c r="F11" s="252" t="str" cm="1">
        <f t="array" aca="1" ref="F11" ca="1">IF(F$12&gt;CÁLCULO.NúmeroDeFrentes,"",OFFSET(CÁLCULO!$P$12,0,F$12))</f>
        <v>PROJETOS</v>
      </c>
      <c r="H11" s="252" t="str" cm="1">
        <f t="array" aca="1" ref="H11" ca="1">IF(H$12&gt;CÁLCULO.NúmeroDeFrentes,"",OFFSET(CÁLCULO!$P$12,0,H$12))</f>
        <v>PROJETOS</v>
      </c>
      <c r="I11" s="252" t="str" cm="1">
        <f t="array" aca="1" ref="I11" ca="1">IF(I$12&gt;CÁLCULO.NúmeroDeFrentes,"",OFFSET(CÁLCULO!$P$12,0,I$12))</f>
        <v>SERVIÇOS PRELIMINARES</v>
      </c>
      <c r="J11" s="252" t="str" cm="1">
        <f t="array" aca="1" ref="J11" ca="1">IF(J$12&gt;CÁLCULO.NúmeroDeFrentes,"",OFFSET(CÁLCULO!$P$12,0,J$12))</f>
        <v>ADM LOCAL</v>
      </c>
      <c r="K11" s="252" t="str" cm="1">
        <f t="array" aca="1" ref="K11" ca="1">IF(K$12&gt;CÁLCULO.NúmeroDeFrentes,"",OFFSET(CÁLCULO!$P$12,0,K$12))</f>
        <v>PAVIMENTAÇÃO</v>
      </c>
      <c r="L11" s="252" t="str" cm="1">
        <f t="array" aca="1" ref="L11" ca="1">IF(L$12&gt;CÁLCULO.NúmeroDeFrentes,"",OFFSET(CÁLCULO!$P$12,0,L$12))</f>
        <v>GALPÃO, UNIDADES ADMINISTRATIVAS E ÁREAS DE CONVIVÊNCIA</v>
      </c>
      <c r="M11" s="252" t="str" cm="1">
        <f t="array" aca="1" ref="M11" ca="1">IF(M$12&gt;CÁLCULO.NúmeroDeFrentes,"",OFFSET(CÁLCULO!$P$12,0,M$12))</f>
        <v>PÁTIO DE COMPOSTAGEM</v>
      </c>
      <c r="N11" s="252" t="str" cm="1">
        <f t="array" aca="1" ref="N11" ca="1">IF(N$12&gt;CÁLCULO.NúmeroDeFrentes,"",OFFSET(CÁLCULO!$P$12,0,N$12))</f>
        <v>EQUIPAMENTOS</v>
      </c>
      <c r="O11" s="252" t="str" cm="1">
        <f t="array" aca="1" ref="O11" ca="1">IF(O$12&gt;CÁLCULO.NúmeroDeFrentes,"",OFFSET(CÁLCULO!$P$12,0,O$12))</f>
        <v>SUBESTAÇÃO</v>
      </c>
      <c r="P11" s="252" t="str" cm="1">
        <f t="array" aca="1" ref="P11" ca="1">IF(P$12&gt;CÁLCULO.NúmeroDeFrentes,"",OFFSET(CÁLCULO!$P$12,0,P$12))</f>
        <v>POÇO ARTESIANO</v>
      </c>
      <c r="Q11" s="252" t="str" cm="1">
        <f t="array" aca="1" ref="Q11" ca="1">IF(Q$12&gt;CÁLCULO.NúmeroDeFrentes,"",OFFSET(CÁLCULO!$P$12,0,Q$12))</f>
        <v>REDE ELÉTRICA (EXTENSÃO)</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54" t="s">
        <v>760</v>
      </c>
      <c r="C12" s="754" t="s">
        <v>778</v>
      </c>
      <c r="D12" s="754"/>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54"/>
      <c r="C13" s="754"/>
      <c r="D13" s="754"/>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786" t="str">
        <f>EVENTOS!$D$15</f>
        <v/>
      </c>
      <c r="D15" s="786"/>
      <c r="F15" s="260"/>
      <c r="H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22" ca="1" si="1">IF(C16=0,"","F")</f>
        <v>F</v>
      </c>
      <c r="B16" s="247">
        <f t="shared" ref="B16:B22" ca="1" si="2">OFFSET(B16,-1,0)+1</f>
        <v>1</v>
      </c>
      <c r="C16" s="792" t="str">
        <f ca="1">IF(AUTOEVENTO="Manual",OFFSET(EVENTOS!$D$15,$B16-$B$15,0),IF(B16&lt;=MAX(CÁLCULO!$M$15:$M$93),VLOOKUP($B16,CÁLCULO!$M$15:$N$93,2,FALSE),0))</f>
        <v>PROJETOS</v>
      </c>
      <c r="D16" s="792"/>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92" t="str">
        <f ca="1">IF(AUTOEVENTO="Manual",OFFSET(EVENTOS!$D$15,$B17-$B$15,0),IF(B17&lt;=MAX(CÁLCULO!$M$15:$M$93),VLOOKUP($B17,CÁLCULO!$M$15:$N$93,2,FALSE),0))</f>
        <v>SERVIÇOS PRELIMINARES</v>
      </c>
      <c r="D17" s="792"/>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92" t="str">
        <f ca="1">IF(AUTOEVENTO="Manual",OFFSET(EVENTOS!$D$15,$B18-$B$15,0),IF(B18&lt;=MAX(CÁLCULO!$M$15:$M$93),VLOOKUP($B18,CÁLCULO!$M$15:$N$93,2,FALSE),0))</f>
        <v>ADM LOCAL</v>
      </c>
      <c r="D18" s="792"/>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92" t="str">
        <f ca="1">IF(AUTOEVENTO="Manual",OFFSET(EVENTOS!$D$15,$B19-$B$15,0),IF(B19&lt;=MAX(CÁLCULO!$M$15:$M$93),VLOOKUP($B19,CÁLCULO!$M$15:$N$93,2,FALSE),0))</f>
        <v>PAVIMENTAÇÃO</v>
      </c>
      <c r="D19" s="792"/>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F</v>
      </c>
      <c r="B20" s="247">
        <f t="shared" ca="1" si="2"/>
        <v>5</v>
      </c>
      <c r="C20" s="792" t="str">
        <f ca="1">IF(AUTOEVENTO="Manual",OFFSET(EVENTOS!$D$15,$B20-$B$15,0),IF(B20&lt;=MAX(CÁLCULO!$M$15:$M$93),VLOOKUP($B20,CÁLCULO!$M$15:$N$93,2,FALSE),0))</f>
        <v>GALPÃO, UNIDADES ADMINISTRATIVAS E ÁREAS DE CONVIVÊNCIA</v>
      </c>
      <c r="D20" s="792"/>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F</v>
      </c>
      <c r="B21" s="247">
        <f t="shared" ca="1" si="2"/>
        <v>6</v>
      </c>
      <c r="C21" s="792" t="str">
        <f ca="1">IF(AUTOEVENTO="Manual",OFFSET(EVENTOS!$D$15,$B21-$B$15,0),IF(B21&lt;=MAX(CÁLCULO!$M$15:$M$93),VLOOKUP($B21,CÁLCULO!$M$15:$N$93,2,FALSE),0))</f>
        <v>PÁTIO DE COMPOSTAGEM</v>
      </c>
      <c r="D21" s="792"/>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F</v>
      </c>
      <c r="B22" s="247">
        <f t="shared" ca="1" si="2"/>
        <v>7</v>
      </c>
      <c r="C22" s="792" t="str">
        <f ca="1">IF(AUTOEVENTO="Manual",OFFSET(EVENTOS!$D$15,$B22-$B$15,0),IF(B22&lt;=MAX(CÁLCULO!$M$15:$M$93),VLOOKUP($B22,CÁLCULO!$M$15:$N$93,2,FALSE),0))</f>
        <v>EQUIPAMENTOS</v>
      </c>
      <c r="D22" s="792"/>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ca="1">IF(C23=0,"","F")</f>
        <v>F</v>
      </c>
      <c r="B23" s="247">
        <f ca="1">OFFSET(B23,-1,0)+1</f>
        <v>8</v>
      </c>
      <c r="C23" s="792" t="str">
        <f ca="1">IF(AUTOEVENTO="Manual",OFFSET(EVENTOS!$D$15,$B23-$B$15,0),IF(B23&lt;=MAX(CÁLCULO!$M$15:$M$93),VLOOKUP($B23,CÁLCULO!$M$15:$N$93,2,FALSE),0))</f>
        <v>SUBESTAÇÃO</v>
      </c>
      <c r="D23" s="792"/>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ref="A24:A25" ca="1" si="3">IF(C24=0,"","F")</f>
        <v>F</v>
      </c>
      <c r="B24" s="247">
        <f t="shared" ref="B24:B25" ca="1" si="4">OFFSET(B24,-1,0)+1</f>
        <v>9</v>
      </c>
      <c r="C24" s="792" t="str">
        <f ca="1">IF(AUTOEVENTO="Manual",OFFSET(EVENTOS!$D$15,$B24-$B$15,0),IF(B24&lt;=MAX(CÁLCULO!$M$15:$M$93),VLOOKUP($B24,CÁLCULO!$M$15:$N$93,2,FALSE),0))</f>
        <v>POÇO</v>
      </c>
      <c r="D24" s="792"/>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
      <c r="A25" s="7" t="str">
        <f t="shared" ca="1" si="3"/>
        <v>F</v>
      </c>
      <c r="B25" s="247">
        <f t="shared" ca="1" si="4"/>
        <v>10</v>
      </c>
      <c r="C25" s="792" t="str">
        <f ca="1">IF(AUTOEVENTO="Manual",OFFSET(EVENTOS!$D$15,$B25-$B$15,0),IF(B25&lt;=MAX(CÁLCULO!$M$15:$M$93),VLOOKUP($B25,CÁLCULO!$M$15:$N$93,2,FALSE),0))</f>
        <v>REDE ELÉTRICA (EXTENSÃO)</v>
      </c>
      <c r="D25" s="792"/>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4.5" customHeight="1" x14ac:dyDescent="0.2">
      <c r="A26" s="7" t="s">
        <v>536</v>
      </c>
      <c r="B26" s="618"/>
      <c r="C26" s="619"/>
      <c r="D26" s="419"/>
      <c r="F26" s="636"/>
      <c r="H26" s="618"/>
      <c r="I26" s="619"/>
      <c r="J26" s="619"/>
      <c r="K26" s="619"/>
      <c r="L26" s="619"/>
      <c r="M26" s="619"/>
      <c r="N26" s="619"/>
      <c r="O26" s="619"/>
      <c r="P26" s="619"/>
      <c r="Q26" s="619"/>
      <c r="R26" s="619"/>
      <c r="S26" s="619"/>
      <c r="T26" s="619"/>
      <c r="U26" s="619"/>
      <c r="V26" s="619"/>
      <c r="W26" s="619"/>
      <c r="X26" s="619"/>
      <c r="Y26" s="619"/>
      <c r="Z26" s="619"/>
      <c r="AA26" s="619"/>
      <c r="AB26" s="619"/>
      <c r="AC26" s="619"/>
      <c r="AD26" s="619"/>
      <c r="AE26" s="619"/>
      <c r="AF26" s="419"/>
    </row>
    <row r="27" spans="1:32" x14ac:dyDescent="0.2">
      <c r="A27" s="7" t="s">
        <v>536</v>
      </c>
    </row>
    <row r="28" spans="1:32" x14ac:dyDescent="0.2">
      <c r="A28" s="7" t="s">
        <v>536</v>
      </c>
      <c r="I28" s="790" t="s">
        <v>839</v>
      </c>
      <c r="J28" s="790"/>
      <c r="K28" s="790"/>
      <c r="L28" s="790"/>
      <c r="M28" s="790"/>
      <c r="N28" s="790"/>
      <c r="O28" s="790"/>
      <c r="P28" s="790"/>
      <c r="Q28" s="790"/>
      <c r="R28" s="790"/>
      <c r="S28" s="790"/>
      <c r="T28" s="790"/>
      <c r="U28" s="790"/>
      <c r="V28" s="790"/>
      <c r="W28" s="790"/>
      <c r="X28" s="790"/>
      <c r="Y28" s="790"/>
      <c r="Z28" s="790"/>
      <c r="AA28" s="790"/>
      <c r="AB28" s="790"/>
      <c r="AC28" s="790"/>
      <c r="AD28" s="790"/>
      <c r="AE28" s="790"/>
      <c r="AF28" s="790"/>
    </row>
    <row r="29" spans="1:32" x14ac:dyDescent="0.2">
      <c r="A29" s="7" t="s">
        <v>536</v>
      </c>
      <c r="H29" s="583" t="str">
        <f>IF(INDEX($I$29:$AG$29,MATCH(PLE.Medicao,$I$30:$AG$30,0))="","Preencher a data da medição "&amp;PLE.Medicao,"")</f>
        <v>Preencher a data da medição 1</v>
      </c>
      <c r="I29" s="800"/>
      <c r="J29" s="787"/>
      <c r="K29" s="787"/>
      <c r="L29" s="787"/>
      <c r="M29" s="787"/>
      <c r="N29" s="787"/>
      <c r="O29" s="787"/>
      <c r="P29" s="787"/>
      <c r="Q29" s="787"/>
      <c r="R29" s="787"/>
      <c r="S29" s="787"/>
      <c r="T29" s="787"/>
      <c r="U29" s="787"/>
      <c r="V29" s="787"/>
      <c r="W29" s="787"/>
      <c r="X29" s="787"/>
      <c r="Y29" s="787"/>
      <c r="Z29" s="787"/>
      <c r="AA29" s="787"/>
      <c r="AB29" s="787"/>
      <c r="AC29" s="787"/>
      <c r="AD29" s="787"/>
      <c r="AE29" s="787"/>
      <c r="AF29" s="791"/>
    </row>
    <row r="30" spans="1:32" x14ac:dyDescent="0.2">
      <c r="A30" s="7" t="s">
        <v>536</v>
      </c>
      <c r="D30" s="269" t="s">
        <v>840</v>
      </c>
      <c r="I30" s="788">
        <f>IF(PLE.Medicao&lt;=12,1,TRUNC((PLE.Medicao - 2)/11,0) * 11 + 1)</f>
        <v>1</v>
      </c>
      <c r="J30" s="788"/>
      <c r="K30" s="788">
        <f>I30+1</f>
        <v>2</v>
      </c>
      <c r="L30" s="788"/>
      <c r="M30" s="788">
        <f>K30+1</f>
        <v>3</v>
      </c>
      <c r="N30" s="788"/>
      <c r="O30" s="788">
        <f>M30+1</f>
        <v>4</v>
      </c>
      <c r="P30" s="788"/>
      <c r="Q30" s="788">
        <f>O30+1</f>
        <v>5</v>
      </c>
      <c r="R30" s="788"/>
      <c r="S30" s="788">
        <f>Q30+1</f>
        <v>6</v>
      </c>
      <c r="T30" s="788"/>
      <c r="U30" s="788">
        <f>S30+1</f>
        <v>7</v>
      </c>
      <c r="V30" s="788"/>
      <c r="W30" s="788">
        <f>U30+1</f>
        <v>8</v>
      </c>
      <c r="X30" s="788"/>
      <c r="Y30" s="788">
        <f>W30+1</f>
        <v>9</v>
      </c>
      <c r="Z30" s="788"/>
      <c r="AA30" s="788">
        <f>Y30+1</f>
        <v>10</v>
      </c>
      <c r="AB30" s="788"/>
      <c r="AC30" s="788">
        <f>AA30+1</f>
        <v>11</v>
      </c>
      <c r="AD30" s="788"/>
      <c r="AE30" s="788">
        <f>AC30+1</f>
        <v>12</v>
      </c>
      <c r="AF30" s="788"/>
    </row>
    <row r="31" spans="1:32" x14ac:dyDescent="0.2">
      <c r="A31" s="7" t="s">
        <v>536</v>
      </c>
      <c r="D31" s="799" t="s">
        <v>799</v>
      </c>
      <c r="H31" s="270" t="s">
        <v>781</v>
      </c>
      <c r="I31" s="801">
        <f ca="1">ROUND(I32,2)/ORÇAMENTO!$X$15</f>
        <v>0</v>
      </c>
      <c r="J31" s="801"/>
      <c r="K31" s="789">
        <f ca="1">ROUND(K32,2)/ORÇAMENTO!$X$15</f>
        <v>0</v>
      </c>
      <c r="L31" s="789"/>
      <c r="M31" s="789">
        <f ca="1">ROUND(M32,2)/ORÇAMENTO!$X$15</f>
        <v>0</v>
      </c>
      <c r="N31" s="789"/>
      <c r="O31" s="789">
        <f ca="1">ROUND(O32,2)/ORÇAMENTO!$X$15</f>
        <v>0</v>
      </c>
      <c r="P31" s="789"/>
      <c r="Q31" s="789">
        <f ca="1">ROUND(Q32,2)/ORÇAMENTO!$X$15</f>
        <v>0</v>
      </c>
      <c r="R31" s="789"/>
      <c r="S31" s="789">
        <f ca="1">ROUND(S32,2)/ORÇAMENTO!$X$15</f>
        <v>0</v>
      </c>
      <c r="T31" s="789"/>
      <c r="U31" s="789">
        <f ca="1">ROUND(U32,2)/ORÇAMENTO!$X$15</f>
        <v>0</v>
      </c>
      <c r="V31" s="789"/>
      <c r="W31" s="789">
        <f ca="1">ROUND(W32,2)/ORÇAMENTO!$X$15</f>
        <v>0</v>
      </c>
      <c r="X31" s="789"/>
      <c r="Y31" s="789">
        <f ca="1">ROUND(Y32,2)/ORÇAMENTO!$X$15</f>
        <v>0</v>
      </c>
      <c r="Z31" s="789"/>
      <c r="AA31" s="789">
        <f ca="1">ROUND(AA32,2)/ORÇAMENTO!$X$15</f>
        <v>0</v>
      </c>
      <c r="AB31" s="789"/>
      <c r="AC31" s="789">
        <f ca="1">ROUND(AC32,2)/ORÇAMENTO!$X$15</f>
        <v>0</v>
      </c>
      <c r="AD31" s="789"/>
      <c r="AE31" s="789">
        <f ca="1">ROUND(AE32,2)/ORÇAMENTO!$X$15</f>
        <v>0</v>
      </c>
      <c r="AF31" s="789"/>
    </row>
    <row r="32" spans="1:32" x14ac:dyDescent="0.2">
      <c r="A32" s="7" t="s">
        <v>536</v>
      </c>
      <c r="D32" s="799"/>
      <c r="H32" s="11" t="s">
        <v>782</v>
      </c>
      <c r="I32" s="785" cm="1">
        <f t="array" aca="1" ref="I32" ca="1">IF(I30=1,I34,ROUND(I34,2)-ROUND(SUMIF(CÁLCULO!$AX$15:$BH$93,"&lt;="&amp;PLE!I30-1,CÁLCULO!$AB$15:$AL$93)*IF(AdmLocal="Automática",(1+CÁLCULO.TotalAdmLocal/(ORÇAMENTO!$X$15-CÁLCULO.TotalAdmLocal)),1),2))</f>
        <v>0</v>
      </c>
      <c r="J32" s="785"/>
      <c r="K32" s="785">
        <f ca="1">ROUND(K34,2)-ROUND(I34,2)</f>
        <v>0</v>
      </c>
      <c r="L32" s="785"/>
      <c r="M32" s="785">
        <f t="shared" ref="M32" ca="1" si="5">ROUND(M34,2)-ROUND(K34,2)</f>
        <v>0</v>
      </c>
      <c r="N32" s="785"/>
      <c r="O32" s="785">
        <f t="shared" ref="O32" ca="1" si="6">ROUND(O34,2)-ROUND(M34,2)</f>
        <v>0</v>
      </c>
      <c r="P32" s="785"/>
      <c r="Q32" s="785">
        <f t="shared" ref="Q32" ca="1" si="7">ROUND(Q34,2)-ROUND(O34,2)</f>
        <v>0</v>
      </c>
      <c r="R32" s="785"/>
      <c r="S32" s="785">
        <f t="shared" ref="S32" ca="1" si="8">ROUND(S34,2)-ROUND(Q34,2)</f>
        <v>0</v>
      </c>
      <c r="T32" s="785"/>
      <c r="U32" s="785">
        <f t="shared" ref="U32" ca="1" si="9">ROUND(U34,2)-ROUND(S34,2)</f>
        <v>0</v>
      </c>
      <c r="V32" s="785"/>
      <c r="W32" s="785">
        <f t="shared" ref="W32" ca="1" si="10">ROUND(W34,2)-ROUND(U34,2)</f>
        <v>0</v>
      </c>
      <c r="X32" s="785"/>
      <c r="Y32" s="785">
        <f t="shared" ref="Y32" ca="1" si="11">ROUND(Y34,2)-ROUND(W34,2)</f>
        <v>0</v>
      </c>
      <c r="Z32" s="785"/>
      <c r="AA32" s="785">
        <f t="shared" ref="AA32" ca="1" si="12">ROUND(AA34,2)-ROUND(Y34,2)</f>
        <v>0</v>
      </c>
      <c r="AB32" s="785"/>
      <c r="AC32" s="785">
        <f t="shared" ref="AC32" ca="1" si="13">ROUND(AC34,2)-ROUND(AA34,2)</f>
        <v>0</v>
      </c>
      <c r="AD32" s="785"/>
      <c r="AE32" s="785">
        <f t="shared" ref="AE32" ca="1" si="14">ROUND(AE34,2)-ROUND(AC34,2)</f>
        <v>0</v>
      </c>
      <c r="AF32" s="785"/>
    </row>
    <row r="33" spans="1:32" x14ac:dyDescent="0.2">
      <c r="A33" s="7" t="s">
        <v>536</v>
      </c>
      <c r="D33" s="799" t="s">
        <v>803</v>
      </c>
      <c r="H33" s="270" t="s">
        <v>781</v>
      </c>
      <c r="I33" s="803">
        <f ca="1">ROUND(I34,2)/ORÇAMENTO!$X$15</f>
        <v>0</v>
      </c>
      <c r="J33" s="803"/>
      <c r="K33" s="784">
        <f ca="1">ROUND(K34,2)/ORÇAMENTO!$X$15</f>
        <v>0</v>
      </c>
      <c r="L33" s="784"/>
      <c r="M33" s="784">
        <f ca="1">ROUND(M34,2)/ORÇAMENTO!$X$15</f>
        <v>0</v>
      </c>
      <c r="N33" s="784"/>
      <c r="O33" s="784">
        <f ca="1">ROUND(O34,2)/ORÇAMENTO!$X$15</f>
        <v>0</v>
      </c>
      <c r="P33" s="784"/>
      <c r="Q33" s="784">
        <f ca="1">ROUND(Q34,2)/ORÇAMENTO!$X$15</f>
        <v>0</v>
      </c>
      <c r="R33" s="784"/>
      <c r="S33" s="784">
        <f ca="1">ROUND(S34,2)/ORÇAMENTO!$X$15</f>
        <v>0</v>
      </c>
      <c r="T33" s="784"/>
      <c r="U33" s="784">
        <f ca="1">ROUND(U34,2)/ORÇAMENTO!$X$15</f>
        <v>0</v>
      </c>
      <c r="V33" s="784"/>
      <c r="W33" s="784">
        <f ca="1">ROUND(W34,2)/ORÇAMENTO!$X$15</f>
        <v>0</v>
      </c>
      <c r="X33" s="784"/>
      <c r="Y33" s="784">
        <f ca="1">ROUND(Y34,2)/ORÇAMENTO!$X$15</f>
        <v>0</v>
      </c>
      <c r="Z33" s="784"/>
      <c r="AA33" s="784">
        <f ca="1">ROUND(AA34,2)/ORÇAMENTO!$X$15</f>
        <v>0</v>
      </c>
      <c r="AB33" s="784"/>
      <c r="AC33" s="784">
        <f ca="1">ROUND(AC34,2)/ORÇAMENTO!$X$15</f>
        <v>0</v>
      </c>
      <c r="AD33" s="784"/>
      <c r="AE33" s="784">
        <f ca="1">ROUND(AE34,2)/ORÇAMENTO!$X$15</f>
        <v>0</v>
      </c>
      <c r="AF33" s="784"/>
    </row>
    <row r="34" spans="1:32" x14ac:dyDescent="0.2">
      <c r="A34" s="7" t="s">
        <v>536</v>
      </c>
      <c r="D34" s="799"/>
      <c r="H34" s="11" t="s">
        <v>782</v>
      </c>
      <c r="I34" s="802" cm="1">
        <f t="array" aca="1" ref="I34" ca="1">SUMIF(CÁLCULO!$AX$15:$BH$93,"&lt;="&amp;PLE!I30,CÁLCULO!$AB$15:$AL$93)*IF(AdmLocal="Automática",(1+CÁLCULO.TotalAdmLocal/(ORÇAMENTO!$X$15-CÁLCULO.TotalAdmLocal)),1)</f>
        <v>0</v>
      </c>
      <c r="J34" s="802"/>
      <c r="K34" s="785" cm="1">
        <f t="array" aca="1" ref="K34" ca="1">SUMIF(CÁLCULO!$AX$15:$BH$93,"&lt;="&amp;PLE!K30,CÁLCULO!$AB$15:$AL$93)*IF(AdmLocal="Automática",(1+CÁLCULO.TotalAdmLocal/(ORÇAMENTO!$X$15-CÁLCULO.TotalAdmLocal)),1)</f>
        <v>0</v>
      </c>
      <c r="L34" s="785"/>
      <c r="M34" s="785" cm="1">
        <f t="array" aca="1" ref="M34" ca="1">SUMIF(CÁLCULO!$AX$15:$BH$93,"&lt;="&amp;PLE!M30,CÁLCULO!$AB$15:$AL$93)*IF(AdmLocal="Automática",(1+CÁLCULO.TotalAdmLocal/(ORÇAMENTO!$X$15-CÁLCULO.TotalAdmLocal)),1)</f>
        <v>0</v>
      </c>
      <c r="N34" s="785"/>
      <c r="O34" s="785" cm="1">
        <f t="array" aca="1" ref="O34" ca="1">SUMIF(CÁLCULO!$AX$15:$BH$93,"&lt;="&amp;PLE!O30,CÁLCULO!$AB$15:$AL$93)*IF(AdmLocal="Automática",(1+CÁLCULO.TotalAdmLocal/(ORÇAMENTO!$X$15-CÁLCULO.TotalAdmLocal)),1)</f>
        <v>0</v>
      </c>
      <c r="P34" s="785"/>
      <c r="Q34" s="785" cm="1">
        <f t="array" aca="1" ref="Q34" ca="1">SUMIF(CÁLCULO!$AX$15:$BH$93,"&lt;="&amp;PLE!Q30,CÁLCULO!$AB$15:$AL$93)*IF(AdmLocal="Automática",(1+CÁLCULO.TotalAdmLocal/(ORÇAMENTO!$X$15-CÁLCULO.TotalAdmLocal)),1)</f>
        <v>0</v>
      </c>
      <c r="R34" s="785"/>
      <c r="S34" s="785" cm="1">
        <f t="array" aca="1" ref="S34" ca="1">SUMIF(CÁLCULO!$AX$15:$BH$93,"&lt;="&amp;PLE!S30,CÁLCULO!$AB$15:$AL$93)*IF(AdmLocal="Automática",(1+CÁLCULO.TotalAdmLocal/(ORÇAMENTO!$X$15-CÁLCULO.TotalAdmLocal)),1)</f>
        <v>0</v>
      </c>
      <c r="T34" s="785"/>
      <c r="U34" s="785" cm="1">
        <f t="array" aca="1" ref="U34" ca="1">SUMIF(CÁLCULO!$AX$15:$BH$93,"&lt;="&amp;PLE!U30,CÁLCULO!$AB$15:$AL$93)*IF(AdmLocal="Automática",(1+CÁLCULO.TotalAdmLocal/(ORÇAMENTO!$X$15-CÁLCULO.TotalAdmLocal)),1)</f>
        <v>0</v>
      </c>
      <c r="V34" s="785"/>
      <c r="W34" s="785" cm="1">
        <f t="array" aca="1" ref="W34" ca="1">SUMIF(CÁLCULO!$AX$15:$BH$93,"&lt;="&amp;PLE!W30,CÁLCULO!$AB$15:$AL$93)*IF(AdmLocal="Automática",(1+CÁLCULO.TotalAdmLocal/(ORÇAMENTO!$X$15-CÁLCULO.TotalAdmLocal)),1)</f>
        <v>0</v>
      </c>
      <c r="X34" s="785"/>
      <c r="Y34" s="785" cm="1">
        <f t="array" aca="1" ref="Y34" ca="1">SUMIF(CÁLCULO!$AX$15:$BH$93,"&lt;="&amp;PLE!Y30,CÁLCULO!$AB$15:$AL$93)*IF(AdmLocal="Automática",(1+CÁLCULO.TotalAdmLocal/(ORÇAMENTO!$X$15-CÁLCULO.TotalAdmLocal)),1)</f>
        <v>0</v>
      </c>
      <c r="Z34" s="785"/>
      <c r="AA34" s="785" cm="1">
        <f t="array" aca="1" ref="AA34" ca="1">SUMIF(CÁLCULO!$AX$15:$BH$93,"&lt;="&amp;PLE!AA30,CÁLCULO!$AB$15:$AL$93)*IF(AdmLocal="Automática",(1+CÁLCULO.TotalAdmLocal/(ORÇAMENTO!$X$15-CÁLCULO.TotalAdmLocal)),1)</f>
        <v>0</v>
      </c>
      <c r="AB34" s="785"/>
      <c r="AC34" s="785" cm="1">
        <f t="array" aca="1" ref="AC34" ca="1">SUMIF(CÁLCULO!$AX$15:$BH$93,"&lt;="&amp;PLE!AC30,CÁLCULO!$AB$15:$AL$93)*IF(AdmLocal="Automática",(1+CÁLCULO.TotalAdmLocal/(ORÇAMENTO!$X$15-CÁLCULO.TotalAdmLocal)),1)</f>
        <v>0</v>
      </c>
      <c r="AD34" s="785"/>
      <c r="AE34" s="785" cm="1">
        <f t="array" aca="1" ref="AE34" ca="1">SUMIF(CÁLCULO!$AX$15:$BH$93,"&lt;="&amp;PLE!AE30,CÁLCULO!$AB$15:$AL$93)*IF(AdmLocal="Automática",(1+CÁLCULO.TotalAdmLocal/(ORÇAMENTO!$X$15-CÁLCULO.TotalAdmLocal)),1)</f>
        <v>0</v>
      </c>
      <c r="AF34" s="785"/>
    </row>
    <row r="35" spans="1:32" ht="12.75" customHeight="1" x14ac:dyDescent="0.2">
      <c r="A35" s="7"/>
      <c r="D35" s="552" t="s">
        <v>784</v>
      </c>
      <c r="H35" s="551" t="s">
        <v>781</v>
      </c>
      <c r="I35" s="756">
        <f ca="1">IF(OR(ACOMPANHAMENTO&lt;&gt;"PLE",I30&gt;PLE.Medicao),0,
   IF(AUTOEVENTO="Manual",
      IF(AdmLocal="Automática",I33,
         IF(Import.EventoAdmLocal="","",SUMIF(OFFSET($G$14,CRONOPLE!$A$8+1,1,1,OFFSET($AG$12,0,-1)),"&lt;="&amp;I30,OFFSET(EVENTOS!$G$14,CRONOPLE!$A$8+1,1,1,OFFSET($AG$12,0,-1)))/OFFSET(EVENTOS!$G$14,CRONOPLE!$A$8+1,-1))),
      IF(Import.EventoAdmLocal="","",SUMIF(OFFSET(CÁLCULO!$AW$15,CRONOPLE!$A$10,1,OFFSET(ORÇAMENTO!$D$15,CRONOPLE!$A$10,0),COLUMN(CÁLCULO!$BH$15)-COLUMN(CÁLCULO!$AW$15)-1),"&lt;="&amp;I30,OFFSET(CÁLCULO!$AA$15,CRONOPLE!$A$10,1,OFFSET(ORÇAMENTO!$D$15,CRONOPLE!$A$10,0),COLUMN(CÁLCULO!$AL$15)-COLUMN(CÁLCULO!$AA$15)-1))/OFFSET(ORÇAMENTO!$X$15,CRONOPLE!$A$10,0))))</f>
        <v>0</v>
      </c>
      <c r="J35" s="756"/>
      <c r="K35" s="756">
        <f ca="1">IF(OR(ACOMPANHAMENTO&lt;&gt;"PLE",K30&gt;PLE.Medicao),0,
   IF(AUTOEVENTO="Manual",
      IF(AdmLocal="Automática",K33,
         IF(Import.EventoAdmLocal="","",SUMIF(OFFSET($G$14,CRONOPLE!$A$8+1,1,1,OFFSET($AG$12,0,-1)),"&lt;="&amp;K30,OFFSET(EVENTOS!$G$14,CRONOPLE!$A$8+1,1,1,OFFSET($AG$12,0,-1)))/OFFSET(EVENTOS!$G$14,CRONOPLE!$A$8+1,-1))),
      IF(Import.EventoAdmLocal="","",SUMIF(OFFSET(CÁLCULO!$AW$15,CRONOPLE!$A$10,1,OFFSET(ORÇAMENTO!$D$15,CRONOPLE!$A$10,0),COLUMN(CÁLCULO!$BH$15)-COLUMN(CÁLCULO!$AW$15)-1),"&lt;="&amp;K30,OFFSET(CÁLCULO!$AA$15,CRONOPLE!$A$10,1,OFFSET(ORÇAMENTO!$D$15,CRONOPLE!$A$10,0),COLUMN(CÁLCULO!$AL$15)-COLUMN(CÁLCULO!$AA$15)-1))/OFFSET(ORÇAMENTO!$X$15,CRONOPLE!$A$10,0))))</f>
        <v>0</v>
      </c>
      <c r="L35" s="756"/>
      <c r="M35" s="756">
        <f ca="1">IF(OR(ACOMPANHAMENTO&lt;&gt;"PLE",M30&gt;PLE.Medicao),0,
   IF(AUTOEVENTO="Manual",
      IF(AdmLocal="Automática",M33,
         IF(Import.EventoAdmLocal="","",SUMIF(OFFSET($G$14,CRONOPLE!$A$8+1,1,1,OFFSET($AG$12,0,-1)),"&lt;="&amp;M30,OFFSET(EVENTOS!$G$14,CRONOPLE!$A$8+1,1,1,OFFSET($AG$12,0,-1)))/OFFSET(EVENTOS!$G$14,CRONOPLE!$A$8+1,-1))),
      IF(Import.EventoAdmLocal="","",SUMIF(OFFSET(CÁLCULO!$AW$15,CRONOPLE!$A$10,1,OFFSET(ORÇAMENTO!$D$15,CRONOPLE!$A$10,0),COLUMN(CÁLCULO!$BH$15)-COLUMN(CÁLCULO!$AW$15)-1),"&lt;="&amp;M30,OFFSET(CÁLCULO!$AA$15,CRONOPLE!$A$10,1,OFFSET(ORÇAMENTO!$D$15,CRONOPLE!$A$10,0),COLUMN(CÁLCULO!$AL$15)-COLUMN(CÁLCULO!$AA$15)-1))/OFFSET(ORÇAMENTO!$X$15,CRONOPLE!$A$10,0))))</f>
        <v>0</v>
      </c>
      <c r="N35" s="756"/>
      <c r="O35" s="756">
        <f ca="1">IF(OR(ACOMPANHAMENTO&lt;&gt;"PLE",O30&gt;PLE.Medicao),0,
   IF(AUTOEVENTO="Manual",
      IF(AdmLocal="Automática",O33,
         IF(Import.EventoAdmLocal="","",SUMIF(OFFSET($G$14,CRONOPLE!$A$8+1,1,1,OFFSET($AG$12,0,-1)),"&lt;="&amp;O30,OFFSET(EVENTOS!$G$14,CRONOPLE!$A$8+1,1,1,OFFSET($AG$12,0,-1)))/OFFSET(EVENTOS!$G$14,CRONOPLE!$A$8+1,-1))),
      IF(Import.EventoAdmLocal="","",SUMIF(OFFSET(CÁLCULO!$AW$15,CRONOPLE!$A$10,1,OFFSET(ORÇAMENTO!$D$15,CRONOPLE!$A$10,0),COLUMN(CÁLCULO!$BH$15)-COLUMN(CÁLCULO!$AW$15)-1),"&lt;="&amp;O30,OFFSET(CÁLCULO!$AA$15,CRONOPLE!$A$10,1,OFFSET(ORÇAMENTO!$D$15,CRONOPLE!$A$10,0),COLUMN(CÁLCULO!$AL$15)-COLUMN(CÁLCULO!$AA$15)-1))/OFFSET(ORÇAMENTO!$X$15,CRONOPLE!$A$10,0))))</f>
        <v>0</v>
      </c>
      <c r="P35" s="756"/>
      <c r="Q35" s="756">
        <f ca="1">IF(OR(ACOMPANHAMENTO&lt;&gt;"PLE",Q30&gt;PLE.Medicao),0,
   IF(AUTOEVENTO="Manual",
      IF(AdmLocal="Automática",Q33,
         IF(Import.EventoAdmLocal="","",SUMIF(OFFSET($G$14,CRONOPLE!$A$8+1,1,1,OFFSET($AG$12,0,-1)),"&lt;="&amp;Q30,OFFSET(EVENTOS!$G$14,CRONOPLE!$A$8+1,1,1,OFFSET($AG$12,0,-1)))/OFFSET(EVENTOS!$G$14,CRONOPLE!$A$8+1,-1))),
      IF(Import.EventoAdmLocal="","",SUMIF(OFFSET(CÁLCULO!$AW$15,CRONOPLE!$A$10,1,OFFSET(ORÇAMENTO!$D$15,CRONOPLE!$A$10,0),COLUMN(CÁLCULO!$BH$15)-COLUMN(CÁLCULO!$AW$15)-1),"&lt;="&amp;Q30,OFFSET(CÁLCULO!$AA$15,CRONOPLE!$A$10,1,OFFSET(ORÇAMENTO!$D$15,CRONOPLE!$A$10,0),COLUMN(CÁLCULO!$AL$15)-COLUMN(CÁLCULO!$AA$15)-1))/OFFSET(ORÇAMENTO!$X$15,CRONOPLE!$A$10,0))))</f>
        <v>0</v>
      </c>
      <c r="R35" s="756"/>
      <c r="S35" s="756">
        <f ca="1">IF(OR(ACOMPANHAMENTO&lt;&gt;"PLE",S30&gt;PLE.Medicao),0,
   IF(AUTOEVENTO="Manual",
      IF(AdmLocal="Automática",S33,
         IF(Import.EventoAdmLocal="","",SUMIF(OFFSET($G$14,CRONOPLE!$A$8+1,1,1,OFFSET($AG$12,0,-1)),"&lt;="&amp;S30,OFFSET(EVENTOS!$G$14,CRONOPLE!$A$8+1,1,1,OFFSET($AG$12,0,-1)))/OFFSET(EVENTOS!$G$14,CRONOPLE!$A$8+1,-1))),
      IF(Import.EventoAdmLocal="","",SUMIF(OFFSET(CÁLCULO!$AW$15,CRONOPLE!$A$10,1,OFFSET(ORÇAMENTO!$D$15,CRONOPLE!$A$10,0),COLUMN(CÁLCULO!$BH$15)-COLUMN(CÁLCULO!$AW$15)-1),"&lt;="&amp;S30,OFFSET(CÁLCULO!$AA$15,CRONOPLE!$A$10,1,OFFSET(ORÇAMENTO!$D$15,CRONOPLE!$A$10,0),COLUMN(CÁLCULO!$AL$15)-COLUMN(CÁLCULO!$AA$15)-1))/OFFSET(ORÇAMENTO!$X$15,CRONOPLE!$A$10,0))))</f>
        <v>0</v>
      </c>
      <c r="T35" s="756"/>
      <c r="U35" s="756">
        <f ca="1">IF(OR(ACOMPANHAMENTO&lt;&gt;"PLE",U30&gt;PLE.Medicao),0,
   IF(AUTOEVENTO="Manual",
      IF(AdmLocal="Automática",U33,
         IF(Import.EventoAdmLocal="","",SUMIF(OFFSET($G$14,CRONOPLE!$A$8+1,1,1,OFFSET($AG$12,0,-1)),"&lt;="&amp;U30,OFFSET(EVENTOS!$G$14,CRONOPLE!$A$8+1,1,1,OFFSET($AG$12,0,-1)))/OFFSET(EVENTOS!$G$14,CRONOPLE!$A$8+1,-1))),
      IF(Import.EventoAdmLocal="","",SUMIF(OFFSET(CÁLCULO!$AW$15,CRONOPLE!$A$10,1,OFFSET(ORÇAMENTO!$D$15,CRONOPLE!$A$10,0),COLUMN(CÁLCULO!$BH$15)-COLUMN(CÁLCULO!$AW$15)-1),"&lt;="&amp;U30,OFFSET(CÁLCULO!$AA$15,CRONOPLE!$A$10,1,OFFSET(ORÇAMENTO!$D$15,CRONOPLE!$A$10,0),COLUMN(CÁLCULO!$AL$15)-COLUMN(CÁLCULO!$AA$15)-1))/OFFSET(ORÇAMENTO!$X$15,CRONOPLE!$A$10,0))))</f>
        <v>0</v>
      </c>
      <c r="V35" s="756"/>
      <c r="W35" s="756">
        <f ca="1">IF(OR(ACOMPANHAMENTO&lt;&gt;"PLE",W30&gt;PLE.Medicao),0,
   IF(AUTOEVENTO="Manual",
      IF(AdmLocal="Automática",W33,
         IF(Import.EventoAdmLocal="","",SUMIF(OFFSET($G$14,CRONOPLE!$A$8+1,1,1,OFFSET($AG$12,0,-1)),"&lt;="&amp;W30,OFFSET(EVENTOS!$G$14,CRONOPLE!$A$8+1,1,1,OFFSET($AG$12,0,-1)))/OFFSET(EVENTOS!$G$14,CRONOPLE!$A$8+1,-1))),
      IF(Import.EventoAdmLocal="","",SUMIF(OFFSET(CÁLCULO!$AW$15,CRONOPLE!$A$10,1,OFFSET(ORÇAMENTO!$D$15,CRONOPLE!$A$10,0),COLUMN(CÁLCULO!$BH$15)-COLUMN(CÁLCULO!$AW$15)-1),"&lt;="&amp;W30,OFFSET(CÁLCULO!$AA$15,CRONOPLE!$A$10,1,OFFSET(ORÇAMENTO!$D$15,CRONOPLE!$A$10,0),COLUMN(CÁLCULO!$AL$15)-COLUMN(CÁLCULO!$AA$15)-1))/OFFSET(ORÇAMENTO!$X$15,CRONOPLE!$A$10,0))))</f>
        <v>0</v>
      </c>
      <c r="X35" s="756"/>
      <c r="Y35" s="756">
        <f ca="1">IF(OR(ACOMPANHAMENTO&lt;&gt;"PLE",Y30&gt;PLE.Medicao),0,
   IF(AUTOEVENTO="Manual",
      IF(AdmLocal="Automática",Y33,
         IF(Import.EventoAdmLocal="","",SUMIF(OFFSET($G$14,CRONOPLE!$A$8+1,1,1,OFFSET($AG$12,0,-1)),"&lt;="&amp;Y30,OFFSET(EVENTOS!$G$14,CRONOPLE!$A$8+1,1,1,OFFSET($AG$12,0,-1)))/OFFSET(EVENTOS!$G$14,CRONOPLE!$A$8+1,-1))),
      IF(Import.EventoAdmLocal="","",SUMIF(OFFSET(CÁLCULO!$AW$15,CRONOPLE!$A$10,1,OFFSET(ORÇAMENTO!$D$15,CRONOPLE!$A$10,0),COLUMN(CÁLCULO!$BH$15)-COLUMN(CÁLCULO!$AW$15)-1),"&lt;="&amp;Y30,OFFSET(CÁLCULO!$AA$15,CRONOPLE!$A$10,1,OFFSET(ORÇAMENTO!$D$15,CRONOPLE!$A$10,0),COLUMN(CÁLCULO!$AL$15)-COLUMN(CÁLCULO!$AA$15)-1))/OFFSET(ORÇAMENTO!$X$15,CRONOPLE!$A$10,0))))</f>
        <v>0</v>
      </c>
      <c r="Z35" s="756"/>
      <c r="AA35" s="756">
        <f ca="1">IF(OR(ACOMPANHAMENTO&lt;&gt;"PLE",AA30&gt;PLE.Medicao),0,
   IF(AUTOEVENTO="Manual",
      IF(AdmLocal="Automática",AA33,
         IF(Import.EventoAdmLocal="","",SUMIF(OFFSET($G$14,CRONOPLE!$A$8+1,1,1,OFFSET($AG$12,0,-1)),"&lt;="&amp;AA30,OFFSET(EVENTOS!$G$14,CRONOPLE!$A$8+1,1,1,OFFSET($AG$12,0,-1)))/OFFSET(EVENTOS!$G$14,CRONOPLE!$A$8+1,-1))),
      IF(Import.EventoAdmLocal="","",SUMIF(OFFSET(CÁLCULO!$AW$15,CRONOPLE!$A$10,1,OFFSET(ORÇAMENTO!$D$15,CRONOPLE!$A$10,0),COLUMN(CÁLCULO!$BH$15)-COLUMN(CÁLCULO!$AW$15)-1),"&lt;="&amp;AA30,OFFSET(CÁLCULO!$AA$15,CRONOPLE!$A$10,1,OFFSET(ORÇAMENTO!$D$15,CRONOPLE!$A$10,0),COLUMN(CÁLCULO!$AL$15)-COLUMN(CÁLCULO!$AA$15)-1))/OFFSET(ORÇAMENTO!$X$15,CRONOPLE!$A$10,0))))</f>
        <v>0</v>
      </c>
      <c r="AB35" s="756"/>
      <c r="AC35" s="756">
        <f ca="1">IF(OR(ACOMPANHAMENTO&lt;&gt;"PLE",AC30&gt;PLE.Medicao),0,
   IF(AUTOEVENTO="Manual",
      IF(AdmLocal="Automática",AC33,
         IF(Import.EventoAdmLocal="","",SUMIF(OFFSET($G$14,CRONOPLE!$A$8+1,1,1,OFFSET($AG$12,0,-1)),"&lt;="&amp;AC30,OFFSET(EVENTOS!$G$14,CRONOPLE!$A$8+1,1,1,OFFSET($AG$12,0,-1)))/OFFSET(EVENTOS!$G$14,CRONOPLE!$A$8+1,-1))),
      IF(Import.EventoAdmLocal="","",SUMIF(OFFSET(CÁLCULO!$AW$15,CRONOPLE!$A$10,1,OFFSET(ORÇAMENTO!$D$15,CRONOPLE!$A$10,0),COLUMN(CÁLCULO!$BH$15)-COLUMN(CÁLCULO!$AW$15)-1),"&lt;="&amp;AC30,OFFSET(CÁLCULO!$AA$15,CRONOPLE!$A$10,1,OFFSET(ORÇAMENTO!$D$15,CRONOPLE!$A$10,0),COLUMN(CÁLCULO!$AL$15)-COLUMN(CÁLCULO!$AA$15)-1))/OFFSET(ORÇAMENTO!$X$15,CRONOPLE!$A$10,0))))</f>
        <v>0</v>
      </c>
      <c r="AD35" s="756"/>
      <c r="AE35" s="756">
        <f ca="1">IF(OR(ACOMPANHAMENTO&lt;&gt;"PLE",AE30&gt;PLE.Medicao),0,
   IF(AUTOEVENTO="Manual",
      IF(AdmLocal="Automática",AE33,
         IF(Import.EventoAdmLocal="","",SUMIF(OFFSET($G$14,CRONOPLE!$A$8+1,1,1,OFFSET($AG$12,0,-1)),"&lt;="&amp;AE30,OFFSET(EVENTOS!$G$14,CRONOPLE!$A$8+1,1,1,OFFSET($AG$12,0,-1)))/OFFSET(EVENTOS!$G$14,CRONOPLE!$A$8+1,-1))),
      IF(Import.EventoAdmLocal="","",SUMIF(OFFSET(CÁLCULO!$AW$15,CRONOPLE!$A$10,1,OFFSET(ORÇAMENTO!$D$15,CRONOPLE!$A$10,0),COLUMN(CÁLCULO!$BH$15)-COLUMN(CÁLCULO!$AW$15)-1),"&lt;="&amp;AE30,OFFSET(CÁLCULO!$AA$15,CRONOPLE!$A$10,1,OFFSET(ORÇAMENTO!$D$15,CRONOPLE!$A$10,0),COLUMN(CÁLCULO!$AL$15)-COLUMN(CÁLCULO!$AA$15)-1))/OFFSET(ORÇAMENTO!$X$15,CRONOPLE!$A$10,0))))</f>
        <v>0</v>
      </c>
      <c r="AF35" s="756"/>
    </row>
    <row r="36" spans="1:32" ht="13.5" x14ac:dyDescent="0.25">
      <c r="A36" s="7" t="s">
        <v>536</v>
      </c>
      <c r="D36" s="523"/>
      <c r="H36" s="583" t="str">
        <f ca="1">IF(COUNTIF(I36:AG36,"%Adm&gt;%Global")&gt;0,"Verificar proporcionalidade da Administração Local","")</f>
        <v/>
      </c>
      <c r="I36" s="535" t="str">
        <f ca="1">IF(I35="","",IF(ROUND(I35,4)&gt;ROUND(I33,4),"%Adm&gt;%Global",""))</f>
        <v/>
      </c>
      <c r="J36" s="524"/>
      <c r="K36" s="535" t="str">
        <f t="shared" ref="K36" ca="1" si="15">IF(K35="","",IF(ROUND(K35,4)&gt;ROUND(K33,4),"%Adm&gt;%Global",""))</f>
        <v/>
      </c>
      <c r="L36" s="524"/>
      <c r="M36" s="535" t="str">
        <f t="shared" ref="M36" ca="1" si="16">IF(M35="","",IF(ROUND(M35,4)&gt;ROUND(M33,4),"%Adm&gt;%Global",""))</f>
        <v/>
      </c>
      <c r="N36" s="524"/>
      <c r="O36" s="535" t="str">
        <f t="shared" ref="O36" ca="1" si="17">IF(O35="","",IF(ROUND(O35,4)&gt;ROUND(O33,4),"%Adm&gt;%Global",""))</f>
        <v/>
      </c>
      <c r="P36" s="524"/>
      <c r="Q36" s="535" t="str">
        <f t="shared" ref="Q36" ca="1" si="18">IF(Q35="","",IF(ROUND(Q35,4)&gt;ROUND(Q33,4),"%Adm&gt;%Global",""))</f>
        <v/>
      </c>
      <c r="R36" s="524"/>
      <c r="S36" s="535" t="str">
        <f t="shared" ref="S36" ca="1" si="19">IF(S35="","",IF(ROUND(S35,4)&gt;ROUND(S33,4),"%Adm&gt;%Global",""))</f>
        <v/>
      </c>
      <c r="T36" s="524"/>
      <c r="U36" s="535" t="str">
        <f t="shared" ref="U36" ca="1" si="20">IF(U35="","",IF(ROUND(U35,4)&gt;ROUND(U33,4),"%Adm&gt;%Global",""))</f>
        <v/>
      </c>
      <c r="V36" s="524"/>
      <c r="W36" s="535" t="str">
        <f t="shared" ref="W36" ca="1" si="21">IF(W35="","",IF(ROUND(W35,4)&gt;ROUND(W33,4),"%Adm&gt;%Global",""))</f>
        <v/>
      </c>
      <c r="X36" s="524"/>
      <c r="Y36" s="535" t="str">
        <f t="shared" ref="Y36" ca="1" si="22">IF(Y35="","",IF(ROUND(Y35,4)&gt;ROUND(Y33,4),"%Adm&gt;%Global",""))</f>
        <v/>
      </c>
      <c r="Z36" s="524"/>
      <c r="AA36" s="535" t="str">
        <f t="shared" ref="AA36" ca="1" si="23">IF(AA35="","",IF(ROUND(AA35,4)&gt;ROUND(AA33,4),"%Adm&gt;%Global",""))</f>
        <v/>
      </c>
      <c r="AB36" s="524"/>
      <c r="AC36" s="535" t="str">
        <f t="shared" ref="AC36" ca="1" si="24">IF(AC35="","",IF(ROUND(AC35,4)&gt;ROUND(AC33,4),"%Adm&gt;%Global",""))</f>
        <v/>
      </c>
      <c r="AD36" s="524"/>
      <c r="AE36" s="535" t="str">
        <f t="shared" ref="AE36" ca="1" si="25">IF(AE35="","",IF(ROUND(AE35,4)&gt;ROUND(AE33,4),"%Adm&gt;%Global",""))</f>
        <v/>
      </c>
      <c r="AF36" s="524"/>
    </row>
    <row r="37" spans="1:32" ht="20.25" customHeight="1" x14ac:dyDescent="0.2">
      <c r="A37" s="7" t="s">
        <v>536</v>
      </c>
      <c r="I37" s="804"/>
      <c r="J37" s="804"/>
    </row>
    <row r="38" spans="1:32" ht="15" x14ac:dyDescent="0.25">
      <c r="A38" s="7" t="s">
        <v>536</v>
      </c>
      <c r="B38" s="716" t="str">
        <f>Import.Município</f>
        <v>BURITIZEIRO-MG</v>
      </c>
      <c r="C38" s="716"/>
      <c r="D38" s="716"/>
      <c r="S38" s="562" t="str">
        <f ca="1">IF(DADOS!$D$50&lt;&gt;"","Preencher os Dados do Responsável pela Fiscalização, na aba DADOS.","")</f>
        <v/>
      </c>
      <c r="U38" s="139"/>
      <c r="V38" s="139"/>
      <c r="W38" s="139"/>
      <c r="X38" s="139"/>
      <c r="Y38" s="180"/>
      <c r="Z38" s="180"/>
      <c r="AA38" s="180"/>
      <c r="AB38" s="180"/>
      <c r="AC38" s="180"/>
      <c r="AD38" s="180"/>
    </row>
    <row r="39" spans="1:32" x14ac:dyDescent="0.2">
      <c r="A39" s="7" t="s">
        <v>536</v>
      </c>
      <c r="B39" s="9" t="s">
        <v>693</v>
      </c>
      <c r="U39" s="181" t="s">
        <v>841</v>
      </c>
    </row>
    <row r="40" spans="1:32" x14ac:dyDescent="0.2">
      <c r="A40" s="7" t="s">
        <v>536</v>
      </c>
      <c r="I40" s="79"/>
      <c r="U40" s="77" t="s">
        <v>240</v>
      </c>
      <c r="W40" s="271">
        <f t="array" ref="W40:W43">Import.RespFiscalização</f>
        <v>0</v>
      </c>
    </row>
    <row r="41" spans="1:32" x14ac:dyDescent="0.2">
      <c r="A41" s="7" t="s">
        <v>536</v>
      </c>
      <c r="B41" s="710">
        <f>DADOS!$C$48</f>
        <v>0</v>
      </c>
      <c r="C41" s="710"/>
      <c r="D41" s="710"/>
      <c r="I41" s="79"/>
      <c r="U41" s="77" t="s">
        <v>319</v>
      </c>
      <c r="W41" s="271">
        <v>0</v>
      </c>
    </row>
    <row r="42" spans="1:32" x14ac:dyDescent="0.2">
      <c r="A42" s="7" t="s">
        <v>536</v>
      </c>
      <c r="B42" s="140" t="s">
        <v>694</v>
      </c>
      <c r="C42" s="1"/>
      <c r="D42" s="1"/>
      <c r="I42" s="79"/>
      <c r="U42" s="77" t="s">
        <v>243</v>
      </c>
      <c r="W42" s="271">
        <v>0</v>
      </c>
    </row>
    <row r="43" spans="1:32" x14ac:dyDescent="0.2">
      <c r="U43" s="77" t="s">
        <v>246</v>
      </c>
      <c r="W43" s="12">
        <v>0</v>
      </c>
    </row>
  </sheetData>
  <sheetProtection algorithmName="SHA-512" hashValue="te16sZP9RSwCv/sOKLiI+1ViWyuEZpUWQXjzXG9HuN2+bFZzA5yKiGkpTIDRORQjOPAk72f3hF9ooMuezkA8dg==" saltValue="FHfEWQ2lfkM0R3lUz2Smkw==" spinCount="100000" sheet="1" objects="1" scenarios="1" autoFilter="0"/>
  <autoFilter ref="A13:A42" xr:uid="{00000000-0009-0000-0000-000009000000}"/>
  <mergeCells count="117">
    <mergeCell ref="C19:D19"/>
    <mergeCell ref="C20:D20"/>
    <mergeCell ref="C21:D21"/>
    <mergeCell ref="C22:D22"/>
    <mergeCell ref="B41:D41"/>
    <mergeCell ref="B38:D38"/>
    <mergeCell ref="D33:D34"/>
    <mergeCell ref="M33:N33"/>
    <mergeCell ref="M34:N34"/>
    <mergeCell ref="I34:J34"/>
    <mergeCell ref="K34:L34"/>
    <mergeCell ref="K33:L33"/>
    <mergeCell ref="I33:J33"/>
    <mergeCell ref="I37:J37"/>
    <mergeCell ref="I35:J35"/>
    <mergeCell ref="K35:L35"/>
    <mergeCell ref="M35:N35"/>
    <mergeCell ref="O35:P35"/>
    <mergeCell ref="Q35:R35"/>
    <mergeCell ref="O34:P34"/>
    <mergeCell ref="O33:P33"/>
    <mergeCell ref="Q33:R33"/>
    <mergeCell ref="AA29:AB29"/>
    <mergeCell ref="C1:D1"/>
    <mergeCell ref="C11:D11"/>
    <mergeCell ref="C12:D13"/>
    <mergeCell ref="U34:V34"/>
    <mergeCell ref="C17:D17"/>
    <mergeCell ref="D31:D32"/>
    <mergeCell ref="C16:D16"/>
    <mergeCell ref="C18:D18"/>
    <mergeCell ref="W32:X32"/>
    <mergeCell ref="S30:T30"/>
    <mergeCell ref="Q30:R30"/>
    <mergeCell ref="K30:L30"/>
    <mergeCell ref="K29:L29"/>
    <mergeCell ref="I29:J29"/>
    <mergeCell ref="I30:J30"/>
    <mergeCell ref="I31:J31"/>
    <mergeCell ref="M30:N30"/>
    <mergeCell ref="C23:D23"/>
    <mergeCell ref="AD3:AF3"/>
    <mergeCell ref="AD4:AF4"/>
    <mergeCell ref="AE6:AF6"/>
    <mergeCell ref="H7:N7"/>
    <mergeCell ref="O7:U7"/>
    <mergeCell ref="AE7:AF7"/>
    <mergeCell ref="V7:AD7"/>
    <mergeCell ref="Y9:Z9"/>
    <mergeCell ref="AE9:AF9"/>
    <mergeCell ref="J9:K9"/>
    <mergeCell ref="N9:T9"/>
    <mergeCell ref="AE32:AF32"/>
    <mergeCell ref="O30:P30"/>
    <mergeCell ref="W31:X31"/>
    <mergeCell ref="U31:V31"/>
    <mergeCell ref="AC31:AD31"/>
    <mergeCell ref="AE30:AF30"/>
    <mergeCell ref="U33:V33"/>
    <mergeCell ref="Y33:Z33"/>
    <mergeCell ref="B12:B13"/>
    <mergeCell ref="S32:T32"/>
    <mergeCell ref="Q32:R32"/>
    <mergeCell ref="W30:X30"/>
    <mergeCell ref="AC32:AD32"/>
    <mergeCell ref="AC33:AD33"/>
    <mergeCell ref="AA32:AB32"/>
    <mergeCell ref="Y31:Z31"/>
    <mergeCell ref="S29:T29"/>
    <mergeCell ref="U29:V29"/>
    <mergeCell ref="Q29:R29"/>
    <mergeCell ref="S31:T31"/>
    <mergeCell ref="U30:V30"/>
    <mergeCell ref="AE31:AF31"/>
    <mergeCell ref="C24:D24"/>
    <mergeCell ref="C25:D25"/>
    <mergeCell ref="B7:C7"/>
    <mergeCell ref="C15:D15"/>
    <mergeCell ref="W29:X29"/>
    <mergeCell ref="AC29:AD29"/>
    <mergeCell ref="Y30:Z30"/>
    <mergeCell ref="AA31:AB31"/>
    <mergeCell ref="Y32:Z32"/>
    <mergeCell ref="U32:V32"/>
    <mergeCell ref="Q34:R34"/>
    <mergeCell ref="M29:N29"/>
    <mergeCell ref="O32:P32"/>
    <mergeCell ref="M32:N32"/>
    <mergeCell ref="K32:L32"/>
    <mergeCell ref="I32:J32"/>
    <mergeCell ref="O31:P31"/>
    <mergeCell ref="M31:N31"/>
    <mergeCell ref="K31:L31"/>
    <mergeCell ref="I28:AF28"/>
    <mergeCell ref="O29:P29"/>
    <mergeCell ref="AE29:AF29"/>
    <mergeCell ref="Y29:Z29"/>
    <mergeCell ref="Q31:R31"/>
    <mergeCell ref="AC30:AD30"/>
    <mergeCell ref="AA30:AB30"/>
    <mergeCell ref="AC35:AD35"/>
    <mergeCell ref="AE35:AF35"/>
    <mergeCell ref="S35:T35"/>
    <mergeCell ref="U35:V35"/>
    <mergeCell ref="W35:X35"/>
    <mergeCell ref="Y35:Z35"/>
    <mergeCell ref="AA35:AB35"/>
    <mergeCell ref="W33:X33"/>
    <mergeCell ref="S33:T33"/>
    <mergeCell ref="AC34:AD34"/>
    <mergeCell ref="AA33:AB33"/>
    <mergeCell ref="AE34:AF34"/>
    <mergeCell ref="AE33:AF33"/>
    <mergeCell ref="Y34:Z34"/>
    <mergeCell ref="AA34:AB34"/>
    <mergeCell ref="S34:T34"/>
    <mergeCell ref="W34:X34"/>
  </mergeCells>
  <phoneticPr fontId="38" type="noConversion"/>
  <conditionalFormatting sqref="F1:F2">
    <cfRule type="expression" dxfId="145" priority="2738" stopIfTrue="1">
      <formula>IF(OR(ACOMPANHAMENTO="BM",F$12&gt;CÁLCULO.NúmeroDeFrentes),TRUE,PLE.ValorDoEvento=0)</formula>
    </cfRule>
    <cfRule type="cellIs" dxfId="144" priority="2739" stopIfTrue="1" operator="equal">
      <formula>$J$9</formula>
    </cfRule>
  </conditionalFormatting>
  <conditionalFormatting sqref="I31:AF31">
    <cfRule type="expression" dxfId="143" priority="2740" stopIfTrue="1">
      <formula>I30=$J$9</formula>
    </cfRule>
  </conditionalFormatting>
  <conditionalFormatting sqref="I32:AF32">
    <cfRule type="expression" dxfId="142" priority="2741" stopIfTrue="1">
      <formula>I30=$J$9</formula>
    </cfRule>
  </conditionalFormatting>
  <conditionalFormatting sqref="I33:AF33">
    <cfRule type="expression" dxfId="141" priority="2742" stopIfTrue="1">
      <formula>I30=$J$9</formula>
    </cfRule>
  </conditionalFormatting>
  <conditionalFormatting sqref="I34:AF34">
    <cfRule type="expression" dxfId="140" priority="2743" stopIfTrue="1">
      <formula>I30=$J$9</formula>
    </cfRule>
  </conditionalFormatting>
  <conditionalFormatting sqref="I30:J30">
    <cfRule type="cellIs" dxfId="139" priority="2737" stopIfTrue="1" operator="notEqual">
      <formula>1</formula>
    </cfRule>
  </conditionalFormatting>
  <conditionalFormatting sqref="H1:AF1 H16:AF25">
    <cfRule type="expression" dxfId="138" priority="2755" stopIfTrue="1">
      <formula>IF(OR(ACOMPANHAMENTO="BM",TIPOORCAMENTO="Proposto",H$12&gt;CÁLCULO.NúmeroDeFrentes),TRUE,PLE.ValorDoEvento=0)</formula>
    </cfRule>
    <cfRule type="cellIs" dxfId="137" priority="2756" stopIfTrue="1" operator="equal">
      <formula>$J$9</formula>
    </cfRule>
  </conditionalFormatting>
  <conditionalFormatting sqref="AE6:AE7">
    <cfRule type="expression" dxfId="136" priority="2744" stopIfTrue="1">
      <formula>TIPOORCAMENTO&lt;&gt;"Licitado"</formula>
    </cfRule>
  </conditionalFormatting>
  <conditionalFormatting sqref="N9:T9">
    <cfRule type="expression" dxfId="135" priority="2745" stopIfTrue="1">
      <formula>COLUMN(N9)&gt;COLUMN($AF$12)</formula>
    </cfRule>
    <cfRule type="expression" dxfId="134" priority="2746" stopIfTrue="1">
      <formula>$N$9="DIGITE A DATA DA MEDIÇÃO"</formula>
    </cfRule>
  </conditionalFormatting>
  <conditionalFormatting sqref="I9:M9 U9:AF9">
    <cfRule type="expression" dxfId="133" priority="2747" stopIfTrue="1">
      <formula>COLUMN(I9)&gt;COLUMN($AF$12)</formula>
    </cfRule>
  </conditionalFormatting>
  <conditionalFormatting sqref="K31:AF34">
    <cfRule type="expression" dxfId="132" priority="1753" stopIfTrue="1">
      <formula>I$33=100%</formula>
    </cfRule>
  </conditionalFormatting>
  <conditionalFormatting sqref="J36 L36 N36 P36 R36 T36 V36 X36 Z36 AB36 AD36 AF36">
    <cfRule type="expression" dxfId="131" priority="14464" stopIfTrue="1">
      <formula>J31=$J$9</formula>
    </cfRule>
  </conditionalFormatting>
  <conditionalFormatting sqref="K35:AF35">
    <cfRule type="expression" dxfId="130" priority="1752">
      <formula>OFFSET(K35,-2,-2)=1</formula>
    </cfRule>
  </conditionalFormatting>
  <conditionalFormatting sqref="I35:AF35">
    <cfRule type="expression" dxfId="129" priority="1751">
      <formula>ROUND(I35,4)&gt;ROUND(I33,4)</formula>
    </cfRule>
  </conditionalFormatting>
  <conditionalFormatting sqref="N13">
    <cfRule type="expression" dxfId="128" priority="1750">
      <formula>$Y$9=0</formula>
    </cfRule>
  </conditionalFormatting>
  <conditionalFormatting sqref="F16:F18">
    <cfRule type="expression" dxfId="127" priority="38" stopIfTrue="1">
      <formula>IF(OR(ACOMPANHAMENTO="BM",F$12&gt;CÁLCULO.NúmeroDeFrentes),TRUE,PLE.ValorDoEvento=0)</formula>
    </cfRule>
    <cfRule type="cellIs" dxfId="126" priority="39" stopIfTrue="1" operator="equal">
      <formula>$J$9</formula>
    </cfRule>
  </conditionalFormatting>
  <conditionalFormatting sqref="F23">
    <cfRule type="expression" dxfId="125" priority="14" stopIfTrue="1">
      <formula>IF(OR(ACOMPANHAMENTO="BM",F$12&gt;CÁLCULO.NúmeroDeFrentes),TRUE,PLE.ValorDoEvento=0)</formula>
    </cfRule>
    <cfRule type="cellIs" dxfId="124" priority="15" stopIfTrue="1" operator="equal">
      <formula>$J$9</formula>
    </cfRule>
  </conditionalFormatting>
  <conditionalFormatting sqref="F24:F25">
    <cfRule type="expression" dxfId="123" priority="5" stopIfTrue="1">
      <formula>IF(OR(ACOMPANHAMENTO="BM",F$12&gt;CÁLCULO.NúmeroDeFrentes),TRUE,PLE.ValorDoEvento=0)</formula>
    </cfRule>
    <cfRule type="cellIs" dxfId="122" priority="6" stopIfTrue="1" operator="equal">
      <formula>$J$9</formula>
    </cfRule>
  </conditionalFormatting>
  <conditionalFormatting sqref="F19:F22">
    <cfRule type="expression" dxfId="121" priority="1" stopIfTrue="1">
      <formula>IF(OR(ACOMPANHAMENTO="BM",F$12&gt;CÁLCULO.NúmeroDeFrentes),TRUE,PLE.ValorDoEvento=0)</formula>
    </cfRule>
    <cfRule type="cellIs" dxfId="120" priority="2" stopIfTrue="1" operator="equal">
      <formula>$J$9</formula>
    </cfRule>
  </conditionalFormatting>
  <dataValidations count="3">
    <dataValidation type="whole" operator="greaterThan" allowBlank="1" showErrorMessage="1" sqref="I3:AC4 J9:K9 F1:F4 F16:F25"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25"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108"/>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EMPREITADA INTEGRAL - OGU</v>
      </c>
      <c r="O2" s="11" t="s">
        <v>647</v>
      </c>
    </row>
    <row r="3" spans="1:41" x14ac:dyDescent="0.2">
      <c r="A3" s="805" t="b">
        <v>0</v>
      </c>
      <c r="B3" s="805"/>
      <c r="E3" s="86"/>
    </row>
    <row r="4" spans="1:41" x14ac:dyDescent="0.2">
      <c r="D4" s="683" t="s">
        <v>652</v>
      </c>
      <c r="E4" s="683"/>
      <c r="F4" s="721" t="s">
        <v>650</v>
      </c>
      <c r="G4" s="721"/>
      <c r="H4" s="721"/>
      <c r="I4" s="145" t="s">
        <v>707</v>
      </c>
      <c r="J4" s="683" t="s">
        <v>708</v>
      </c>
      <c r="K4" s="683"/>
      <c r="L4" s="683"/>
      <c r="M4" s="683"/>
      <c r="N4" s="683"/>
      <c r="O4" s="147" t="s">
        <v>843</v>
      </c>
    </row>
    <row r="5" spans="1:41" ht="12.75" customHeight="1" x14ac:dyDescent="0.2">
      <c r="A5" t="s">
        <v>844</v>
      </c>
      <c r="D5" s="680" t="str">
        <f>Import.Proponente</f>
        <v>MINISTÉRIO DAS CIDADES</v>
      </c>
      <c r="E5" s="680"/>
      <c r="F5" s="719" t="str">
        <f>Import.CR</f>
        <v>1099388-52</v>
      </c>
      <c r="G5" s="719"/>
      <c r="H5" s="719"/>
      <c r="I5" s="322" t="str">
        <f>Import.TransfereGOV</f>
        <v>974020</v>
      </c>
      <c r="J5" s="680" t="str">
        <f>Import.Apelido</f>
        <v>USINA DE TRIAGEM MECANIZADA</v>
      </c>
      <c r="K5" s="680"/>
      <c r="L5" s="680"/>
      <c r="M5" s="680"/>
      <c r="N5" s="680"/>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Global</v>
      </c>
      <c r="D7" s="87" t="s">
        <v>846</v>
      </c>
      <c r="E7" s="87" t="s">
        <v>847</v>
      </c>
      <c r="F7" s="683" t="s">
        <v>848</v>
      </c>
      <c r="G7" s="683"/>
      <c r="H7" s="683"/>
      <c r="I7" s="683" t="str" cm="1">
        <f t="array" ref="I7">IF(TIPOORCAMENTO="Licitado","REGIME DE EXECUÇÃO","MUNICÍPIO / UF")</f>
        <v>MUNICÍPIO / UF</v>
      </c>
      <c r="J7" s="683"/>
      <c r="K7" s="683"/>
      <c r="L7" s="683"/>
      <c r="M7" s="683" t="s">
        <v>849</v>
      </c>
      <c r="N7" s="683"/>
      <c r="O7" s="87" t="s">
        <v>850</v>
      </c>
      <c r="AO7" s="275" cm="1">
        <f t="array" aca="1" ref="AO7" ca="1">BM.MEDAcumulado</f>
        <v>0</v>
      </c>
    </row>
    <row r="8" spans="1:41" ht="12.75" customHeight="1" x14ac:dyDescent="0.2">
      <c r="A8" s="320" t="s">
        <v>851</v>
      </c>
      <c r="B8" s="2"/>
      <c r="C8" s="709" t="s">
        <v>655</v>
      </c>
      <c r="D8" s="326">
        <f>Import.CTEF</f>
        <v>0</v>
      </c>
      <c r="E8" s="56">
        <f>Import.empresa</f>
        <v>0</v>
      </c>
      <c r="F8" s="680">
        <f>Import.CNPJ</f>
        <v>0</v>
      </c>
      <c r="G8" s="680"/>
      <c r="H8" s="680"/>
      <c r="I8" s="680" t="str" cm="1">
        <f t="array" ref="I8">IF(TIPOORCAMENTO="Licitado",Import.RegimeExecução,Import.Município)</f>
        <v>BURITIZEIRO-MG</v>
      </c>
      <c r="J8" s="680"/>
      <c r="K8" s="680"/>
      <c r="L8" s="680"/>
      <c r="M8" s="680" t="str" cm="1">
        <f t="array" aca="1" ref="M8" ca="1">TEXT(IF(BM.medicao=1,Import.DataInicioObra,OFFSET($AB$12,0,BM.medicao-1-$AB$13)+1),"dd/mm/aaaa")&amp;" a "&amp;TEXT(OFFSET($AB$12,0,BM.medicao-$AB$13),"dd/mm/aaaa")</f>
        <v>00/01/1900 a 00/01/1900</v>
      </c>
      <c r="N8" s="680"/>
      <c r="O8" s="422">
        <v>1</v>
      </c>
    </row>
    <row r="9" spans="1:41" ht="12.75" customHeight="1" x14ac:dyDescent="0.2">
      <c r="A9" s="559" t="b">
        <v>1</v>
      </c>
      <c r="B9" s="4"/>
      <c r="C9" s="709"/>
    </row>
    <row r="10" spans="1:41" ht="13.35" customHeight="1" x14ac:dyDescent="0.2">
      <c r="A10" s="410" t="s">
        <v>852</v>
      </c>
      <c r="B10" s="411"/>
      <c r="C10" s="709"/>
      <c r="E10" s="556"/>
      <c r="F10" s="806"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IF($J$103&lt;&gt;"",UPPER($J$103),
 "")))))))</f>
        <v>Foi selecionado na aba 'MENU' o acompanhamento por PLE.</v>
      </c>
      <c r="G10" s="806"/>
      <c r="H10" s="806"/>
      <c r="I10" s="806"/>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f ca="1">OFFSET(CRONO!$F$13,CRONO!$F$58,0)</f>
        <v>2</v>
      </c>
      <c r="B11" s="418"/>
      <c r="C11" s="709"/>
      <c r="E11" s="556"/>
      <c r="F11" s="806"/>
      <c r="G11" s="806"/>
      <c r="H11" s="806"/>
      <c r="I11" s="806"/>
      <c r="N11" s="557"/>
      <c r="O11" s="558" t="str">
        <f ca="1">IF(ISERROR(P11),"","Administração Local Acumulada: "&amp;TEXT(P11,"0,00%"))</f>
        <v>Administração Local Acumulada: 0,00%</v>
      </c>
      <c r="P11" s="561">
        <f ca="1">OFFSET($O$15,$A$11,0)/OFFSET($I$15,$A$11,0)</f>
        <v>0</v>
      </c>
      <c r="T11" s="807" t="s">
        <v>853</v>
      </c>
      <c r="U11" s="807"/>
      <c r="Z11" s="4"/>
      <c r="AB11" s="790" t="s">
        <v>854</v>
      </c>
      <c r="AC11" s="790"/>
      <c r="AD11" s="790"/>
      <c r="AE11" s="790"/>
      <c r="AF11" s="790"/>
      <c r="AG11" s="790"/>
      <c r="AH11" s="790"/>
      <c r="AI11" s="790"/>
      <c r="AJ11" s="790"/>
      <c r="AK11" s="790"/>
      <c r="AL11" s="790"/>
      <c r="AM11" s="790"/>
    </row>
    <row r="12" spans="1:41" ht="15" customHeight="1" x14ac:dyDescent="0.25">
      <c r="C12" s="709"/>
      <c r="E12" s="84" t="s">
        <v>855</v>
      </c>
      <c r="J12" s="682" t="str" cm="1">
        <f t="array" aca="1" ref="J12" ca="1">"Evolução Física "&amp;CHOOSE(MATCH(RegimeExecucao,{"Unitário","Global"},0),"(Qtde.)","(%)")</f>
        <v>Evolução Física (%)</v>
      </c>
      <c r="K12" s="682"/>
      <c r="L12" s="682"/>
      <c r="M12" s="682" t="s">
        <v>856</v>
      </c>
      <c r="N12" s="682"/>
      <c r="O12" s="682"/>
      <c r="Q12" s="682" t="str" cm="1">
        <f t="array" aca="1" ref="Q12" ca="1">"Aferido (CAIXA) "&amp;CHOOSE(MATCH(RegimeExecucao,{"Unitário","Global"},0),"(Qtde.)","(%)")</f>
        <v>Aferido (CAIXA) (%)</v>
      </c>
      <c r="R12" s="682"/>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
      </c>
      <c r="W13" s="292" t="str" cm="1">
        <f t="array" aca="1" ref="W13" ca="1">CHOOSE(MATCH(RegimeExecucao,{"Unitário","Global"},0),"Quant. Glosada (unid)","Percentual Glosado (%)")</f>
        <v>Percentual Glosado (%)</v>
      </c>
      <c r="X13" s="292" t="str" cm="1">
        <f t="array" aca="1" ref="X13" ca="1">CHOOSE(MATCH(RegimeExecucao,{"Unitário","Global"},0),"Preço Unitário (R$)","Valor Total do Item (R$)")</f>
        <v>Valor Total do Item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
      </c>
      <c r="G14" s="122" t="str" cm="1">
        <f t="array" aca="1" ref="G14" ca="1">IF(RegimeExecucao="Global","",ORÇAMENTO!T14)</f>
        <v/>
      </c>
      <c r="H14" s="122" t="str" cm="1">
        <f t="array" aca="1" ref="H14" ca="1">IF(RegimeExecucao="Global","",ORÇAMENTO!W14)</f>
        <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3" t="str">
        <f>"Objeto do CTEF: "&amp;Import.DescLote</f>
        <v>Objeto do CTEF: Implantação de uma Usina de Triagem Mecanizada de Resíduos Sólidos em Buritizeiro/MG, que atenderá também as cidades de Várzea da Palma/MG, Lassance/MG e Jequitaí/MG.</v>
      </c>
      <c r="E15" s="813"/>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IF(OR(ACOMPANHAMENTO="PLE",TIPOORCAMENTO="Proposto"),0,SUMIF(OFFSET($A15,1,0):$A$93,"S",OFFSET(M15,1,0):M$93))</f>
        <v>0</v>
      </c>
      <c r="N15" s="341">
        <f ca="1">O15-M15</f>
        <v>0</v>
      </c>
      <c r="O15" s="341" cm="1">
        <f t="array" aca="1" ref="O15" ca="1">IF(OR(ACOMPANHAMENTO="PLE",TIPOORCAMENTO="Proposto"),0,SUMIF(OFFSET($A15,1,0):$A$93,"S",OFFSET(O15,1,0):O$93))</f>
        <v>0</v>
      </c>
      <c r="Q15" s="342"/>
      <c r="R15" s="342"/>
      <c r="T15" s="343"/>
      <c r="U15" s="344"/>
      <c r="V15" s="344"/>
      <c r="W15" s="344"/>
      <c r="X15" s="344"/>
      <c r="Y15" s="344"/>
      <c r="Z15" s="345"/>
      <c r="AB15" s="809" t="str" cm="1">
        <f t="array" aca="1" ref="AB15" ca="1">"Preencher abaixo com a "&amp;CHOOSE(MATCH(RegimeExecucao,{"Unitário","Global"},0),"QUANTIDADE","PORCENTAGEM")&amp;" executada no PERÍODO"</f>
        <v>Preencher abaixo com a PORCENTAGEM executada no PERÍODO</v>
      </c>
      <c r="AC15" s="809"/>
      <c r="AD15" s="809"/>
      <c r="AE15" s="809"/>
      <c r="AF15" s="809"/>
      <c r="AG15" s="809"/>
      <c r="AH15" s="809"/>
      <c r="AI15" s="809"/>
      <c r="AJ15" s="809"/>
      <c r="AK15" s="809"/>
      <c r="AL15" s="809"/>
      <c r="AM15" s="809"/>
    </row>
    <row r="16" spans="1:41" x14ac:dyDescent="0.2">
      <c r="A16">
        <f ca="1">ORÇAMENTO!C16</f>
        <v>1</v>
      </c>
      <c r="B16">
        <f ca="1">ORÇAMENTO!D16</f>
        <v>77</v>
      </c>
      <c r="C16" s="114" t="str">
        <f t="shared" ref="C16:C79" ca="1" si="1">IF(OR($I16&gt;0,$A16=1,$A16=2,$A16=3,$A16=4),"F","")</f>
        <v>F</v>
      </c>
      <c r="D16" s="117" t="str">
        <f ca="1">ORÇAMENTO!O16</f>
        <v>1.</v>
      </c>
      <c r="E16" s="163" t="str">
        <f t="shared" ref="E16:E79" si="2">ORÇAMENTO.Descricao</f>
        <v>USINA DE TRIAGEM MECANIZADA - ARRANJO BURITIZEIRO/MG</v>
      </c>
      <c r="F16" s="164" t="str" cm="1">
        <f t="array" aca="1" ref="F16" ca="1">IF(RegimeExecucao="Global","",ORÇAMENTO.Unidade)</f>
        <v/>
      </c>
      <c r="G16" s="122" t="str" cm="1">
        <f t="array" aca="1" ref="G16" ca="1">IF(RegimeExecucao="Global","",ORÇAMENTO!T16)</f>
        <v/>
      </c>
      <c r="H16" s="122" t="str" cm="1">
        <f t="array" aca="1" ref="H16" ca="1">IF(RegimeExecucao="Global","",ORÇAMENTO!W16)</f>
        <v/>
      </c>
      <c r="I16" s="125">
        <f ca="1">ORÇAMENTO!X16</f>
        <v>21394861.289999999</v>
      </c>
      <c r="J16" s="333" cm="1">
        <f t="array" aca="1" ref="J16" ca="1">IF($A16="S",IF(CAIXA.Modo,BM.AFAnterior,BM.MEDAnterior),IF(AND(RegimeExecucao="Global",$I16&gt;0,COUNTIF($AB$13:$AM$13,BM.medicao-1)&gt;0),M16/$I16*100,0))</f>
        <v>0</v>
      </c>
      <c r="K16" s="122">
        <f t="shared" ref="K16:K79"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79" ca="1" si="4">O16-M16</f>
        <v>0</v>
      </c>
      <c r="O16" s="125" cm="1">
        <f t="array" aca="1" ref="O16" ca="1">IF($A16="S",VTOTALBM,IF($A16=0,0,ROUND(SomaAgrupBM,15-13*ORÇAMENTO!$AF$11)))</f>
        <v>0</v>
      </c>
      <c r="Q16" s="337"/>
      <c r="R16" s="338"/>
      <c r="T16" s="117" t="str">
        <f t="shared" ref="T16:T79" ca="1" si="5">IF($W16&gt;0,$D16,"")</f>
        <v/>
      </c>
      <c r="U16" s="163" t="str">
        <f t="shared" ref="U16:U79"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79"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22</v>
      </c>
      <c r="C17" s="114" t="str">
        <f t="shared" ca="1" si="1"/>
        <v>F</v>
      </c>
      <c r="D17" s="117" t="str">
        <f ca="1">ORÇAMENTO!O17</f>
        <v>1.1.</v>
      </c>
      <c r="E17" s="163" t="str">
        <f t="shared" si="2"/>
        <v>PROJETOS</v>
      </c>
      <c r="F17" s="164" t="str" cm="1">
        <f t="array" aca="1" ref="F17" ca="1">IF(RegimeExecucao="Global","",ORÇAMENTO.Unidade)</f>
        <v/>
      </c>
      <c r="G17" s="122" t="str" cm="1">
        <f t="array" aca="1" ref="G17" ca="1">IF(RegimeExecucao="Global","",ORÇAMENTO!T17)</f>
        <v/>
      </c>
      <c r="H17" s="122" t="str" cm="1">
        <f t="array" aca="1" ref="H17" ca="1">IF(RegimeExecucao="Global","",ORÇAMENTO!W17)</f>
        <v/>
      </c>
      <c r="I17" s="125">
        <f ca="1">ORÇAMENTO!X17</f>
        <v>164265.45000000001</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x14ac:dyDescent="0.2">
      <c r="A18">
        <f ca="1">ORÇAMENTO!C18</f>
        <v>3</v>
      </c>
      <c r="B18">
        <f ca="1">ORÇAMENTO!D18</f>
        <v>21</v>
      </c>
      <c r="C18" s="114" t="str">
        <f ca="1">IF(OR($I18&gt;0,$A18=1,$A18=2,$A18=3,$A18=4),"F","")</f>
        <v>F</v>
      </c>
      <c r="D18" s="117" t="str">
        <f ca="1">ORÇAMENTO!O18</f>
        <v>1.1.1.</v>
      </c>
      <c r="E18" s="163" t="str">
        <f ca="1">ORÇAMENTO.Descricao</f>
        <v>Elaboração de estudos e projetos do empreendimento</v>
      </c>
      <c r="F18" s="164" t="str" cm="1">
        <f t="array" aca="1" ref="F18" ca="1">IF(RegimeExecucao="Global","",ORÇAMENTO.Unidade)</f>
        <v/>
      </c>
      <c r="G18" s="122" t="str" cm="1">
        <f t="array" aca="1" ref="G18" ca="1">IF(RegimeExecucao="Global","",ORÇAMENTO!T18)</f>
        <v/>
      </c>
      <c r="H18" s="122" t="str" cm="1">
        <f t="array" aca="1" ref="H18" ca="1">IF(RegimeExecucao="Global","",ORÇAMENTO!W18)</f>
        <v/>
      </c>
      <c r="I18" s="125">
        <f ca="1">ORÇAMENTO!X18</f>
        <v>164265.45000000001</v>
      </c>
      <c r="J18" s="333" cm="1">
        <f t="array" aca="1" ref="J18" ca="1">IF($A18="S",IF(CAIXA.Modo,BM.AFAnterior,BM.MEDAnterior),IF(AND(RegimeExecucao="Global",$I18&gt;0,COUNTIF($AB$13:$AM$13,BM.medicao-1)&gt;0),M18/$I18*100,0))</f>
        <v>0</v>
      </c>
      <c r="K18" s="122">
        <f ca="1">L18-J18</f>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ca="1">O18-M18</f>
        <v>0</v>
      </c>
      <c r="O18" s="125" cm="1">
        <f t="array" aca="1" ref="O18" ca="1">IF($A18="S",VTOTALBM,IF($A18=0,0,ROUND(SomaAgrupBM,15-13*ORÇAMENTO!$AF$11)))</f>
        <v>0</v>
      </c>
      <c r="Q18" s="337"/>
      <c r="R18" s="338"/>
      <c r="T18" s="117" t="str">
        <f ca="1">IF($W18&gt;0,$D18,"")</f>
        <v/>
      </c>
      <c r="U18" s="163" t="str">
        <f ca="1">IF($W18&gt;0,$E18,"")</f>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ca="1">AO18-O18</f>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ht="25.5" x14ac:dyDescent="0.2">
      <c r="A19" t="str">
        <f ca="1">ORÇAMENTO!C19</f>
        <v>S</v>
      </c>
      <c r="B19">
        <f ca="1">ORÇAMENTO!D19</f>
        <v>0</v>
      </c>
      <c r="C19" s="114" t="str">
        <f t="shared" ca="1" si="1"/>
        <v>F</v>
      </c>
      <c r="D19" s="117" t="str">
        <f ca="1">ORÇAMENTO!O19</f>
        <v>1.1.1.1.</v>
      </c>
      <c r="E19" s="163" t="str">
        <f t="shared" ca="1" si="2"/>
        <v>(Código não identificado nas referências)</v>
      </c>
      <c r="F19" s="164" t="str" cm="1">
        <f t="array" aca="1" ref="F19" ca="1">IF(RegimeExecucao="Global","",ORÇAMENTO.Unidade)</f>
        <v/>
      </c>
      <c r="G19" s="122" t="str" cm="1">
        <f t="array" aca="1" ref="G19" ca="1">IF(RegimeExecucao="Global","",ORÇAMENTO!T19)</f>
        <v/>
      </c>
      <c r="H19" s="122" t="str" cm="1">
        <f t="array" aca="1" ref="H19" ca="1">IF(RegimeExecucao="Global","",ORÇAMENTO!W19)</f>
        <v/>
      </c>
      <c r="I19" s="125">
        <f ca="1">ORÇAMENTO!X19</f>
        <v>7544</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ht="25.5" x14ac:dyDescent="0.2">
      <c r="A20" t="str">
        <f ca="1">ORÇAMENTO!C20</f>
        <v>S</v>
      </c>
      <c r="B20">
        <f ca="1">ORÇAMENTO!D20</f>
        <v>0</v>
      </c>
      <c r="C20" s="114" t="str">
        <f t="shared" ca="1" si="1"/>
        <v>F</v>
      </c>
      <c r="D20" s="117" t="str">
        <f ca="1">ORÇAMENTO!O20</f>
        <v>1.1.1.2.</v>
      </c>
      <c r="E20" s="163" t="str">
        <f t="shared" ca="1" si="2"/>
        <v>(Código não identificado nas referências)</v>
      </c>
      <c r="F20" s="164" t="str" cm="1">
        <f t="array" aca="1" ref="F20" ca="1">IF(RegimeExecucao="Global","",ORÇAMENTO.Unidade)</f>
        <v/>
      </c>
      <c r="G20" s="122" t="str" cm="1">
        <f t="array" aca="1" ref="G20" ca="1">IF(RegimeExecucao="Global","",ORÇAMENTO!T20)</f>
        <v/>
      </c>
      <c r="H20" s="122" t="str" cm="1">
        <f t="array" aca="1" ref="H20" ca="1">IF(RegimeExecucao="Global","",ORÇAMENTO!W20)</f>
        <v/>
      </c>
      <c r="I20" s="125">
        <f ca="1">ORÇAMENTO!X20</f>
        <v>8400</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x14ac:dyDescent="0.2">
      <c r="A21" t="str">
        <f ca="1">ORÇAMENTO!C21</f>
        <v>S</v>
      </c>
      <c r="B21">
        <f ca="1">ORÇAMENTO!D21</f>
        <v>0</v>
      </c>
      <c r="C21" s="114" t="str">
        <f t="shared" ca="1" si="1"/>
        <v>F</v>
      </c>
      <c r="D21" s="117" t="str">
        <f ca="1">ORÇAMENTO!O21</f>
        <v>1.1.1.3.</v>
      </c>
      <c r="E21" s="163" t="str">
        <f t="shared" ca="1" si="2"/>
        <v>(Código não identificado nas referências)</v>
      </c>
      <c r="F21" s="164" t="str" cm="1">
        <f t="array" aca="1" ref="F21" ca="1">IF(RegimeExecucao="Global","",ORÇAMENTO.Unidade)</f>
        <v/>
      </c>
      <c r="G21" s="122" t="str" cm="1">
        <f t="array" aca="1" ref="G21" ca="1">IF(RegimeExecucao="Global","",ORÇAMENTO!T21)</f>
        <v/>
      </c>
      <c r="H21" s="122" t="str" cm="1">
        <f t="array" aca="1" ref="H21" ca="1">IF(RegimeExecucao="Global","",ORÇAMENTO!W21)</f>
        <v/>
      </c>
      <c r="I21" s="125">
        <f ca="1">ORÇAMENTO!X21</f>
        <v>16965.95</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x14ac:dyDescent="0.2">
      <c r="A22" t="str">
        <f ca="1">ORÇAMENTO!C22</f>
        <v>S</v>
      </c>
      <c r="B22">
        <f ca="1">ORÇAMENTO!D22</f>
        <v>0</v>
      </c>
      <c r="C22" s="114" t="str">
        <f t="shared" ca="1" si="1"/>
        <v>F</v>
      </c>
      <c r="D22" s="117" t="str">
        <f ca="1">ORÇAMENTO!O22</f>
        <v>1.1.1.4.</v>
      </c>
      <c r="E22" s="163" t="str">
        <f t="shared" ca="1" si="2"/>
        <v>(Código não identificado nas referências)</v>
      </c>
      <c r="F22" s="164" t="str" cm="1">
        <f t="array" aca="1" ref="F22" ca="1">IF(RegimeExecucao="Global","",ORÇAMENTO.Unidade)</f>
        <v/>
      </c>
      <c r="G22" s="122" t="str" cm="1">
        <f t="array" aca="1" ref="G22" ca="1">IF(RegimeExecucao="Global","",ORÇAMENTO!T22)</f>
        <v/>
      </c>
      <c r="H22" s="122" t="str" cm="1">
        <f t="array" aca="1" ref="H22" ca="1">IF(RegimeExecucao="Global","",ORÇAMENTO!W22)</f>
        <v/>
      </c>
      <c r="I22" s="125">
        <f ca="1">ORÇAMENTO!X22</f>
        <v>15135.79</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x14ac:dyDescent="0.2">
      <c r="A23" t="str">
        <f ca="1">ORÇAMENTO!C23</f>
        <v>S</v>
      </c>
      <c r="B23">
        <f ca="1">ORÇAMENTO!D23</f>
        <v>0</v>
      </c>
      <c r="C23" s="114" t="str">
        <f t="shared" ca="1" si="1"/>
        <v>F</v>
      </c>
      <c r="D23" s="117" t="str">
        <f ca="1">ORÇAMENTO!O23</f>
        <v>1.1.1.5.</v>
      </c>
      <c r="E23" s="163" t="str">
        <f t="shared" ca="1" si="2"/>
        <v>(Código não identificado nas referências)</v>
      </c>
      <c r="F23" s="164" t="str" cm="1">
        <f t="array" aca="1" ref="F23" ca="1">IF(RegimeExecucao="Global","",ORÇAMENTO.Unidade)</f>
        <v/>
      </c>
      <c r="G23" s="122" t="str" cm="1">
        <f t="array" aca="1" ref="G23" ca="1">IF(RegimeExecucao="Global","",ORÇAMENTO!T23)</f>
        <v/>
      </c>
      <c r="H23" s="122" t="str" cm="1">
        <f t="array" aca="1" ref="H23" ca="1">IF(RegimeExecucao="Global","",ORÇAMENTO!W23)</f>
        <v/>
      </c>
      <c r="I23" s="125">
        <f ca="1">ORÇAMENTO!X23</f>
        <v>12936</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x14ac:dyDescent="0.2">
      <c r="A24" t="str">
        <f ca="1">ORÇAMENTO!C24</f>
        <v>S</v>
      </c>
      <c r="B24">
        <f ca="1">ORÇAMENTO!D24</f>
        <v>0</v>
      </c>
      <c r="C24" s="114" t="str">
        <f t="shared" ca="1" si="1"/>
        <v>F</v>
      </c>
      <c r="D24" s="117" t="str">
        <f ca="1">ORÇAMENTO!O24</f>
        <v>1.1.1.6.</v>
      </c>
      <c r="E24" s="163" t="str">
        <f t="shared" ca="1" si="2"/>
        <v>(Código não identificado nas referências)</v>
      </c>
      <c r="F24" s="164" t="str" cm="1">
        <f t="array" aca="1" ref="F24" ca="1">IF(RegimeExecucao="Global","",ORÇAMENTO.Unidade)</f>
        <v/>
      </c>
      <c r="G24" s="122" t="str" cm="1">
        <f t="array" aca="1" ref="G24" ca="1">IF(RegimeExecucao="Global","",ORÇAMENTO!T24)</f>
        <v/>
      </c>
      <c r="H24" s="122" t="str" cm="1">
        <f t="array" aca="1" ref="H24" ca="1">IF(RegimeExecucao="Global","",ORÇAMENTO!W24)</f>
        <v/>
      </c>
      <c r="I24" s="125">
        <f ca="1">ORÇAMENTO!X24</f>
        <v>5445.51</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x14ac:dyDescent="0.2">
      <c r="A25" t="str">
        <f ca="1">ORÇAMENTO!C25</f>
        <v>S</v>
      </c>
      <c r="B25">
        <f ca="1">ORÇAMENTO!D25</f>
        <v>0</v>
      </c>
      <c r="C25" s="114" t="str">
        <f t="shared" ca="1" si="1"/>
        <v>F</v>
      </c>
      <c r="D25" s="117" t="str">
        <f ca="1">ORÇAMENTO!O25</f>
        <v>1.1.1.7.</v>
      </c>
      <c r="E25" s="163" t="str">
        <f t="shared" ca="1" si="2"/>
        <v>(Código não identificado nas referências)</v>
      </c>
      <c r="F25" s="164" t="str" cm="1">
        <f t="array" aca="1" ref="F25" ca="1">IF(RegimeExecucao="Global","",ORÇAMENTO.Unidade)</f>
        <v/>
      </c>
      <c r="G25" s="122" t="str" cm="1">
        <f t="array" aca="1" ref="G25" ca="1">IF(RegimeExecucao="Global","",ORÇAMENTO!T25)</f>
        <v/>
      </c>
      <c r="H25" s="122" t="str" cm="1">
        <f t="array" aca="1" ref="H25" ca="1">IF(RegimeExecucao="Global","",ORÇAMENTO!W25)</f>
        <v/>
      </c>
      <c r="I25" s="125">
        <f ca="1">ORÇAMENTO!X25</f>
        <v>3377.12</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x14ac:dyDescent="0.2">
      <c r="A26" t="str">
        <f ca="1">ORÇAMENTO!C26</f>
        <v>S</v>
      </c>
      <c r="B26">
        <f ca="1">ORÇAMENTO!D26</f>
        <v>0</v>
      </c>
      <c r="C26" s="114" t="str">
        <f t="shared" ca="1" si="1"/>
        <v>F</v>
      </c>
      <c r="D26" s="117" t="str">
        <f ca="1">ORÇAMENTO!O26</f>
        <v>1.1.1.8.</v>
      </c>
      <c r="E26" s="163" t="str">
        <f t="shared" ca="1" si="2"/>
        <v>(Código não identificado nas referências)</v>
      </c>
      <c r="F26" s="164" t="str" cm="1">
        <f t="array" aca="1" ref="F26" ca="1">IF(RegimeExecucao="Global","",ORÇAMENTO.Unidade)</f>
        <v/>
      </c>
      <c r="G26" s="122" t="str" cm="1">
        <f t="array" aca="1" ref="G26" ca="1">IF(RegimeExecucao="Global","",ORÇAMENTO!T26)</f>
        <v/>
      </c>
      <c r="H26" s="122" t="str" cm="1">
        <f t="array" aca="1" ref="H26" ca="1">IF(RegimeExecucao="Global","",ORÇAMENTO!W26)</f>
        <v/>
      </c>
      <c r="I26" s="125">
        <f ca="1">ORÇAMENTO!X26</f>
        <v>4515.08</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x14ac:dyDescent="0.2">
      <c r="A27" t="str">
        <f ca="1">ORÇAMENTO!C27</f>
        <v>S</v>
      </c>
      <c r="B27">
        <f ca="1">ORÇAMENTO!D27</f>
        <v>0</v>
      </c>
      <c r="C27" s="114" t="str">
        <f t="shared" ca="1" si="1"/>
        <v>F</v>
      </c>
      <c r="D27" s="117" t="str">
        <f ca="1">ORÇAMENTO!O27</f>
        <v>1.1.1.9.</v>
      </c>
      <c r="E27" s="163" t="str">
        <f t="shared" ca="1" si="2"/>
        <v>(Código não identificado nas referências)</v>
      </c>
      <c r="F27" s="164" t="str" cm="1">
        <f t="array" aca="1" ref="F27" ca="1">IF(RegimeExecucao="Global","",ORÇAMENTO.Unidade)</f>
        <v/>
      </c>
      <c r="G27" s="122" t="str" cm="1">
        <f t="array" aca="1" ref="G27" ca="1">IF(RegimeExecucao="Global","",ORÇAMENTO!T27)</f>
        <v/>
      </c>
      <c r="H27" s="122" t="str" cm="1">
        <f t="array" aca="1" ref="H27" ca="1">IF(RegimeExecucao="Global","",ORÇAMENTO!W27)</f>
        <v/>
      </c>
      <c r="I27" s="125">
        <f ca="1">ORÇAMENTO!X27</f>
        <v>739.72</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x14ac:dyDescent="0.2">
      <c r="A28" t="str">
        <f ca="1">ORÇAMENTO!C28</f>
        <v>S</v>
      </c>
      <c r="B28">
        <f ca="1">ORÇAMENTO!D28</f>
        <v>0</v>
      </c>
      <c r="C28" s="114" t="str">
        <f t="shared" ca="1" si="1"/>
        <v>F</v>
      </c>
      <c r="D28" s="117" t="str">
        <f ca="1">ORÇAMENTO!O28</f>
        <v>1.1.1.10.</v>
      </c>
      <c r="E28" s="163" t="str">
        <f t="shared" ca="1" si="2"/>
        <v>(Código não identificado nas referências)</v>
      </c>
      <c r="F28" s="164" t="str" cm="1">
        <f t="array" aca="1" ref="F28" ca="1">IF(RegimeExecucao="Global","",ORÇAMENTO.Unidade)</f>
        <v/>
      </c>
      <c r="G28" s="122" t="str" cm="1">
        <f t="array" aca="1" ref="G28" ca="1">IF(RegimeExecucao="Global","",ORÇAMENTO!T28)</f>
        <v/>
      </c>
      <c r="H28" s="122" t="str" cm="1">
        <f t="array" aca="1" ref="H28" ca="1">IF(RegimeExecucao="Global","",ORÇAMENTO!W28)</f>
        <v/>
      </c>
      <c r="I28" s="125">
        <f ca="1">ORÇAMENTO!X28</f>
        <v>8641.32</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25.5" x14ac:dyDescent="0.2">
      <c r="A29" t="str">
        <f ca="1">ORÇAMENTO!C29</f>
        <v>S</v>
      </c>
      <c r="B29">
        <f ca="1">ORÇAMENTO!D29</f>
        <v>0</v>
      </c>
      <c r="C29" s="114" t="str">
        <f t="shared" ca="1" si="1"/>
        <v>F</v>
      </c>
      <c r="D29" s="117" t="str">
        <f ca="1">ORÇAMENTO!O29</f>
        <v>1.1.1.11.</v>
      </c>
      <c r="E29" s="163" t="str">
        <f t="shared" ca="1" si="2"/>
        <v>(Código não identificado nas referências)</v>
      </c>
      <c r="F29" s="164" t="str" cm="1">
        <f t="array" aca="1" ref="F29" ca="1">IF(RegimeExecucao="Global","",ORÇAMENTO.Unidade)</f>
        <v/>
      </c>
      <c r="G29" s="122" t="str" cm="1">
        <f t="array" aca="1" ref="G29" ca="1">IF(RegimeExecucao="Global","",ORÇAMENTO!T29)</f>
        <v/>
      </c>
      <c r="H29" s="122" t="str" cm="1">
        <f t="array" aca="1" ref="H29" ca="1">IF(RegimeExecucao="Global","",ORÇAMENTO!W29)</f>
        <v/>
      </c>
      <c r="I29" s="125">
        <f ca="1">ORÇAMENTO!X29</f>
        <v>1666.36</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x14ac:dyDescent="0.2">
      <c r="A30" t="str">
        <f ca="1">ORÇAMENTO!C30</f>
        <v>S</v>
      </c>
      <c r="B30">
        <f ca="1">ORÇAMENTO!D30</f>
        <v>0</v>
      </c>
      <c r="C30" s="114" t="str">
        <f t="shared" ca="1" si="1"/>
        <v>F</v>
      </c>
      <c r="D30" s="117" t="str">
        <f ca="1">ORÇAMENTO!O30</f>
        <v>1.1.1.12.</v>
      </c>
      <c r="E30" s="163" t="str">
        <f t="shared" ca="1" si="2"/>
        <v>(Código não identificado nas referências)</v>
      </c>
      <c r="F30" s="164" t="str" cm="1">
        <f t="array" aca="1" ref="F30" ca="1">IF(RegimeExecucao="Global","",ORÇAMENTO.Unidade)</f>
        <v/>
      </c>
      <c r="G30" s="122" t="str" cm="1">
        <f t="array" aca="1" ref="G30" ca="1">IF(RegimeExecucao="Global","",ORÇAMENTO!T30)</f>
        <v/>
      </c>
      <c r="H30" s="122" t="str" cm="1">
        <f t="array" aca="1" ref="H30" ca="1">IF(RegimeExecucao="Global","",ORÇAMENTO!W30)</f>
        <v/>
      </c>
      <c r="I30" s="125">
        <f ca="1">ORÇAMENTO!X30</f>
        <v>4320.67</v>
      </c>
      <c r="J30" s="333" cm="1">
        <f t="array" aca="1" ref="J30" ca="1">IF($A30="S",IF(CAIXA.Modo,BM.AFAnterior,BM.MEDAnterior),IF(AND(RegimeExecucao="Global",$I30&gt;0,COUNTIF($AB$13:$AM$13,BM.medicao-1)&gt;0),M30/$I30*100,0))</f>
        <v>0</v>
      </c>
      <c r="K30" s="122">
        <f t="shared" ca="1" si="3"/>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4"/>
        <v>0</v>
      </c>
      <c r="O30" s="125" cm="1">
        <f t="array" aca="1" ref="O30" ca="1">IF($A30="S",VTOTALBM,IF($A30=0,0,ROUND(SomaAgrupBM,15-13*ORÇAMENTO!$AF$11)))</f>
        <v>0</v>
      </c>
      <c r="Q30" s="337"/>
      <c r="R30" s="338"/>
      <c r="T30" s="117" t="str">
        <f t="shared" ca="1" si="5"/>
        <v/>
      </c>
      <c r="U30" s="163" t="str">
        <f t="shared" ca="1" si="6"/>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x14ac:dyDescent="0.2">
      <c r="A31" t="str">
        <f ca="1">ORÇAMENTO!C31</f>
        <v>S</v>
      </c>
      <c r="B31">
        <f ca="1">ORÇAMENTO!D31</f>
        <v>0</v>
      </c>
      <c r="C31" s="114" t="str">
        <f t="shared" ca="1" si="1"/>
        <v>F</v>
      </c>
      <c r="D31" s="117" t="str">
        <f ca="1">ORÇAMENTO!O31</f>
        <v>1.1.1.13.</v>
      </c>
      <c r="E31" s="163" t="str">
        <f t="shared" ca="1" si="2"/>
        <v>(Código não identificado nas referências)</v>
      </c>
      <c r="F31" s="164" t="str" cm="1">
        <f t="array" aca="1" ref="F31" ca="1">IF(RegimeExecucao="Global","",ORÇAMENTO.Unidade)</f>
        <v/>
      </c>
      <c r="G31" s="122" t="str" cm="1">
        <f t="array" aca="1" ref="G31" ca="1">IF(RegimeExecucao="Global","",ORÇAMENTO!T31)</f>
        <v/>
      </c>
      <c r="H31" s="122" t="str" cm="1">
        <f t="array" aca="1" ref="H31" ca="1">IF(RegimeExecucao="Global","",ORÇAMENTO!W31)</f>
        <v/>
      </c>
      <c r="I31" s="125">
        <f ca="1">ORÇAMENTO!X31</f>
        <v>1623.96</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25.5" x14ac:dyDescent="0.2">
      <c r="A32" t="str">
        <f ca="1">ORÇAMENTO!C32</f>
        <v>S</v>
      </c>
      <c r="B32">
        <f ca="1">ORÇAMENTO!D32</f>
        <v>0</v>
      </c>
      <c r="C32" s="114" t="str">
        <f t="shared" ca="1" si="1"/>
        <v>F</v>
      </c>
      <c r="D32" s="117" t="str">
        <f ca="1">ORÇAMENTO!O32</f>
        <v>1.1.1.14.</v>
      </c>
      <c r="E32" s="163" t="str">
        <f t="shared" ca="1" si="2"/>
        <v>(Código não identificado nas referências)</v>
      </c>
      <c r="F32" s="164" t="str" cm="1">
        <f t="array" aca="1" ref="F32" ca="1">IF(RegimeExecucao="Global","",ORÇAMENTO.Unidade)</f>
        <v/>
      </c>
      <c r="G32" s="122" t="str" cm="1">
        <f t="array" aca="1" ref="G32" ca="1">IF(RegimeExecucao="Global","",ORÇAMENTO!T32)</f>
        <v/>
      </c>
      <c r="H32" s="122" t="str" cm="1">
        <f t="array" aca="1" ref="H32" ca="1">IF(RegimeExecucao="Global","",ORÇAMENTO!W32)</f>
        <v/>
      </c>
      <c r="I32" s="125">
        <f ca="1">ORÇAMENTO!X32</f>
        <v>4515.08</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x14ac:dyDescent="0.2">
      <c r="A33" t="str">
        <f ca="1">ORÇAMENTO!C33</f>
        <v>S</v>
      </c>
      <c r="B33">
        <f ca="1">ORÇAMENTO!D33</f>
        <v>0</v>
      </c>
      <c r="C33" s="114" t="str">
        <f t="shared" ca="1" si="1"/>
        <v>F</v>
      </c>
      <c r="D33" s="117" t="str">
        <f ca="1">ORÇAMENTO!O33</f>
        <v>1.1.1.15.</v>
      </c>
      <c r="E33" s="163" t="str">
        <f t="shared" ca="1" si="2"/>
        <v>(Código não identificado nas referências)</v>
      </c>
      <c r="F33" s="164" t="str" cm="1">
        <f t="array" aca="1" ref="F33" ca="1">IF(RegimeExecucao="Global","",ORÇAMENTO.Unidade)</f>
        <v/>
      </c>
      <c r="G33" s="122" t="str" cm="1">
        <f t="array" aca="1" ref="G33" ca="1">IF(RegimeExecucao="Global","",ORÇAMENTO!T33)</f>
        <v/>
      </c>
      <c r="H33" s="122" t="str" cm="1">
        <f t="array" aca="1" ref="H33" ca="1">IF(RegimeExecucao="Global","",ORÇAMENTO!W33)</f>
        <v/>
      </c>
      <c r="I33" s="125">
        <f ca="1">ORÇAMENTO!X33</f>
        <v>3001.4</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x14ac:dyDescent="0.2">
      <c r="A34" t="str">
        <f ca="1">ORÇAMENTO!C34</f>
        <v>S</v>
      </c>
      <c r="B34">
        <f ca="1">ORÇAMENTO!D34</f>
        <v>0</v>
      </c>
      <c r="C34" s="114" t="str">
        <f t="shared" ca="1" si="1"/>
        <v>F</v>
      </c>
      <c r="D34" s="117" t="str">
        <f ca="1">ORÇAMENTO!O34</f>
        <v>1.1.1.16.</v>
      </c>
      <c r="E34" s="163" t="str">
        <f t="shared" ca="1" si="2"/>
        <v>(Código não identificado nas referências)</v>
      </c>
      <c r="F34" s="164" t="str" cm="1">
        <f t="array" aca="1" ref="F34" ca="1">IF(RegimeExecucao="Global","",ORÇAMENTO.Unidade)</f>
        <v/>
      </c>
      <c r="G34" s="122" t="str" cm="1">
        <f t="array" aca="1" ref="G34" ca="1">IF(RegimeExecucao="Global","",ORÇAMENTO!T34)</f>
        <v/>
      </c>
      <c r="H34" s="122" t="str" cm="1">
        <f t="array" aca="1" ref="H34" ca="1">IF(RegimeExecucao="Global","",ORÇAMENTO!W34)</f>
        <v/>
      </c>
      <c r="I34" s="125">
        <f ca="1">ORÇAMENTO!X34</f>
        <v>26662.38</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25.5" x14ac:dyDescent="0.2">
      <c r="A35" t="str">
        <f ca="1">ORÇAMENTO!C35</f>
        <v>S</v>
      </c>
      <c r="B35">
        <f ca="1">ORÇAMENTO!D35</f>
        <v>0</v>
      </c>
      <c r="C35" s="114" t="str">
        <f t="shared" ca="1" si="1"/>
        <v>F</v>
      </c>
      <c r="D35" s="117" t="str">
        <f ca="1">ORÇAMENTO!O35</f>
        <v>1.1.1.17.</v>
      </c>
      <c r="E35" s="163" t="str">
        <f t="shared" ca="1" si="2"/>
        <v>(Código não identificado nas referências)</v>
      </c>
      <c r="F35" s="164" t="str" cm="1">
        <f t="array" aca="1" ref="F35" ca="1">IF(RegimeExecucao="Global","",ORÇAMENTO.Unidade)</f>
        <v/>
      </c>
      <c r="G35" s="122" t="str" cm="1">
        <f t="array" aca="1" ref="G35" ca="1">IF(RegimeExecucao="Global","",ORÇAMENTO!T35)</f>
        <v/>
      </c>
      <c r="H35" s="122" t="str" cm="1">
        <f t="array" aca="1" ref="H35" ca="1">IF(RegimeExecucao="Global","",ORÇAMENTO!W35)</f>
        <v/>
      </c>
      <c r="I35" s="125">
        <f ca="1">ORÇAMENTO!X35</f>
        <v>11579.08</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ht="38.25" x14ac:dyDescent="0.2">
      <c r="A36" t="str">
        <f ca="1">ORÇAMENTO!C36</f>
        <v>S</v>
      </c>
      <c r="B36">
        <f ca="1">ORÇAMENTO!D36</f>
        <v>0</v>
      </c>
      <c r="C36" s="114" t="str">
        <f t="shared" ca="1" si="1"/>
        <v>F</v>
      </c>
      <c r="D36" s="117" t="str">
        <f ca="1">ORÇAMENTO!O36</f>
        <v>1.1.1.18.</v>
      </c>
      <c r="E36" s="163" t="str">
        <f t="shared" ca="1" si="2"/>
        <v>(Código não identificado nas referências)</v>
      </c>
      <c r="F36" s="164" t="str" cm="1">
        <f t="array" aca="1" ref="F36" ca="1">IF(RegimeExecucao="Global","",ORÇAMENTO.Unidade)</f>
        <v/>
      </c>
      <c r="G36" s="122" t="str" cm="1">
        <f t="array" aca="1" ref="G36" ca="1">IF(RegimeExecucao="Global","",ORÇAMENTO!T36)</f>
        <v/>
      </c>
      <c r="H36" s="122" t="str" cm="1">
        <f t="array" aca="1" ref="H36" ca="1">IF(RegimeExecucao="Global","",ORÇAMENTO!W36)</f>
        <v/>
      </c>
      <c r="I36" s="125">
        <f ca="1">ORÇAMENTO!X36</f>
        <v>17368.629999999997</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25.5" x14ac:dyDescent="0.2">
      <c r="A37" t="str">
        <f ca="1">ORÇAMENTO!C37</f>
        <v>S</v>
      </c>
      <c r="B37">
        <f ca="1">ORÇAMENTO!D37</f>
        <v>0</v>
      </c>
      <c r="C37" s="114" t="str">
        <f t="shared" ca="1" si="1"/>
        <v>F</v>
      </c>
      <c r="D37" s="117" t="str">
        <f ca="1">ORÇAMENTO!O37</f>
        <v>1.1.1.19.</v>
      </c>
      <c r="E37" s="163" t="str">
        <f t="shared" ca="1" si="2"/>
        <v>(Código não identificado nas referências)</v>
      </c>
      <c r="F37" s="164" t="str" cm="1">
        <f t="array" aca="1" ref="F37" ca="1">IF(RegimeExecucao="Global","",ORÇAMENTO.Unidade)</f>
        <v/>
      </c>
      <c r="G37" s="122" t="str" cm="1">
        <f t="array" aca="1" ref="G37" ca="1">IF(RegimeExecucao="Global","",ORÇAMENTO!T37)</f>
        <v/>
      </c>
      <c r="H37" s="122" t="str" cm="1">
        <f t="array" aca="1" ref="H37" ca="1">IF(RegimeExecucao="Global","",ORÇAMENTO!W37)</f>
        <v/>
      </c>
      <c r="I37" s="125">
        <f ca="1">ORÇAMENTO!X37</f>
        <v>1523.98</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25.5" x14ac:dyDescent="0.2">
      <c r="A38" t="str">
        <f ca="1">ORÇAMENTO!C38</f>
        <v>S</v>
      </c>
      <c r="B38">
        <f ca="1">ORÇAMENTO!D38</f>
        <v>0</v>
      </c>
      <c r="C38" s="114" t="str">
        <f t="shared" ca="1" si="1"/>
        <v>F</v>
      </c>
      <c r="D38" s="117" t="str">
        <f ca="1">ORÇAMENTO!O38</f>
        <v>1.1.1.20.</v>
      </c>
      <c r="E38" s="163" t="str">
        <f t="shared" ca="1" si="2"/>
        <v>(Código não identificado nas referências)</v>
      </c>
      <c r="F38" s="164" t="str" cm="1">
        <f t="array" aca="1" ref="F38" ca="1">IF(RegimeExecucao="Global","",ORÇAMENTO.Unidade)</f>
        <v/>
      </c>
      <c r="G38" s="122" t="str" cm="1">
        <f t="array" aca="1" ref="G38" ca="1">IF(RegimeExecucao="Global","",ORÇAMENTO!T38)</f>
        <v/>
      </c>
      <c r="H38" s="122" t="str" cm="1">
        <f t="array" aca="1" ref="H38" ca="1">IF(RegimeExecucao="Global","",ORÇAMENTO!W38)</f>
        <v/>
      </c>
      <c r="I38" s="125">
        <f ca="1">ORÇAMENTO!X38</f>
        <v>8303.42</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x14ac:dyDescent="0.2">
      <c r="A39">
        <f ca="1">ORÇAMENTO!C39</f>
        <v>2</v>
      </c>
      <c r="B39">
        <f ca="1">ORÇAMENTO!D39</f>
        <v>22</v>
      </c>
      <c r="C39" s="114" t="str">
        <f t="shared" ca="1" si="1"/>
        <v>F</v>
      </c>
      <c r="D39" s="117" t="str">
        <f ca="1">ORÇAMENTO!O39</f>
        <v>1.2.</v>
      </c>
      <c r="E39" s="163" t="str">
        <f t="shared" si="2"/>
        <v>SERVIÇOS PRELIMINARES</v>
      </c>
      <c r="F39" s="164" t="str" cm="1">
        <f t="array" aca="1" ref="F39" ca="1">IF(RegimeExecucao="Global","",ORÇAMENTO.Unidade)</f>
        <v/>
      </c>
      <c r="G39" s="122" t="str" cm="1">
        <f t="array" aca="1" ref="G39" ca="1">IF(RegimeExecucao="Global","",ORÇAMENTO!T39)</f>
        <v/>
      </c>
      <c r="H39" s="122" t="str" cm="1">
        <f t="array" aca="1" ref="H39" ca="1">IF(RegimeExecucao="Global","",ORÇAMENTO!W39)</f>
        <v/>
      </c>
      <c r="I39" s="125">
        <f ca="1">ORÇAMENTO!X39</f>
        <v>275726.93</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ht="25.5" x14ac:dyDescent="0.2">
      <c r="A40">
        <f ca="1">ORÇAMENTO!C40</f>
        <v>3</v>
      </c>
      <c r="B40">
        <f ca="1">ORÇAMENTO!D40</f>
        <v>4</v>
      </c>
      <c r="C40" s="114" t="str">
        <f ca="1">IF(OR($I40&gt;0,$A40=1,$A40=2,$A40=3,$A40=4),"F","")</f>
        <v>F</v>
      </c>
      <c r="D40" s="117" t="str">
        <f ca="1">ORÇAMENTO!O40</f>
        <v>1.2.1.</v>
      </c>
      <c r="E40" s="163" t="str">
        <f t="shared" ref="E40:E60" ca="1" si="8">ORÇAMENTO.Descricao</f>
        <v>Limpeza e cercamento de área, instalação de canteiros e placa de obra</v>
      </c>
      <c r="F40" s="164" t="str" cm="1">
        <f t="array" aca="1" ref="F40" ca="1">IF(RegimeExecucao="Global","",ORÇAMENTO.Unidade)</f>
        <v/>
      </c>
      <c r="G40" s="122" t="str" cm="1">
        <f t="array" aca="1" ref="G40" ca="1">IF(RegimeExecucao="Global","",ORÇAMENTO!T40)</f>
        <v/>
      </c>
      <c r="H40" s="122" t="str" cm="1">
        <f t="array" aca="1" ref="H40" ca="1">IF(RegimeExecucao="Global","",ORÇAMENTO!W40)</f>
        <v/>
      </c>
      <c r="I40" s="125">
        <f ca="1">ORÇAMENTO!X40</f>
        <v>128267.22</v>
      </c>
      <c r="J40" s="333" cm="1">
        <f t="array" aca="1" ref="J40" ca="1">IF($A40="S",IF(CAIXA.Modo,BM.AFAnterior,BM.MEDAnterior),IF(AND(RegimeExecucao="Global",$I40&gt;0,COUNTIF($AB$13:$AM$13,BM.medicao-1)&gt;0),M40/$I40*100,0))</f>
        <v>0</v>
      </c>
      <c r="K40" s="122">
        <f ca="1">L40-J40</f>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ca="1">O40-M40</f>
        <v>0</v>
      </c>
      <c r="O40" s="125" cm="1">
        <f t="array" aca="1" ref="O40" ca="1">IF($A40="S",VTOTALBM,IF($A40=0,0,ROUND(SomaAgrupBM,15-13*ORÇAMENTO!$AF$11)))</f>
        <v>0</v>
      </c>
      <c r="Q40" s="337"/>
      <c r="R40" s="338"/>
      <c r="T40" s="117" t="str">
        <f ca="1">IF($W40&gt;0,$D40,"")</f>
        <v/>
      </c>
      <c r="U40" s="163" t="str">
        <f ca="1">IF($W40&gt;0,$E40,"")</f>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ca="1">AO40-O40</f>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38.25" x14ac:dyDescent="0.2">
      <c r="A41" t="str">
        <f ca="1">ORÇAMENTO!C41</f>
        <v>S</v>
      </c>
      <c r="B41">
        <f ca="1">ORÇAMENTO!D41</f>
        <v>0</v>
      </c>
      <c r="C41" s="114" t="str">
        <f ca="1">IF(OR($I41&gt;0,$A41=1,$A41=2,$A41=3,$A41=4),"F","")</f>
        <v>F</v>
      </c>
      <c r="D41" s="117" t="str">
        <f ca="1">ORÇAMENTO!O41</f>
        <v>1.2.1.1.</v>
      </c>
      <c r="E41" s="163" t="str">
        <f t="shared" ca="1" si="8"/>
        <v>(Código não identificado nas referências)</v>
      </c>
      <c r="F41" s="164" t="str" cm="1">
        <f t="array" aca="1" ref="F41" ca="1">IF(RegimeExecucao="Global","",ORÇAMENTO.Unidade)</f>
        <v/>
      </c>
      <c r="G41" s="122" t="str" cm="1">
        <f t="array" aca="1" ref="G41" ca="1">IF(RegimeExecucao="Global","",ORÇAMENTO!T41)</f>
        <v/>
      </c>
      <c r="H41" s="122" t="str" cm="1">
        <f t="array" aca="1" ref="H41" ca="1">IF(RegimeExecucao="Global","",ORÇAMENTO!W41)</f>
        <v/>
      </c>
      <c r="I41" s="125">
        <f ca="1">ORÇAMENTO!X41</f>
        <v>13500</v>
      </c>
      <c r="J41" s="333" cm="1">
        <f t="array" aca="1" ref="J41" ca="1">IF($A41="S",IF(CAIXA.Modo,BM.AFAnterior,BM.MEDAnterior),IF(AND(RegimeExecucao="Global",$I41&gt;0,COUNTIF($AB$13:$AM$13,BM.medicao-1)&gt;0),M41/$I41*100,0))</f>
        <v>0</v>
      </c>
      <c r="K41" s="122">
        <f ca="1">L41-J41</f>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ca="1">O41-M41</f>
        <v>0</v>
      </c>
      <c r="O41" s="125" cm="1">
        <f t="array" aca="1" ref="O41" ca="1">IF($A41="S",VTOTALBM,IF($A41=0,0,ROUND(SomaAgrupBM,15-13*ORÇAMENTO!$AF$11)))</f>
        <v>0</v>
      </c>
      <c r="Q41" s="337"/>
      <c r="R41" s="338"/>
      <c r="T41" s="117" t="str">
        <f ca="1">IF($W41&gt;0,$D41,"")</f>
        <v/>
      </c>
      <c r="U41" s="163" t="str">
        <f ca="1">IF($W41&gt;0,$E41,"")</f>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ca="1">AO41-O41</f>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25.5" x14ac:dyDescent="0.2">
      <c r="A42" t="str">
        <f ca="1">ORÇAMENTO!C42</f>
        <v>S</v>
      </c>
      <c r="B42">
        <f ca="1">ORÇAMENTO!D42</f>
        <v>0</v>
      </c>
      <c r="C42" s="114" t="str">
        <f ca="1">IF(OR($I42&gt;0,$A42=1,$A42=2,$A42=3,$A42=4),"F","")</f>
        <v>F</v>
      </c>
      <c r="D42" s="117" t="str">
        <f ca="1">ORÇAMENTO!O42</f>
        <v>1.2.1.2.</v>
      </c>
      <c r="E42" s="163" t="str">
        <f t="shared" ca="1" si="8"/>
        <v>(Código não identificado nas referências)</v>
      </c>
      <c r="F42" s="164" t="str" cm="1">
        <f t="array" aca="1" ref="F42" ca="1">IF(RegimeExecucao="Global","",ORÇAMENTO.Unidade)</f>
        <v/>
      </c>
      <c r="G42" s="122" t="str" cm="1">
        <f t="array" aca="1" ref="G42" ca="1">IF(RegimeExecucao="Global","",ORÇAMENTO!T42)</f>
        <v/>
      </c>
      <c r="H42" s="122" t="str" cm="1">
        <f t="array" aca="1" ref="H42" ca="1">IF(RegimeExecucao="Global","",ORÇAMENTO!W42)</f>
        <v/>
      </c>
      <c r="I42" s="125">
        <f ca="1">ORÇAMENTO!X42</f>
        <v>4112.42</v>
      </c>
      <c r="J42" s="333" cm="1">
        <f t="array" aca="1" ref="J42" ca="1">IF($A42="S",IF(CAIXA.Modo,BM.AFAnterior,BM.MEDAnterior),IF(AND(RegimeExecucao="Global",$I42&gt;0,COUNTIF($AB$13:$AM$13,BM.medicao-1)&gt;0),M42/$I42*100,0))</f>
        <v>0</v>
      </c>
      <c r="K42" s="122">
        <f ca="1">L42-J42</f>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ca="1">O42-M42</f>
        <v>0</v>
      </c>
      <c r="O42" s="125" cm="1">
        <f t="array" aca="1" ref="O42" ca="1">IF($A42="S",VTOTALBM,IF($A42=0,0,ROUND(SomaAgrupBM,15-13*ORÇAMENTO!$AF$11)))</f>
        <v>0</v>
      </c>
      <c r="Q42" s="337"/>
      <c r="R42" s="338"/>
      <c r="T42" s="117" t="str">
        <f ca="1">IF($W42&gt;0,$D42,"")</f>
        <v/>
      </c>
      <c r="U42" s="163" t="str">
        <f ca="1">IF($W42&gt;0,$E42,"")</f>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ca="1">AO42-O42</f>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ht="25.5" x14ac:dyDescent="0.2">
      <c r="A43" t="str">
        <f ca="1">ORÇAMENTO!C43</f>
        <v>S</v>
      </c>
      <c r="B43">
        <f ca="1">ORÇAMENTO!D43</f>
        <v>0</v>
      </c>
      <c r="C43" s="114" t="str">
        <f ca="1">IF(OR($I43&gt;0,$A43=1,$A43=2,$A43=3,$A43=4),"F","")</f>
        <v>F</v>
      </c>
      <c r="D43" s="117" t="str">
        <f ca="1">ORÇAMENTO!O43</f>
        <v>1.2.1.3.</v>
      </c>
      <c r="E43" s="163" t="str">
        <f t="shared" ca="1" si="8"/>
        <v>(Código não identificado nas referências)</v>
      </c>
      <c r="F43" s="164" t="str" cm="1">
        <f t="array" aca="1" ref="F43" ca="1">IF(RegimeExecucao="Global","",ORÇAMENTO.Unidade)</f>
        <v/>
      </c>
      <c r="G43" s="122" t="str" cm="1">
        <f t="array" aca="1" ref="G43" ca="1">IF(RegimeExecucao="Global","",ORÇAMENTO!T43)</f>
        <v/>
      </c>
      <c r="H43" s="122" t="str" cm="1">
        <f t="array" aca="1" ref="H43" ca="1">IF(RegimeExecucao="Global","",ORÇAMENTO!W43)</f>
        <v/>
      </c>
      <c r="I43" s="125">
        <f ca="1">ORÇAMENTO!X43</f>
        <v>110654.79999999997</v>
      </c>
      <c r="J43" s="333" cm="1">
        <f t="array" aca="1" ref="J43" ca="1">IF($A43="S",IF(CAIXA.Modo,BM.AFAnterior,BM.MEDAnterior),IF(AND(RegimeExecucao="Global",$I43&gt;0,COUNTIF($AB$13:$AM$13,BM.medicao-1)&gt;0),M43/$I43*100,0))</f>
        <v>0</v>
      </c>
      <c r="K43" s="122">
        <f ca="1">L43-J43</f>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ca="1">O43-M43</f>
        <v>0</v>
      </c>
      <c r="O43" s="125" cm="1">
        <f t="array" aca="1" ref="O43" ca="1">IF($A43="S",VTOTALBM,IF($A43=0,0,ROUND(SomaAgrupBM,15-13*ORÇAMENTO!$AF$11)))</f>
        <v>0</v>
      </c>
      <c r="Q43" s="337"/>
      <c r="R43" s="338"/>
      <c r="T43" s="117" t="str">
        <f ca="1">IF($W43&gt;0,$D43,"")</f>
        <v/>
      </c>
      <c r="U43" s="163" t="str">
        <f ca="1">IF($W43&gt;0,$E43,"")</f>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ca="1">AO43-O43</f>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x14ac:dyDescent="0.2">
      <c r="A44">
        <f ca="1">ORÇAMENTO!C44</f>
        <v>3</v>
      </c>
      <c r="B44">
        <f ca="1">ORÇAMENTO!D44</f>
        <v>6</v>
      </c>
      <c r="C44" s="114" t="str">
        <f t="shared" ref="C44:C60" ca="1" si="9">IF(OR($I44&gt;0,$A44=1,$A44=2,$A44=3,$A44=4),"F","")</f>
        <v>F</v>
      </c>
      <c r="D44" s="117" t="str">
        <f ca="1">ORÇAMENTO!O44</f>
        <v>1.2.2.</v>
      </c>
      <c r="E44" s="163" t="str">
        <f t="shared" ca="1" si="8"/>
        <v>Sondagem, Topografia, controle tecnológico</v>
      </c>
      <c r="F44" s="164" t="str" cm="1">
        <f t="array" aca="1" ref="F44" ca="1">IF(RegimeExecucao="Global","",ORÇAMENTO.Unidade)</f>
        <v/>
      </c>
      <c r="G44" s="122" t="str" cm="1">
        <f t="array" aca="1" ref="G44" ca="1">IF(RegimeExecucao="Global","",ORÇAMENTO!T44)</f>
        <v/>
      </c>
      <c r="H44" s="122" t="str" cm="1">
        <f t="array" aca="1" ref="H44" ca="1">IF(RegimeExecucao="Global","",ORÇAMENTO!W44)</f>
        <v/>
      </c>
      <c r="I44" s="125">
        <f ca="1">ORÇAMENTO!X44</f>
        <v>37258.33</v>
      </c>
      <c r="J44" s="333" cm="1">
        <f t="array" aca="1" ref="J44" ca="1">IF($A44="S",IF(CAIXA.Modo,BM.AFAnterior,BM.MEDAnterior),IF(AND(RegimeExecucao="Global",$I44&gt;0,COUNTIF($AB$13:$AM$13,BM.medicao-1)&gt;0),M44/$I44*100,0))</f>
        <v>0</v>
      </c>
      <c r="K44" s="122">
        <f t="shared" ref="K44:K60" ca="1" si="10">L44-J44</f>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ref="N44:N60" ca="1" si="11">O44-M44</f>
        <v>0</v>
      </c>
      <c r="O44" s="125" cm="1">
        <f t="array" aca="1" ref="O44" ca="1">IF($A44="S",VTOTALBM,IF($A44=0,0,ROUND(SomaAgrupBM,15-13*ORÇAMENTO!$AF$11)))</f>
        <v>0</v>
      </c>
      <c r="Q44" s="337"/>
      <c r="R44" s="338"/>
      <c r="T44" s="117" t="str">
        <f t="shared" ref="T44:T60" ca="1" si="12">IF($W44&gt;0,$D44,"")</f>
        <v/>
      </c>
      <c r="U44" s="163" t="str">
        <f t="shared" ref="U44:U60" ca="1" si="13">IF($W44&gt;0,$E44,"")</f>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ref="Y44:Y60" ca="1" si="14">AO44-O44</f>
        <v>0</v>
      </c>
      <c r="Z44" s="473"/>
      <c r="AB44" s="337"/>
      <c r="AC44" s="437"/>
      <c r="AD44" s="437"/>
      <c r="AE44" s="437"/>
      <c r="AF44" s="437"/>
      <c r="AG44" s="437"/>
      <c r="AH44" s="437"/>
      <c r="AI44" s="437"/>
      <c r="AJ44" s="437"/>
      <c r="AK44" s="437"/>
      <c r="AL44" s="437"/>
      <c r="AM44" s="338"/>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ht="38.25" x14ac:dyDescent="0.2">
      <c r="A45" t="str">
        <f ca="1">ORÇAMENTO!C45</f>
        <v>S</v>
      </c>
      <c r="B45">
        <f ca="1">ORÇAMENTO!D45</f>
        <v>0</v>
      </c>
      <c r="C45" s="114" t="str">
        <f t="shared" ca="1" si="9"/>
        <v>F</v>
      </c>
      <c r="D45" s="117" t="str">
        <f ca="1">ORÇAMENTO!O45</f>
        <v>1.2.2.1.</v>
      </c>
      <c r="E45" s="163" t="str">
        <f t="shared" ca="1" si="8"/>
        <v>(Código não identificado nas referências)</v>
      </c>
      <c r="F45" s="164" t="str" cm="1">
        <f t="array" aca="1" ref="F45" ca="1">IF(RegimeExecucao="Global","",ORÇAMENTO.Unidade)</f>
        <v/>
      </c>
      <c r="G45" s="122" t="str" cm="1">
        <f t="array" aca="1" ref="G45" ca="1">IF(RegimeExecucao="Global","",ORÇAMENTO!T45)</f>
        <v/>
      </c>
      <c r="H45" s="122" t="str" cm="1">
        <f t="array" aca="1" ref="H45" ca="1">IF(RegimeExecucao="Global","",ORÇAMENTO!W45)</f>
        <v/>
      </c>
      <c r="I45" s="125">
        <f ca="1">ORÇAMENTO!X45</f>
        <v>1143.0999999999999</v>
      </c>
      <c r="J45" s="333" cm="1">
        <f t="array" aca="1" ref="J45" ca="1">IF($A45="S",IF(CAIXA.Modo,BM.AFAnterior,BM.MEDAnterior),IF(AND(RegimeExecucao="Global",$I45&gt;0,COUNTIF($AB$13:$AM$13,BM.medicao-1)&gt;0),M45/$I45*100,0))</f>
        <v>0</v>
      </c>
      <c r="K45" s="122">
        <f t="shared" ca="1" si="10"/>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11"/>
        <v>0</v>
      </c>
      <c r="O45" s="125" cm="1">
        <f t="array" aca="1" ref="O45" ca="1">IF($A45="S",VTOTALBM,IF($A45=0,0,ROUND(SomaAgrupBM,15-13*ORÇAMENTO!$AF$11)))</f>
        <v>0</v>
      </c>
      <c r="Q45" s="337"/>
      <c r="R45" s="338"/>
      <c r="T45" s="117" t="str">
        <f t="shared" ca="1" si="12"/>
        <v/>
      </c>
      <c r="U45" s="163" t="str">
        <f t="shared" ca="1" si="13"/>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14"/>
        <v>0</v>
      </c>
      <c r="Z45" s="473"/>
      <c r="AB45" s="337"/>
      <c r="AC45" s="437"/>
      <c r="AD45" s="437"/>
      <c r="AE45" s="437"/>
      <c r="AF45" s="437"/>
      <c r="AG45" s="437"/>
      <c r="AH45" s="437"/>
      <c r="AI45" s="437"/>
      <c r="AJ45" s="437"/>
      <c r="AK45" s="437"/>
      <c r="AL45" s="437"/>
      <c r="AM45" s="338"/>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ht="38.25" x14ac:dyDescent="0.2">
      <c r="A46" t="str">
        <f ca="1">ORÇAMENTO!C46</f>
        <v>S</v>
      </c>
      <c r="B46">
        <f ca="1">ORÇAMENTO!D46</f>
        <v>0</v>
      </c>
      <c r="C46" s="114" t="str">
        <f t="shared" ca="1" si="9"/>
        <v>F</v>
      </c>
      <c r="D46" s="117" t="str">
        <f ca="1">ORÇAMENTO!O46</f>
        <v>1.2.2.2.</v>
      </c>
      <c r="E46" s="163" t="str">
        <f t="shared" ca="1" si="8"/>
        <v>(Código não identificado nas referências)</v>
      </c>
      <c r="F46" s="164" t="str" cm="1">
        <f t="array" aca="1" ref="F46" ca="1">IF(RegimeExecucao="Global","",ORÇAMENTO.Unidade)</f>
        <v/>
      </c>
      <c r="G46" s="122" t="str" cm="1">
        <f t="array" aca="1" ref="G46" ca="1">IF(RegimeExecucao="Global","",ORÇAMENTO!T46)</f>
        <v/>
      </c>
      <c r="H46" s="122" t="str" cm="1">
        <f t="array" aca="1" ref="H46" ca="1">IF(RegimeExecucao="Global","",ORÇAMENTO!W46)</f>
        <v/>
      </c>
      <c r="I46" s="125">
        <f ca="1">ORÇAMENTO!X46</f>
        <v>1002.4</v>
      </c>
      <c r="J46" s="333" cm="1">
        <f t="array" aca="1" ref="J46" ca="1">IF($A46="S",IF(CAIXA.Modo,BM.AFAnterior,BM.MEDAnterior),IF(AND(RegimeExecucao="Global",$I46&gt;0,COUNTIF($AB$13:$AM$13,BM.medicao-1)&gt;0),M46/$I46*100,0))</f>
        <v>0</v>
      </c>
      <c r="K46" s="122">
        <f t="shared" ca="1" si="10"/>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11"/>
        <v>0</v>
      </c>
      <c r="O46" s="125" cm="1">
        <f t="array" aca="1" ref="O46" ca="1">IF($A46="S",VTOTALBM,IF($A46=0,0,ROUND(SomaAgrupBM,15-13*ORÇAMENTO!$AF$11)))</f>
        <v>0</v>
      </c>
      <c r="Q46" s="337"/>
      <c r="R46" s="338"/>
      <c r="T46" s="117" t="str">
        <f t="shared" ca="1" si="12"/>
        <v/>
      </c>
      <c r="U46" s="163" t="str">
        <f t="shared" ca="1" si="13"/>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14"/>
        <v>0</v>
      </c>
      <c r="Z46" s="473"/>
      <c r="AB46" s="337"/>
      <c r="AC46" s="437"/>
      <c r="AD46" s="437"/>
      <c r="AE46" s="437"/>
      <c r="AF46" s="437"/>
      <c r="AG46" s="437"/>
      <c r="AH46" s="437"/>
      <c r="AI46" s="437"/>
      <c r="AJ46" s="437"/>
      <c r="AK46" s="437"/>
      <c r="AL46" s="437"/>
      <c r="AM46" s="338"/>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ht="38.25" x14ac:dyDescent="0.2">
      <c r="A47" t="str">
        <f ca="1">ORÇAMENTO!C47</f>
        <v>S</v>
      </c>
      <c r="B47">
        <f ca="1">ORÇAMENTO!D47</f>
        <v>0</v>
      </c>
      <c r="C47" s="114" t="str">
        <f t="shared" ca="1" si="9"/>
        <v>F</v>
      </c>
      <c r="D47" s="117" t="str">
        <f ca="1">ORÇAMENTO!O47</f>
        <v>1.2.2.3.</v>
      </c>
      <c r="E47" s="163" t="str">
        <f t="shared" ca="1" si="8"/>
        <v>(Código não identificado nas referências)</v>
      </c>
      <c r="F47" s="164" t="str" cm="1">
        <f t="array" aca="1" ref="F47" ca="1">IF(RegimeExecucao="Global","",ORÇAMENTO.Unidade)</f>
        <v/>
      </c>
      <c r="G47" s="122" t="str" cm="1">
        <f t="array" aca="1" ref="G47" ca="1">IF(RegimeExecucao="Global","",ORÇAMENTO!T47)</f>
        <v/>
      </c>
      <c r="H47" s="122" t="str" cm="1">
        <f t="array" aca="1" ref="H47" ca="1">IF(RegimeExecucao="Global","",ORÇAMENTO!W47)</f>
        <v/>
      </c>
      <c r="I47" s="125">
        <f ca="1">ORÇAMENTO!X47</f>
        <v>10861.400000000001</v>
      </c>
      <c r="J47" s="333" cm="1">
        <f t="array" aca="1" ref="J47" ca="1">IF($A47="S",IF(CAIXA.Modo,BM.AFAnterior,BM.MEDAnterior),IF(AND(RegimeExecucao="Global",$I47&gt;0,COUNTIF($AB$13:$AM$13,BM.medicao-1)&gt;0),M47/$I47*100,0))</f>
        <v>0</v>
      </c>
      <c r="K47" s="122">
        <f t="shared" ca="1" si="10"/>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11"/>
        <v>0</v>
      </c>
      <c r="O47" s="125" cm="1">
        <f t="array" aca="1" ref="O47" ca="1">IF($A47="S",VTOTALBM,IF($A47=0,0,ROUND(SomaAgrupBM,15-13*ORÇAMENTO!$AF$11)))</f>
        <v>0</v>
      </c>
      <c r="Q47" s="337"/>
      <c r="R47" s="338"/>
      <c r="T47" s="117" t="str">
        <f t="shared" ca="1" si="12"/>
        <v/>
      </c>
      <c r="U47" s="163" t="str">
        <f t="shared" ca="1" si="13"/>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14"/>
        <v>0</v>
      </c>
      <c r="Z47" s="473"/>
      <c r="AB47" s="337"/>
      <c r="AC47" s="437"/>
      <c r="AD47" s="437"/>
      <c r="AE47" s="437"/>
      <c r="AF47" s="437"/>
      <c r="AG47" s="437"/>
      <c r="AH47" s="437"/>
      <c r="AI47" s="437"/>
      <c r="AJ47" s="437"/>
      <c r="AK47" s="437"/>
      <c r="AL47" s="437"/>
      <c r="AM47" s="338"/>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x14ac:dyDescent="0.2">
      <c r="A48" t="str">
        <f ca="1">ORÇAMENTO!C48</f>
        <v>S</v>
      </c>
      <c r="B48">
        <f ca="1">ORÇAMENTO!D48</f>
        <v>0</v>
      </c>
      <c r="C48" s="114" t="str">
        <f t="shared" ca="1" si="9"/>
        <v>F</v>
      </c>
      <c r="D48" s="117" t="str">
        <f ca="1">ORÇAMENTO!O48</f>
        <v>1.2.2.4.</v>
      </c>
      <c r="E48" s="163" t="str">
        <f t="shared" ca="1" si="8"/>
        <v>(Código não identificado nas referências)</v>
      </c>
      <c r="F48" s="164" t="str" cm="1">
        <f t="array" aca="1" ref="F48" ca="1">IF(RegimeExecucao="Global","",ORÇAMENTO.Unidade)</f>
        <v/>
      </c>
      <c r="G48" s="122" t="str" cm="1">
        <f t="array" aca="1" ref="G48" ca="1">IF(RegimeExecucao="Global","",ORÇAMENTO!T48)</f>
        <v/>
      </c>
      <c r="H48" s="122" t="str" cm="1">
        <f t="array" aca="1" ref="H48" ca="1">IF(RegimeExecucao="Global","",ORÇAMENTO!W48)</f>
        <v/>
      </c>
      <c r="I48" s="125">
        <f ca="1">ORÇAMENTO!X48</f>
        <v>6427.53</v>
      </c>
      <c r="J48" s="333" cm="1">
        <f t="array" aca="1" ref="J48" ca="1">IF($A48="S",IF(CAIXA.Modo,BM.AFAnterior,BM.MEDAnterior),IF(AND(RegimeExecucao="Global",$I48&gt;0,COUNTIF($AB$13:$AM$13,BM.medicao-1)&gt;0),M48/$I48*100,0))</f>
        <v>0</v>
      </c>
      <c r="K48" s="122">
        <f t="shared" ca="1" si="10"/>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ca="1" si="11"/>
        <v>0</v>
      </c>
      <c r="O48" s="125" cm="1">
        <f t="array" aca="1" ref="O48" ca="1">IF($A48="S",VTOTALBM,IF($A48=0,0,ROUND(SomaAgrupBM,15-13*ORÇAMENTO!$AF$11)))</f>
        <v>0</v>
      </c>
      <c r="Q48" s="337"/>
      <c r="R48" s="338"/>
      <c r="T48" s="117" t="str">
        <f t="shared" ca="1" si="12"/>
        <v/>
      </c>
      <c r="U48" s="163" t="str">
        <f t="shared" ca="1" si="13"/>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ca="1" si="14"/>
        <v>0</v>
      </c>
      <c r="Z48" s="473"/>
      <c r="AB48" s="337"/>
      <c r="AC48" s="437"/>
      <c r="AD48" s="437"/>
      <c r="AE48" s="437"/>
      <c r="AF48" s="437"/>
      <c r="AG48" s="437"/>
      <c r="AH48" s="437"/>
      <c r="AI48" s="437"/>
      <c r="AJ48" s="437"/>
      <c r="AK48" s="437"/>
      <c r="AL48" s="437"/>
      <c r="AM48" s="338"/>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x14ac:dyDescent="0.2">
      <c r="A49" t="str">
        <f ca="1">ORÇAMENTO!C49</f>
        <v>S</v>
      </c>
      <c r="B49">
        <f ca="1">ORÇAMENTO!D49</f>
        <v>0</v>
      </c>
      <c r="C49" s="114" t="str">
        <f t="shared" ca="1" si="9"/>
        <v>F</v>
      </c>
      <c r="D49" s="117" t="str">
        <f ca="1">ORÇAMENTO!O49</f>
        <v>1.2.2.5.</v>
      </c>
      <c r="E49" s="163" t="str">
        <f t="shared" ca="1" si="8"/>
        <v>(Código não identificado nas referências)</v>
      </c>
      <c r="F49" s="164" t="str" cm="1">
        <f t="array" aca="1" ref="F49" ca="1">IF(RegimeExecucao="Global","",ORÇAMENTO.Unidade)</f>
        <v/>
      </c>
      <c r="G49" s="122" t="str" cm="1">
        <f t="array" aca="1" ref="G49" ca="1">IF(RegimeExecucao="Global","",ORÇAMENTO!T49)</f>
        <v/>
      </c>
      <c r="H49" s="122" t="str" cm="1">
        <f t="array" aca="1" ref="H49" ca="1">IF(RegimeExecucao="Global","",ORÇAMENTO!W49)</f>
        <v/>
      </c>
      <c r="I49" s="125">
        <f ca="1">ORÇAMENTO!X49</f>
        <v>17823.899999999998</v>
      </c>
      <c r="J49" s="333" cm="1">
        <f t="array" aca="1" ref="J49" ca="1">IF($A49="S",IF(CAIXA.Modo,BM.AFAnterior,BM.MEDAnterior),IF(AND(RegimeExecucao="Global",$I49&gt;0,COUNTIF($AB$13:$AM$13,BM.medicao-1)&gt;0),M49/$I49*100,0))</f>
        <v>0</v>
      </c>
      <c r="K49" s="122">
        <f t="shared" ca="1" si="10"/>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11"/>
        <v>0</v>
      </c>
      <c r="O49" s="125" cm="1">
        <f t="array" aca="1" ref="O49" ca="1">IF($A49="S",VTOTALBM,IF($A49=0,0,ROUND(SomaAgrupBM,15-13*ORÇAMENTO!$AF$11)))</f>
        <v>0</v>
      </c>
      <c r="Q49" s="337"/>
      <c r="R49" s="338"/>
      <c r="T49" s="117" t="str">
        <f t="shared" ca="1" si="12"/>
        <v/>
      </c>
      <c r="U49" s="163" t="str">
        <f t="shared" ca="1" si="13"/>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14"/>
        <v>0</v>
      </c>
      <c r="Z49" s="473"/>
      <c r="AB49" s="337"/>
      <c r="AC49" s="437"/>
      <c r="AD49" s="437"/>
      <c r="AE49" s="437"/>
      <c r="AF49" s="437"/>
      <c r="AG49" s="437"/>
      <c r="AH49" s="437"/>
      <c r="AI49" s="437"/>
      <c r="AJ49" s="437"/>
      <c r="AK49" s="437"/>
      <c r="AL49" s="437"/>
      <c r="AM49" s="338"/>
      <c r="AO49"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x14ac:dyDescent="0.2">
      <c r="A50">
        <f ca="1">ORÇAMENTO!C50</f>
        <v>3</v>
      </c>
      <c r="B50">
        <f ca="1">ORÇAMENTO!D50</f>
        <v>5</v>
      </c>
      <c r="C50" s="114" t="str">
        <f t="shared" ca="1" si="9"/>
        <v>F</v>
      </c>
      <c r="D50" s="117" t="str">
        <f ca="1">ORÇAMENTO!O50</f>
        <v>1.2.3.</v>
      </c>
      <c r="E50" s="163" t="str">
        <f t="shared" ca="1" si="8"/>
        <v>MOBILIZACAO E DESMOBILIZACAO DE CANTEIRO</v>
      </c>
      <c r="F50" s="164" t="str" cm="1">
        <f t="array" aca="1" ref="F50" ca="1">IF(RegimeExecucao="Global","",ORÇAMENTO.Unidade)</f>
        <v/>
      </c>
      <c r="G50" s="122" t="str" cm="1">
        <f t="array" aca="1" ref="G50" ca="1">IF(RegimeExecucao="Global","",ORÇAMENTO!T50)</f>
        <v/>
      </c>
      <c r="H50" s="122" t="str" cm="1">
        <f t="array" aca="1" ref="H50" ca="1">IF(RegimeExecucao="Global","",ORÇAMENTO!W50)</f>
        <v/>
      </c>
      <c r="I50" s="125">
        <f ca="1">ORÇAMENTO!X50</f>
        <v>7163.68</v>
      </c>
      <c r="J50" s="333" cm="1">
        <f t="array" aca="1" ref="J50" ca="1">IF($A50="S",IF(CAIXA.Modo,BM.AFAnterior,BM.MEDAnterior),IF(AND(RegimeExecucao="Global",$I50&gt;0,COUNTIF($AB$13:$AM$13,BM.medicao-1)&gt;0),M50/$I50*100,0))</f>
        <v>0</v>
      </c>
      <c r="K50" s="122">
        <f t="shared" ca="1" si="10"/>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t="shared" ca="1" si="11"/>
        <v>0</v>
      </c>
      <c r="O50" s="125" cm="1">
        <f t="array" aca="1" ref="O50" ca="1">IF($A50="S",VTOTALBM,IF($A50=0,0,ROUND(SomaAgrupBM,15-13*ORÇAMENTO!$AF$11)))</f>
        <v>0</v>
      </c>
      <c r="Q50" s="337"/>
      <c r="R50" s="338"/>
      <c r="T50" s="117" t="str">
        <f t="shared" ca="1" si="12"/>
        <v/>
      </c>
      <c r="U50" s="163" t="str">
        <f t="shared" ca="1" si="13"/>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t="shared" ca="1" si="14"/>
        <v>0</v>
      </c>
      <c r="Z50" s="473"/>
      <c r="AB50" s="337"/>
      <c r="AC50" s="437"/>
      <c r="AD50" s="437"/>
      <c r="AE50" s="437"/>
      <c r="AF50" s="437"/>
      <c r="AG50" s="437"/>
      <c r="AH50" s="437"/>
      <c r="AI50" s="437"/>
      <c r="AJ50" s="437"/>
      <c r="AK50" s="437"/>
      <c r="AL50" s="437"/>
      <c r="AM50" s="338"/>
      <c r="AO5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ht="38.25" x14ac:dyDescent="0.2">
      <c r="A51" t="str">
        <f ca="1">ORÇAMENTO!C51</f>
        <v>S</v>
      </c>
      <c r="B51">
        <f ca="1">ORÇAMENTO!D51</f>
        <v>0</v>
      </c>
      <c r="C51" s="114" t="str">
        <f t="shared" ca="1" si="9"/>
        <v>F</v>
      </c>
      <c r="D51" s="117" t="str">
        <f ca="1">ORÇAMENTO!O51</f>
        <v>1.2.3.1.</v>
      </c>
      <c r="E51" s="163" t="str">
        <f t="shared" ca="1" si="8"/>
        <v>(Código não identificado nas referências)</v>
      </c>
      <c r="F51" s="164" t="str" cm="1">
        <f t="array" aca="1" ref="F51" ca="1">IF(RegimeExecucao="Global","",ORÇAMENTO.Unidade)</f>
        <v/>
      </c>
      <c r="G51" s="122" t="str" cm="1">
        <f t="array" aca="1" ref="G51" ca="1">IF(RegimeExecucao="Global","",ORÇAMENTO!T51)</f>
        <v/>
      </c>
      <c r="H51" s="122" t="str" cm="1">
        <f t="array" aca="1" ref="H51" ca="1">IF(RegimeExecucao="Global","",ORÇAMENTO!W51)</f>
        <v/>
      </c>
      <c r="I51" s="125">
        <f ca="1">ORÇAMENTO!X51</f>
        <v>2172</v>
      </c>
      <c r="J51" s="333" cm="1">
        <f t="array" aca="1" ref="J51" ca="1">IF($A51="S",IF(CAIXA.Modo,BM.AFAnterior,BM.MEDAnterior),IF(AND(RegimeExecucao="Global",$I51&gt;0,COUNTIF($AB$13:$AM$13,BM.medicao-1)&gt;0),M51/$I51*100,0))</f>
        <v>0</v>
      </c>
      <c r="K51" s="122">
        <f t="shared" ca="1" si="10"/>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t="shared" ca="1" si="11"/>
        <v>0</v>
      </c>
      <c r="O51" s="125" cm="1">
        <f t="array" aca="1" ref="O51" ca="1">IF($A51="S",VTOTALBM,IF($A51=0,0,ROUND(SomaAgrupBM,15-13*ORÇAMENTO!$AF$11)))</f>
        <v>0</v>
      </c>
      <c r="Q51" s="337"/>
      <c r="R51" s="338"/>
      <c r="T51" s="117" t="str">
        <f t="shared" ca="1" si="12"/>
        <v/>
      </c>
      <c r="U51" s="163" t="str">
        <f t="shared" ca="1" si="13"/>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t="shared" ca="1" si="14"/>
        <v>0</v>
      </c>
      <c r="Z51" s="473"/>
      <c r="AB51" s="337"/>
      <c r="AC51" s="437"/>
      <c r="AD51" s="437"/>
      <c r="AE51" s="437"/>
      <c r="AF51" s="437"/>
      <c r="AG51" s="437"/>
      <c r="AH51" s="437"/>
      <c r="AI51" s="437"/>
      <c r="AJ51" s="437"/>
      <c r="AK51" s="437"/>
      <c r="AL51" s="437"/>
      <c r="AM51" s="338"/>
      <c r="AO5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ht="51" x14ac:dyDescent="0.2">
      <c r="A52" t="str">
        <f ca="1">ORÇAMENTO!C52</f>
        <v>S</v>
      </c>
      <c r="B52">
        <f ca="1">ORÇAMENTO!D52</f>
        <v>0</v>
      </c>
      <c r="C52" s="114" t="str">
        <f t="shared" ca="1" si="9"/>
        <v>F</v>
      </c>
      <c r="D52" s="117" t="str">
        <f ca="1">ORÇAMENTO!O52</f>
        <v>1.2.3.2.</v>
      </c>
      <c r="E52" s="163" t="str">
        <f t="shared" ca="1" si="8"/>
        <v>(Código não identificado nas referências)</v>
      </c>
      <c r="F52" s="164" t="str" cm="1">
        <f t="array" aca="1" ref="F52" ca="1">IF(RegimeExecucao="Global","",ORÇAMENTO.Unidade)</f>
        <v/>
      </c>
      <c r="G52" s="122" t="str" cm="1">
        <f t="array" aca="1" ref="G52" ca="1">IF(RegimeExecucao="Global","",ORÇAMENTO!T52)</f>
        <v/>
      </c>
      <c r="H52" s="122" t="str" cm="1">
        <f t="array" aca="1" ref="H52" ca="1">IF(RegimeExecucao="Global","",ORÇAMENTO!W52)</f>
        <v/>
      </c>
      <c r="I52" s="125">
        <f ca="1">ORÇAMENTO!X52</f>
        <v>4147.2</v>
      </c>
      <c r="J52" s="333" cm="1">
        <f t="array" aca="1" ref="J52" ca="1">IF($A52="S",IF(CAIXA.Modo,BM.AFAnterior,BM.MEDAnterior),IF(AND(RegimeExecucao="Global",$I52&gt;0,COUNTIF($AB$13:$AM$13,BM.medicao-1)&gt;0),M52/$I52*100,0))</f>
        <v>0</v>
      </c>
      <c r="K52" s="122">
        <f t="shared" ca="1" si="10"/>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t="shared" ca="1" si="11"/>
        <v>0</v>
      </c>
      <c r="O52" s="125" cm="1">
        <f t="array" aca="1" ref="O52" ca="1">IF($A52="S",VTOTALBM,IF($A52=0,0,ROUND(SomaAgrupBM,15-13*ORÇAMENTO!$AF$11)))</f>
        <v>0</v>
      </c>
      <c r="Q52" s="337"/>
      <c r="R52" s="338"/>
      <c r="T52" s="117" t="str">
        <f t="shared" ca="1" si="12"/>
        <v/>
      </c>
      <c r="U52" s="163" t="str">
        <f t="shared" ca="1" si="13"/>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t="shared" ca="1" si="14"/>
        <v>0</v>
      </c>
      <c r="Z52" s="473"/>
      <c r="AB52" s="337"/>
      <c r="AC52" s="437"/>
      <c r="AD52" s="437"/>
      <c r="AE52" s="437"/>
      <c r="AF52" s="437"/>
      <c r="AG52" s="437"/>
      <c r="AH52" s="437"/>
      <c r="AI52" s="437"/>
      <c r="AJ52" s="437"/>
      <c r="AK52" s="437"/>
      <c r="AL52" s="437"/>
      <c r="AM52" s="338"/>
      <c r="AO52"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ht="38.25" x14ac:dyDescent="0.2">
      <c r="A53" t="str">
        <f ca="1">ORÇAMENTO!C53</f>
        <v>S</v>
      </c>
      <c r="B53">
        <f ca="1">ORÇAMENTO!D53</f>
        <v>0</v>
      </c>
      <c r="C53" s="114" t="str">
        <f t="shared" ca="1" si="9"/>
        <v>F</v>
      </c>
      <c r="D53" s="117" t="str">
        <f ca="1">ORÇAMENTO!O53</f>
        <v>1.2.3.3.</v>
      </c>
      <c r="E53" s="163" t="str">
        <f t="shared" ca="1" si="8"/>
        <v>(Código não identificado nas referências)</v>
      </c>
      <c r="F53" s="164" t="str" cm="1">
        <f t="array" aca="1" ref="F53" ca="1">IF(RegimeExecucao="Global","",ORÇAMENTO.Unidade)</f>
        <v/>
      </c>
      <c r="G53" s="122" t="str" cm="1">
        <f t="array" aca="1" ref="G53" ca="1">IF(RegimeExecucao="Global","",ORÇAMENTO!T53)</f>
        <v/>
      </c>
      <c r="H53" s="122" t="str" cm="1">
        <f t="array" aca="1" ref="H53" ca="1">IF(RegimeExecucao="Global","",ORÇAMENTO!W53)</f>
        <v/>
      </c>
      <c r="I53" s="125">
        <f ca="1">ORÇAMENTO!X53</f>
        <v>392.16</v>
      </c>
      <c r="J53" s="333" cm="1">
        <f t="array" aca="1" ref="J53" ca="1">IF($A53="S",IF(CAIXA.Modo,BM.AFAnterior,BM.MEDAnterior),IF(AND(RegimeExecucao="Global",$I53&gt;0,COUNTIF($AB$13:$AM$13,BM.medicao-1)&gt;0),M53/$I53*100,0))</f>
        <v>0</v>
      </c>
      <c r="K53" s="122">
        <f t="shared" ca="1" si="10"/>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11"/>
        <v>0</v>
      </c>
      <c r="O53" s="125" cm="1">
        <f t="array" aca="1" ref="O53" ca="1">IF($A53="S",VTOTALBM,IF($A53=0,0,ROUND(SomaAgrupBM,15-13*ORÇAMENTO!$AF$11)))</f>
        <v>0</v>
      </c>
      <c r="Q53" s="337"/>
      <c r="R53" s="338"/>
      <c r="T53" s="117" t="str">
        <f t="shared" ca="1" si="12"/>
        <v/>
      </c>
      <c r="U53" s="163" t="str">
        <f t="shared" ca="1" si="13"/>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14"/>
        <v>0</v>
      </c>
      <c r="Z53" s="473"/>
      <c r="AB53" s="337"/>
      <c r="AC53" s="437"/>
      <c r="AD53" s="437"/>
      <c r="AE53" s="437"/>
      <c r="AF53" s="437"/>
      <c r="AG53" s="437"/>
      <c r="AH53" s="437"/>
      <c r="AI53" s="437"/>
      <c r="AJ53" s="437"/>
      <c r="AK53" s="437"/>
      <c r="AL53" s="437"/>
      <c r="AM53" s="338"/>
      <c r="AO53"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x14ac:dyDescent="0.2">
      <c r="A54" t="str">
        <f ca="1">ORÇAMENTO!C54</f>
        <v>S</v>
      </c>
      <c r="B54">
        <f ca="1">ORÇAMENTO!D54</f>
        <v>0</v>
      </c>
      <c r="C54" s="114" t="str">
        <f t="shared" ca="1" si="9"/>
        <v>F</v>
      </c>
      <c r="D54" s="117" t="str">
        <f ca="1">ORÇAMENTO!O54</f>
        <v>1.2.3.4.</v>
      </c>
      <c r="E54" s="163" t="str">
        <f t="shared" ca="1" si="8"/>
        <v>(Código não identificado nas referências)</v>
      </c>
      <c r="F54" s="164" t="str" cm="1">
        <f t="array" aca="1" ref="F54" ca="1">IF(RegimeExecucao="Global","",ORÇAMENTO.Unidade)</f>
        <v/>
      </c>
      <c r="G54" s="122" t="str" cm="1">
        <f t="array" aca="1" ref="G54" ca="1">IF(RegimeExecucao="Global","",ORÇAMENTO!T54)</f>
        <v/>
      </c>
      <c r="H54" s="122" t="str" cm="1">
        <f t="array" aca="1" ref="H54" ca="1">IF(RegimeExecucao="Global","",ORÇAMENTO!W54)</f>
        <v/>
      </c>
      <c r="I54" s="125">
        <f ca="1">ORÇAMENTO!X54</f>
        <v>452.32</v>
      </c>
      <c r="J54" s="333" cm="1">
        <f t="array" aca="1" ref="J54" ca="1">IF($A54="S",IF(CAIXA.Modo,BM.AFAnterior,BM.MEDAnterior),IF(AND(RegimeExecucao="Global",$I54&gt;0,COUNTIF($AB$13:$AM$13,BM.medicao-1)&gt;0),M54/$I54*100,0))</f>
        <v>0</v>
      </c>
      <c r="K54" s="122">
        <f t="shared" ca="1" si="10"/>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t="shared" ca="1" si="11"/>
        <v>0</v>
      </c>
      <c r="O54" s="125" cm="1">
        <f t="array" aca="1" ref="O54" ca="1">IF($A54="S",VTOTALBM,IF($A54=0,0,ROUND(SomaAgrupBM,15-13*ORÇAMENTO!$AF$11)))</f>
        <v>0</v>
      </c>
      <c r="Q54" s="337"/>
      <c r="R54" s="338"/>
      <c r="T54" s="117" t="str">
        <f t="shared" ca="1" si="12"/>
        <v/>
      </c>
      <c r="U54" s="163" t="str">
        <f t="shared" ca="1" si="13"/>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t="shared" ca="1" si="14"/>
        <v>0</v>
      </c>
      <c r="Z54" s="473"/>
      <c r="AB54" s="337"/>
      <c r="AC54" s="437"/>
      <c r="AD54" s="437"/>
      <c r="AE54" s="437"/>
      <c r="AF54" s="437"/>
      <c r="AG54" s="437"/>
      <c r="AH54" s="437"/>
      <c r="AI54" s="437"/>
      <c r="AJ54" s="437"/>
      <c r="AK54" s="437"/>
      <c r="AL54" s="437"/>
      <c r="AM54" s="338"/>
      <c r="AO54"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x14ac:dyDescent="0.2">
      <c r="A55">
        <f ca="1">ORÇAMENTO!C55</f>
        <v>3</v>
      </c>
      <c r="B55">
        <f ca="1">ORÇAMENTO!D55</f>
        <v>6</v>
      </c>
      <c r="C55" s="114" t="str">
        <f t="shared" ca="1" si="9"/>
        <v>F</v>
      </c>
      <c r="D55" s="117" t="str">
        <f ca="1">ORÇAMENTO!O55</f>
        <v>1.2.4.</v>
      </c>
      <c r="E55" s="163" t="str">
        <f t="shared" ca="1" si="8"/>
        <v>CANTEIRO</v>
      </c>
      <c r="F55" s="164" t="str" cm="1">
        <f t="array" aca="1" ref="F55" ca="1">IF(RegimeExecucao="Global","",ORÇAMENTO.Unidade)</f>
        <v/>
      </c>
      <c r="G55" s="122" t="str" cm="1">
        <f t="array" aca="1" ref="G55" ca="1">IF(RegimeExecucao="Global","",ORÇAMENTO!T55)</f>
        <v/>
      </c>
      <c r="H55" s="122" t="str" cm="1">
        <f t="array" aca="1" ref="H55" ca="1">IF(RegimeExecucao="Global","",ORÇAMENTO!W55)</f>
        <v/>
      </c>
      <c r="I55" s="125">
        <f ca="1">ORÇAMENTO!X55</f>
        <v>103037.7</v>
      </c>
      <c r="J55" s="333" cm="1">
        <f t="array" aca="1" ref="J55" ca="1">IF($A55="S",IF(CAIXA.Modo,BM.AFAnterior,BM.MEDAnterior),IF(AND(RegimeExecucao="Global",$I55&gt;0,COUNTIF($AB$13:$AM$13,BM.medicao-1)&gt;0),M55/$I55*100,0))</f>
        <v>0</v>
      </c>
      <c r="K55" s="122">
        <f t="shared" ca="1" si="10"/>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11"/>
        <v>0</v>
      </c>
      <c r="O55" s="125" cm="1">
        <f t="array" aca="1" ref="O55" ca="1">IF($A55="S",VTOTALBM,IF($A55=0,0,ROUND(SomaAgrupBM,15-13*ORÇAMENTO!$AF$11)))</f>
        <v>0</v>
      </c>
      <c r="Q55" s="337"/>
      <c r="R55" s="338"/>
      <c r="T55" s="117" t="str">
        <f t="shared" ca="1" si="12"/>
        <v/>
      </c>
      <c r="U55" s="163" t="str">
        <f t="shared" ca="1" si="13"/>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14"/>
        <v>0</v>
      </c>
      <c r="Z55" s="473"/>
      <c r="AB55" s="337"/>
      <c r="AC55" s="437"/>
      <c r="AD55" s="437"/>
      <c r="AE55" s="437"/>
      <c r="AF55" s="437"/>
      <c r="AG55" s="437"/>
      <c r="AH55" s="437"/>
      <c r="AI55" s="437"/>
      <c r="AJ55" s="437"/>
      <c r="AK55" s="437"/>
      <c r="AL55" s="437"/>
      <c r="AM55" s="338"/>
      <c r="AO55"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ht="51" x14ac:dyDescent="0.2">
      <c r="A56" t="str">
        <f ca="1">ORÇAMENTO!C56</f>
        <v>S</v>
      </c>
      <c r="B56">
        <f ca="1">ORÇAMENTO!D56</f>
        <v>0</v>
      </c>
      <c r="C56" s="114" t="str">
        <f t="shared" ca="1" si="9"/>
        <v>F</v>
      </c>
      <c r="D56" s="117" t="str">
        <f ca="1">ORÇAMENTO!O56</f>
        <v>1.2.4.1.</v>
      </c>
      <c r="E56" s="163" t="str">
        <f t="shared" ca="1" si="8"/>
        <v>(Código não identificado nas referências)</v>
      </c>
      <c r="F56" s="164" t="str" cm="1">
        <f t="array" aca="1" ref="F56" ca="1">IF(RegimeExecucao="Global","",ORÇAMENTO.Unidade)</f>
        <v/>
      </c>
      <c r="G56" s="122" t="str" cm="1">
        <f t="array" aca="1" ref="G56" ca="1">IF(RegimeExecucao="Global","",ORÇAMENTO!T56)</f>
        <v/>
      </c>
      <c r="H56" s="122" t="str" cm="1">
        <f t="array" aca="1" ref="H56" ca="1">IF(RegimeExecucao="Global","",ORÇAMENTO!W56)</f>
        <v/>
      </c>
      <c r="I56" s="125">
        <f ca="1">ORÇAMENTO!X56</f>
        <v>18653.36</v>
      </c>
      <c r="J56" s="333" cm="1">
        <f t="array" aca="1" ref="J56" ca="1">IF($A56="S",IF(CAIXA.Modo,BM.AFAnterior,BM.MEDAnterior),IF(AND(RegimeExecucao="Global",$I56&gt;0,COUNTIF($AB$13:$AM$13,BM.medicao-1)&gt;0),M56/$I56*100,0))</f>
        <v>0</v>
      </c>
      <c r="K56" s="122">
        <f t="shared" ca="1" si="10"/>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t="shared" ca="1" si="11"/>
        <v>0</v>
      </c>
      <c r="O56" s="125" cm="1">
        <f t="array" aca="1" ref="O56" ca="1">IF($A56="S",VTOTALBM,IF($A56=0,0,ROUND(SomaAgrupBM,15-13*ORÇAMENTO!$AF$11)))</f>
        <v>0</v>
      </c>
      <c r="Q56" s="337"/>
      <c r="R56" s="338"/>
      <c r="T56" s="117" t="str">
        <f t="shared" ca="1" si="12"/>
        <v/>
      </c>
      <c r="U56" s="163" t="str">
        <f t="shared" ca="1" si="13"/>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t="shared" ca="1" si="14"/>
        <v>0</v>
      </c>
      <c r="Z56" s="473"/>
      <c r="AB56" s="337"/>
      <c r="AC56" s="437"/>
      <c r="AD56" s="437"/>
      <c r="AE56" s="437"/>
      <c r="AF56" s="437"/>
      <c r="AG56" s="437"/>
      <c r="AH56" s="437"/>
      <c r="AI56" s="437"/>
      <c r="AJ56" s="437"/>
      <c r="AK56" s="437"/>
      <c r="AL56" s="437"/>
      <c r="AM56" s="338"/>
      <c r="AO56"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ht="51" x14ac:dyDescent="0.2">
      <c r="A57" t="str">
        <f ca="1">ORÇAMENTO!C57</f>
        <v>S</v>
      </c>
      <c r="B57">
        <f ca="1">ORÇAMENTO!D57</f>
        <v>0</v>
      </c>
      <c r="C57" s="114" t="str">
        <f t="shared" ca="1" si="9"/>
        <v>F</v>
      </c>
      <c r="D57" s="117" t="str">
        <f ca="1">ORÇAMENTO!O57</f>
        <v>1.2.4.2.</v>
      </c>
      <c r="E57" s="163" t="str">
        <f t="shared" ca="1" si="8"/>
        <v>(Código não identificado nas referências)</v>
      </c>
      <c r="F57" s="164" t="str" cm="1">
        <f t="array" aca="1" ref="F57" ca="1">IF(RegimeExecucao="Global","",ORÇAMENTO.Unidade)</f>
        <v/>
      </c>
      <c r="G57" s="122" t="str" cm="1">
        <f t="array" aca="1" ref="G57" ca="1">IF(RegimeExecucao="Global","",ORÇAMENTO!T57)</f>
        <v/>
      </c>
      <c r="H57" s="122" t="str" cm="1">
        <f t="array" aca="1" ref="H57" ca="1">IF(RegimeExecucao="Global","",ORÇAMENTO!W57)</f>
        <v/>
      </c>
      <c r="I57" s="125">
        <f ca="1">ORÇAMENTO!X57</f>
        <v>15151.84</v>
      </c>
      <c r="J57" s="333" cm="1">
        <f t="array" aca="1" ref="J57" ca="1">IF($A57="S",IF(CAIXA.Modo,BM.AFAnterior,BM.MEDAnterior),IF(AND(RegimeExecucao="Global",$I57&gt;0,COUNTIF($AB$13:$AM$13,BM.medicao-1)&gt;0),M57/$I57*100,0))</f>
        <v>0</v>
      </c>
      <c r="K57" s="122">
        <f t="shared" ca="1" si="10"/>
        <v>0</v>
      </c>
      <c r="L57" s="334" cm="1">
        <f t="array" aca="1" ref="L57" ca="1">IF($A57="S",IF(CAIXA.Modo,BM.AFAcumulado,BM.MEDAcumulado),IF(AND(RegimeExecucao="Global",$I57&gt;0,COUNTIF($AB$13:$AM$13,BM.medicao)&gt;0),O57/$I57*100,0))</f>
        <v>0</v>
      </c>
      <c r="M57" s="335" cm="1">
        <f t="array" aca="1" ref="M57" ca="1">IF($A57="S",VTOTALBM,IF($A57=0,0,ROUND(SomaAgrupBM,15-13*ORÇAMENTO!$AF$11)))</f>
        <v>0</v>
      </c>
      <c r="N57" s="336">
        <f t="shared" ca="1" si="11"/>
        <v>0</v>
      </c>
      <c r="O57" s="125" cm="1">
        <f t="array" aca="1" ref="O57" ca="1">IF($A57="S",VTOTALBM,IF($A57=0,0,ROUND(SomaAgrupBM,15-13*ORÇAMENTO!$AF$11)))</f>
        <v>0</v>
      </c>
      <c r="Q57" s="337"/>
      <c r="R57" s="338"/>
      <c r="T57" s="117" t="str">
        <f t="shared" ca="1" si="12"/>
        <v/>
      </c>
      <c r="U57" s="163" t="str">
        <f t="shared" ca="1" si="13"/>
        <v/>
      </c>
      <c r="V57" s="164" t="str" cm="1">
        <f t="array" aca="1" ref="V57" ca="1">IF(AND($W57&gt;0,RegimeExecucao="Unitário"),$F57,"")</f>
        <v/>
      </c>
      <c r="W57" s="454" cm="1">
        <f t="array" aca="1" ref="W57" ca="1">IF($Y57&gt;0,CHOOSE(MATCH(RegimeExecucao,{"Unitário","Global"},0),IF($A57="S",$Y57/$X57,""),($Y57/$X57)*100),0)</f>
        <v>0</v>
      </c>
      <c r="X57" s="339" t="str" cm="1">
        <f t="array" aca="1" ref="X57" ca="1">IF($Y57&gt;0,CHOOSE(MATCH(RegimeExecucao,{"Unitário","Global"},0),IF($A57="S",ROUND($H57,ORÇAMENTO!$AF$10),""),ROUND($I57,ORÇAMENTO!$AF$11)),"")</f>
        <v/>
      </c>
      <c r="Y57" s="339">
        <f t="shared" ca="1" si="14"/>
        <v>0</v>
      </c>
      <c r="Z57" s="473"/>
      <c r="AB57" s="337"/>
      <c r="AC57" s="437"/>
      <c r="AD57" s="437"/>
      <c r="AE57" s="437"/>
      <c r="AF57" s="437"/>
      <c r="AG57" s="437"/>
      <c r="AH57" s="437"/>
      <c r="AI57" s="437"/>
      <c r="AJ57" s="437"/>
      <c r="AK57" s="437"/>
      <c r="AL57" s="437"/>
      <c r="AM57" s="338"/>
      <c r="AO57"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ht="38.25" x14ac:dyDescent="0.2">
      <c r="A58" t="str">
        <f ca="1">ORÇAMENTO!C58</f>
        <v>S</v>
      </c>
      <c r="B58">
        <f ca="1">ORÇAMENTO!D58</f>
        <v>0</v>
      </c>
      <c r="C58" s="114" t="str">
        <f t="shared" ca="1" si="9"/>
        <v>F</v>
      </c>
      <c r="D58" s="117" t="str">
        <f ca="1">ORÇAMENTO!O58</f>
        <v>1.2.4.3.</v>
      </c>
      <c r="E58" s="163" t="str">
        <f t="shared" ca="1" si="8"/>
        <v>(Código não identificado nas referências)</v>
      </c>
      <c r="F58" s="164" t="str" cm="1">
        <f t="array" aca="1" ref="F58" ca="1">IF(RegimeExecucao="Global","",ORÇAMENTO.Unidade)</f>
        <v/>
      </c>
      <c r="G58" s="122" t="str" cm="1">
        <f t="array" aca="1" ref="G58" ca="1">IF(RegimeExecucao="Global","",ORÇAMENTO!T58)</f>
        <v/>
      </c>
      <c r="H58" s="122" t="str" cm="1">
        <f t="array" aca="1" ref="H58" ca="1">IF(RegimeExecucao="Global","",ORÇAMENTO!W58)</f>
        <v/>
      </c>
      <c r="I58" s="125">
        <f ca="1">ORÇAMENTO!X58</f>
        <v>16041.3</v>
      </c>
      <c r="J58" s="333" cm="1">
        <f t="array" aca="1" ref="J58" ca="1">IF($A58="S",IF(CAIXA.Modo,BM.AFAnterior,BM.MEDAnterior),IF(AND(RegimeExecucao="Global",$I58&gt;0,COUNTIF($AB$13:$AM$13,BM.medicao-1)&gt;0),M58/$I58*100,0))</f>
        <v>0</v>
      </c>
      <c r="K58" s="122">
        <f t="shared" ca="1" si="10"/>
        <v>0</v>
      </c>
      <c r="L58" s="334" cm="1">
        <f t="array" aca="1" ref="L58" ca="1">IF($A58="S",IF(CAIXA.Modo,BM.AFAcumulado,BM.MEDAcumulado),IF(AND(RegimeExecucao="Global",$I58&gt;0,COUNTIF($AB$13:$AM$13,BM.medicao)&gt;0),O58/$I58*100,0))</f>
        <v>0</v>
      </c>
      <c r="M58" s="335" cm="1">
        <f t="array" aca="1" ref="M58" ca="1">IF($A58="S",VTOTALBM,IF($A58=0,0,ROUND(SomaAgrupBM,15-13*ORÇAMENTO!$AF$11)))</f>
        <v>0</v>
      </c>
      <c r="N58" s="336">
        <f t="shared" ca="1" si="11"/>
        <v>0</v>
      </c>
      <c r="O58" s="125" cm="1">
        <f t="array" aca="1" ref="O58" ca="1">IF($A58="S",VTOTALBM,IF($A58=0,0,ROUND(SomaAgrupBM,15-13*ORÇAMENTO!$AF$11)))</f>
        <v>0</v>
      </c>
      <c r="Q58" s="337"/>
      <c r="R58" s="338"/>
      <c r="T58" s="117" t="str">
        <f t="shared" ca="1" si="12"/>
        <v/>
      </c>
      <c r="U58" s="163" t="str">
        <f t="shared" ca="1" si="13"/>
        <v/>
      </c>
      <c r="V58" s="164" t="str" cm="1">
        <f t="array" aca="1" ref="V58" ca="1">IF(AND($W58&gt;0,RegimeExecucao="Unitário"),$F58,"")</f>
        <v/>
      </c>
      <c r="W58" s="454" cm="1">
        <f t="array" aca="1" ref="W58" ca="1">IF($Y58&gt;0,CHOOSE(MATCH(RegimeExecucao,{"Unitário","Global"},0),IF($A58="S",$Y58/$X58,""),($Y58/$X58)*100),0)</f>
        <v>0</v>
      </c>
      <c r="X58" s="339" t="str" cm="1">
        <f t="array" aca="1" ref="X58" ca="1">IF($Y58&gt;0,CHOOSE(MATCH(RegimeExecucao,{"Unitário","Global"},0),IF($A58="S",ROUND($H58,ORÇAMENTO!$AF$10),""),ROUND($I58,ORÇAMENTO!$AF$11)),"")</f>
        <v/>
      </c>
      <c r="Y58" s="339">
        <f t="shared" ca="1" si="14"/>
        <v>0</v>
      </c>
      <c r="Z58" s="473"/>
      <c r="AB58" s="337"/>
      <c r="AC58" s="437"/>
      <c r="AD58" s="437"/>
      <c r="AE58" s="437"/>
      <c r="AF58" s="437"/>
      <c r="AG58" s="437"/>
      <c r="AH58" s="437"/>
      <c r="AI58" s="437"/>
      <c r="AJ58" s="437"/>
      <c r="AK58" s="437"/>
      <c r="AL58" s="437"/>
      <c r="AM58" s="338"/>
      <c r="AO58"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ht="38.25" x14ac:dyDescent="0.2">
      <c r="A59" t="str">
        <f ca="1">ORÇAMENTO!C59</f>
        <v>S</v>
      </c>
      <c r="B59">
        <f ca="1">ORÇAMENTO!D59</f>
        <v>0</v>
      </c>
      <c r="C59" s="114" t="str">
        <f t="shared" ca="1" si="9"/>
        <v>F</v>
      </c>
      <c r="D59" s="117" t="str">
        <f ca="1">ORÇAMENTO!O59</f>
        <v>1.2.4.4.</v>
      </c>
      <c r="E59" s="163" t="str">
        <f t="shared" ca="1" si="8"/>
        <v>(Código não identificado nas referências)</v>
      </c>
      <c r="F59" s="164" t="str" cm="1">
        <f t="array" aca="1" ref="F59" ca="1">IF(RegimeExecucao="Global","",ORÇAMENTO.Unidade)</f>
        <v/>
      </c>
      <c r="G59" s="122" t="str" cm="1">
        <f t="array" aca="1" ref="G59" ca="1">IF(RegimeExecucao="Global","",ORÇAMENTO!T59)</f>
        <v/>
      </c>
      <c r="H59" s="122" t="str" cm="1">
        <f t="array" aca="1" ref="H59" ca="1">IF(RegimeExecucao="Global","",ORÇAMENTO!W59)</f>
        <v/>
      </c>
      <c r="I59" s="125">
        <f ca="1">ORÇAMENTO!X59</f>
        <v>14176.22</v>
      </c>
      <c r="J59" s="333" cm="1">
        <f t="array" aca="1" ref="J59" ca="1">IF($A59="S",IF(CAIXA.Modo,BM.AFAnterior,BM.MEDAnterior),IF(AND(RegimeExecucao="Global",$I59&gt;0,COUNTIF($AB$13:$AM$13,BM.medicao-1)&gt;0),M59/$I59*100,0))</f>
        <v>0</v>
      </c>
      <c r="K59" s="122">
        <f t="shared" ca="1" si="10"/>
        <v>0</v>
      </c>
      <c r="L59" s="334" cm="1">
        <f t="array" aca="1" ref="L59" ca="1">IF($A59="S",IF(CAIXA.Modo,BM.AFAcumulado,BM.MEDAcumulado),IF(AND(RegimeExecucao="Global",$I59&gt;0,COUNTIF($AB$13:$AM$13,BM.medicao)&gt;0),O59/$I59*100,0))</f>
        <v>0</v>
      </c>
      <c r="M59" s="335" cm="1">
        <f t="array" aca="1" ref="M59" ca="1">IF($A59="S",VTOTALBM,IF($A59=0,0,ROUND(SomaAgrupBM,15-13*ORÇAMENTO!$AF$11)))</f>
        <v>0</v>
      </c>
      <c r="N59" s="336">
        <f t="shared" ca="1" si="11"/>
        <v>0</v>
      </c>
      <c r="O59" s="125" cm="1">
        <f t="array" aca="1" ref="O59" ca="1">IF($A59="S",VTOTALBM,IF($A59=0,0,ROUND(SomaAgrupBM,15-13*ORÇAMENTO!$AF$11)))</f>
        <v>0</v>
      </c>
      <c r="Q59" s="337"/>
      <c r="R59" s="338"/>
      <c r="T59" s="117" t="str">
        <f t="shared" ca="1" si="12"/>
        <v/>
      </c>
      <c r="U59" s="163" t="str">
        <f t="shared" ca="1" si="13"/>
        <v/>
      </c>
      <c r="V59" s="164" t="str" cm="1">
        <f t="array" aca="1" ref="V59" ca="1">IF(AND($W59&gt;0,RegimeExecucao="Unitário"),$F59,"")</f>
        <v/>
      </c>
      <c r="W59" s="454" cm="1">
        <f t="array" aca="1" ref="W59" ca="1">IF($Y59&gt;0,CHOOSE(MATCH(RegimeExecucao,{"Unitário","Global"},0),IF($A59="S",$Y59/$X59,""),($Y59/$X59)*100),0)</f>
        <v>0</v>
      </c>
      <c r="X59" s="339" t="str" cm="1">
        <f t="array" aca="1" ref="X59" ca="1">IF($Y59&gt;0,CHOOSE(MATCH(RegimeExecucao,{"Unitário","Global"},0),IF($A59="S",ROUND($H59,ORÇAMENTO!$AF$10),""),ROUND($I59,ORÇAMENTO!$AF$11)),"")</f>
        <v/>
      </c>
      <c r="Y59" s="339">
        <f t="shared" ca="1" si="14"/>
        <v>0</v>
      </c>
      <c r="Z59" s="473"/>
      <c r="AB59" s="337"/>
      <c r="AC59" s="437"/>
      <c r="AD59" s="437"/>
      <c r="AE59" s="437"/>
      <c r="AF59" s="437"/>
      <c r="AG59" s="437"/>
      <c r="AH59" s="437"/>
      <c r="AI59" s="437"/>
      <c r="AJ59" s="437"/>
      <c r="AK59" s="437"/>
      <c r="AL59" s="437"/>
      <c r="AM59" s="338"/>
      <c r="AO59"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ht="51" x14ac:dyDescent="0.2">
      <c r="A60" t="str">
        <f ca="1">ORÇAMENTO!C60</f>
        <v>S</v>
      </c>
      <c r="B60">
        <f ca="1">ORÇAMENTO!D60</f>
        <v>0</v>
      </c>
      <c r="C60" s="114" t="str">
        <f t="shared" ca="1" si="9"/>
        <v>F</v>
      </c>
      <c r="D60" s="117" t="str">
        <f ca="1">ORÇAMENTO!O60</f>
        <v>1.2.4.5.</v>
      </c>
      <c r="E60" s="163" t="str">
        <f t="shared" ca="1" si="8"/>
        <v>(Código não identificado nas referências)</v>
      </c>
      <c r="F60" s="164" t="str" cm="1">
        <f t="array" aca="1" ref="F60" ca="1">IF(RegimeExecucao="Global","",ORÇAMENTO.Unidade)</f>
        <v/>
      </c>
      <c r="G60" s="122" t="str" cm="1">
        <f t="array" aca="1" ref="G60" ca="1">IF(RegimeExecucao="Global","",ORÇAMENTO!T60)</f>
        <v/>
      </c>
      <c r="H60" s="122" t="str" cm="1">
        <f t="array" aca="1" ref="H60" ca="1">IF(RegimeExecucao="Global","",ORÇAMENTO!W60)</f>
        <v/>
      </c>
      <c r="I60" s="125">
        <f ca="1">ORÇAMENTO!X60</f>
        <v>39014.980000000003</v>
      </c>
      <c r="J60" s="333" cm="1">
        <f t="array" aca="1" ref="J60" ca="1">IF($A60="S",IF(CAIXA.Modo,BM.AFAnterior,BM.MEDAnterior),IF(AND(RegimeExecucao="Global",$I60&gt;0,COUNTIF($AB$13:$AM$13,BM.medicao-1)&gt;0),M60/$I60*100,0))</f>
        <v>0</v>
      </c>
      <c r="K60" s="122">
        <f t="shared" ca="1" si="10"/>
        <v>0</v>
      </c>
      <c r="L60" s="334" cm="1">
        <f t="array" aca="1" ref="L60" ca="1">IF($A60="S",IF(CAIXA.Modo,BM.AFAcumulado,BM.MEDAcumulado),IF(AND(RegimeExecucao="Global",$I60&gt;0,COUNTIF($AB$13:$AM$13,BM.medicao)&gt;0),O60/$I60*100,0))</f>
        <v>0</v>
      </c>
      <c r="M60" s="335" cm="1">
        <f t="array" aca="1" ref="M60" ca="1">IF($A60="S",VTOTALBM,IF($A60=0,0,ROUND(SomaAgrupBM,15-13*ORÇAMENTO!$AF$11)))</f>
        <v>0</v>
      </c>
      <c r="N60" s="336">
        <f t="shared" ca="1" si="11"/>
        <v>0</v>
      </c>
      <c r="O60" s="125" cm="1">
        <f t="array" aca="1" ref="O60" ca="1">IF($A60="S",VTOTALBM,IF($A60=0,0,ROUND(SomaAgrupBM,15-13*ORÇAMENTO!$AF$11)))</f>
        <v>0</v>
      </c>
      <c r="Q60" s="337"/>
      <c r="R60" s="338"/>
      <c r="T60" s="117" t="str">
        <f t="shared" ca="1" si="12"/>
        <v/>
      </c>
      <c r="U60" s="163" t="str">
        <f t="shared" ca="1" si="13"/>
        <v/>
      </c>
      <c r="V60" s="164" t="str" cm="1">
        <f t="array" aca="1" ref="V60" ca="1">IF(AND($W60&gt;0,RegimeExecucao="Unitário"),$F60,"")</f>
        <v/>
      </c>
      <c r="W60" s="454" cm="1">
        <f t="array" aca="1" ref="W60" ca="1">IF($Y60&gt;0,CHOOSE(MATCH(RegimeExecucao,{"Unitário","Global"},0),IF($A60="S",$Y60/$X60,""),($Y60/$X60)*100),0)</f>
        <v>0</v>
      </c>
      <c r="X60" s="339" t="str" cm="1">
        <f t="array" aca="1" ref="X60" ca="1">IF($Y60&gt;0,CHOOSE(MATCH(RegimeExecucao,{"Unitário","Global"},0),IF($A60="S",ROUND($H60,ORÇAMENTO!$AF$10),""),ROUND($I60,ORÇAMENTO!$AF$11)),"")</f>
        <v/>
      </c>
      <c r="Y60" s="339">
        <f t="shared" ca="1" si="14"/>
        <v>0</v>
      </c>
      <c r="Z60" s="473"/>
      <c r="AB60" s="337"/>
      <c r="AC60" s="437"/>
      <c r="AD60" s="437"/>
      <c r="AE60" s="437"/>
      <c r="AF60" s="437"/>
      <c r="AG60" s="437"/>
      <c r="AH60" s="437"/>
      <c r="AI60" s="437"/>
      <c r="AJ60" s="437"/>
      <c r="AK60" s="437"/>
      <c r="AL60" s="437"/>
      <c r="AM60" s="338"/>
      <c r="AO60"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x14ac:dyDescent="0.2">
      <c r="A61">
        <f ca="1">ORÇAMENTO!C61</f>
        <v>2</v>
      </c>
      <c r="B61">
        <f ca="1">ORÇAMENTO!D61</f>
        <v>5</v>
      </c>
      <c r="C61" s="114" t="str">
        <f t="shared" ca="1" si="1"/>
        <v>F</v>
      </c>
      <c r="D61" s="117" t="str">
        <f ca="1">ORÇAMENTO!O61</f>
        <v>1.3.</v>
      </c>
      <c r="E61" s="163" t="str">
        <f t="shared" si="2"/>
        <v>ADM LOCAL</v>
      </c>
      <c r="F61" s="164" t="str" cm="1">
        <f t="array" aca="1" ref="F61" ca="1">IF(RegimeExecucao="Global","",ORÇAMENTO.Unidade)</f>
        <v/>
      </c>
      <c r="G61" s="122" t="str" cm="1">
        <f t="array" aca="1" ref="G61" ca="1">IF(RegimeExecucao="Global","",ORÇAMENTO!T61)</f>
        <v/>
      </c>
      <c r="H61" s="122" t="str" cm="1">
        <f t="array" aca="1" ref="H61" ca="1">IF(RegimeExecucao="Global","",ORÇAMENTO!W61)</f>
        <v/>
      </c>
      <c r="I61" s="125">
        <f ca="1">ORÇAMENTO!X61</f>
        <v>188394.17</v>
      </c>
      <c r="J61" s="333" cm="1">
        <f t="array" aca="1" ref="J61" ca="1">IF($A61="S",IF(CAIXA.Modo,BM.AFAnterior,BM.MEDAnterior),IF(AND(RegimeExecucao="Global",$I61&gt;0,COUNTIF($AB$13:$AM$13,BM.medicao-1)&gt;0),M61/$I61*100,0))</f>
        <v>0</v>
      </c>
      <c r="K61" s="122">
        <f t="shared" ca="1" si="3"/>
        <v>0</v>
      </c>
      <c r="L61" s="334" cm="1">
        <f t="array" aca="1" ref="L61" ca="1">IF($A61="S",IF(CAIXA.Modo,BM.AFAcumulado,BM.MEDAcumulado),IF(AND(RegimeExecucao="Global",$I61&gt;0,COUNTIF($AB$13:$AM$13,BM.medicao)&gt;0),O61/$I61*100,0))</f>
        <v>0</v>
      </c>
      <c r="M61" s="335" cm="1">
        <f t="array" aca="1" ref="M61" ca="1">IF($A61="S",VTOTALBM,IF($A61=0,0,ROUND(SomaAgrupBM,15-13*ORÇAMENTO!$AF$11)))</f>
        <v>0</v>
      </c>
      <c r="N61" s="336">
        <f t="shared" ca="1" si="4"/>
        <v>0</v>
      </c>
      <c r="O61" s="125" cm="1">
        <f t="array" aca="1" ref="O61" ca="1">IF($A61="S",VTOTALBM,IF($A61=0,0,ROUND(SomaAgrupBM,15-13*ORÇAMENTO!$AF$11)))</f>
        <v>0</v>
      </c>
      <c r="Q61" s="337"/>
      <c r="R61" s="338"/>
      <c r="T61" s="117" t="str">
        <f t="shared" ca="1" si="5"/>
        <v/>
      </c>
      <c r="U61" s="163" t="str">
        <f t="shared" ca="1" si="6"/>
        <v/>
      </c>
      <c r="V61" s="164" t="str" cm="1">
        <f t="array" aca="1" ref="V61" ca="1">IF(AND($W61&gt;0,RegimeExecucao="Unitário"),$F61,"")</f>
        <v/>
      </c>
      <c r="W61" s="454" cm="1">
        <f t="array" aca="1" ref="W61" ca="1">IF($Y61&gt;0,CHOOSE(MATCH(RegimeExecucao,{"Unitário","Global"},0),IF($A61="S",$Y61/$X61,""),($Y61/$X61)*100),0)</f>
        <v>0</v>
      </c>
      <c r="X61" s="339" t="str" cm="1">
        <f t="array" aca="1" ref="X61" ca="1">IF($Y61&gt;0,CHOOSE(MATCH(RegimeExecucao,{"Unitário","Global"},0),IF($A61="S",ROUND($H61,ORÇAMENTO!$AF$10),""),ROUND($I61,ORÇAMENTO!$AF$11)),"")</f>
        <v/>
      </c>
      <c r="Y61" s="339">
        <f t="shared" ca="1" si="7"/>
        <v>0</v>
      </c>
      <c r="Z61" s="473"/>
      <c r="AB61" s="337"/>
      <c r="AC61" s="437"/>
      <c r="AD61" s="437"/>
      <c r="AE61" s="437"/>
      <c r="AF61" s="437"/>
      <c r="AG61" s="437"/>
      <c r="AH61" s="437"/>
      <c r="AI61" s="437"/>
      <c r="AJ61" s="437"/>
      <c r="AK61" s="437"/>
      <c r="AL61" s="437"/>
      <c r="AM61" s="338"/>
      <c r="AO61"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x14ac:dyDescent="0.2">
      <c r="A62">
        <f ca="1">ORÇAMENTO!C62</f>
        <v>3</v>
      </c>
      <c r="B62">
        <f ca="1">ORÇAMENTO!D62</f>
        <v>4</v>
      </c>
      <c r="C62" s="114" t="str">
        <f ca="1">IF(OR($I62&gt;0,$A62=1,$A62=2,$A62=3,$A62=4),"F","")</f>
        <v>F</v>
      </c>
      <c r="D62" s="117" t="str">
        <f ca="1">ORÇAMENTO!O62</f>
        <v>1.3.1.</v>
      </c>
      <c r="E62" s="163" t="str">
        <f ca="1">ORÇAMENTO.Descricao</f>
        <v>Administração local da obra</v>
      </c>
      <c r="F62" s="164" t="str" cm="1">
        <f t="array" aca="1" ref="F62" ca="1">IF(RegimeExecucao="Global","",ORÇAMENTO.Unidade)</f>
        <v/>
      </c>
      <c r="G62" s="122" t="str" cm="1">
        <f t="array" aca="1" ref="G62" ca="1">IF(RegimeExecucao="Global","",ORÇAMENTO!T62)</f>
        <v/>
      </c>
      <c r="H62" s="122" t="str" cm="1">
        <f t="array" aca="1" ref="H62" ca="1">IF(RegimeExecucao="Global","",ORÇAMENTO!W62)</f>
        <v/>
      </c>
      <c r="I62" s="125">
        <f ca="1">ORÇAMENTO!X62</f>
        <v>188394.17</v>
      </c>
      <c r="J62" s="333" cm="1">
        <f t="array" aca="1" ref="J62" ca="1">IF($A62="S",IF(CAIXA.Modo,BM.AFAnterior,BM.MEDAnterior),IF(AND(RegimeExecucao="Global",$I62&gt;0,COUNTIF($AB$13:$AM$13,BM.medicao-1)&gt;0),M62/$I62*100,0))</f>
        <v>0</v>
      </c>
      <c r="K62" s="122">
        <f ca="1">L62-J62</f>
        <v>0</v>
      </c>
      <c r="L62" s="334" cm="1">
        <f t="array" aca="1" ref="L62" ca="1">IF($A62="S",IF(CAIXA.Modo,BM.AFAcumulado,BM.MEDAcumulado),IF(AND(RegimeExecucao="Global",$I62&gt;0,COUNTIF($AB$13:$AM$13,BM.medicao)&gt;0),O62/$I62*100,0))</f>
        <v>0</v>
      </c>
      <c r="M62" s="335" cm="1">
        <f t="array" aca="1" ref="M62" ca="1">IF($A62="S",VTOTALBM,IF($A62=0,0,ROUND(SomaAgrupBM,15-13*ORÇAMENTO!$AF$11)))</f>
        <v>0</v>
      </c>
      <c r="N62" s="336">
        <f ca="1">O62-M62</f>
        <v>0</v>
      </c>
      <c r="O62" s="125" cm="1">
        <f t="array" aca="1" ref="O62" ca="1">IF($A62="S",VTOTALBM,IF($A62=0,0,ROUND(SomaAgrupBM,15-13*ORÇAMENTO!$AF$11)))</f>
        <v>0</v>
      </c>
      <c r="Q62" s="337"/>
      <c r="R62" s="338"/>
      <c r="T62" s="117" t="str">
        <f ca="1">IF($W62&gt;0,$D62,"")</f>
        <v/>
      </c>
      <c r="U62" s="163" t="str">
        <f ca="1">IF($W62&gt;0,$E62,"")</f>
        <v/>
      </c>
      <c r="V62" s="164" t="str" cm="1">
        <f t="array" aca="1" ref="V62" ca="1">IF(AND($W62&gt;0,RegimeExecucao="Unitário"),$F62,"")</f>
        <v/>
      </c>
      <c r="W62" s="454" cm="1">
        <f t="array" aca="1" ref="W62" ca="1">IF($Y62&gt;0,CHOOSE(MATCH(RegimeExecucao,{"Unitário","Global"},0),IF($A62="S",$Y62/$X62,""),($Y62/$X62)*100),0)</f>
        <v>0</v>
      </c>
      <c r="X62" s="339" t="str" cm="1">
        <f t="array" aca="1" ref="X62" ca="1">IF($Y62&gt;0,CHOOSE(MATCH(RegimeExecucao,{"Unitário","Global"},0),IF($A62="S",ROUND($H62,ORÇAMENTO!$AF$10),""),ROUND($I62,ORÇAMENTO!$AF$11)),"")</f>
        <v/>
      </c>
      <c r="Y62" s="339">
        <f ca="1">AO62-O62</f>
        <v>0</v>
      </c>
      <c r="Z62" s="473"/>
      <c r="AB62" s="337"/>
      <c r="AC62" s="437"/>
      <c r="AD62" s="437"/>
      <c r="AE62" s="437"/>
      <c r="AF62" s="437"/>
      <c r="AG62" s="437"/>
      <c r="AH62" s="437"/>
      <c r="AI62" s="437"/>
      <c r="AJ62" s="437"/>
      <c r="AK62" s="437"/>
      <c r="AL62" s="437"/>
      <c r="AM62" s="338"/>
      <c r="AO62"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ht="25.5" x14ac:dyDescent="0.2">
      <c r="A63" t="str">
        <f ca="1">ORÇAMENTO!C63</f>
        <v>S</v>
      </c>
      <c r="B63">
        <f ca="1">ORÇAMENTO!D63</f>
        <v>0</v>
      </c>
      <c r="C63" s="114" t="str">
        <f t="shared" ca="1" si="1"/>
        <v>F</v>
      </c>
      <c r="D63" s="117" t="str">
        <f ca="1">ORÇAMENTO!O63</f>
        <v>1.3.1.1.</v>
      </c>
      <c r="E63" s="163" t="str">
        <f t="shared" ca="1" si="2"/>
        <v>(Código não identificado nas referências)</v>
      </c>
      <c r="F63" s="164" t="str" cm="1">
        <f t="array" aca="1" ref="F63" ca="1">IF(RegimeExecucao="Global","",ORÇAMENTO.Unidade)</f>
        <v/>
      </c>
      <c r="G63" s="122" t="str" cm="1">
        <f t="array" aca="1" ref="G63" ca="1">IF(RegimeExecucao="Global","",ORÇAMENTO!T63)</f>
        <v/>
      </c>
      <c r="H63" s="122" t="str" cm="1">
        <f t="array" aca="1" ref="H63" ca="1">IF(RegimeExecucao="Global","",ORÇAMENTO!W63)</f>
        <v/>
      </c>
      <c r="I63" s="125">
        <f ca="1">ORÇAMENTO!X63</f>
        <v>45636.480000000003</v>
      </c>
      <c r="J63" s="333" cm="1">
        <f t="array" aca="1" ref="J63" ca="1">IF($A63="S",IF(CAIXA.Modo,BM.AFAnterior,BM.MEDAnterior),IF(AND(RegimeExecucao="Global",$I63&gt;0,COUNTIF($AB$13:$AM$13,BM.medicao-1)&gt;0),M63/$I63*100,0))</f>
        <v>0</v>
      </c>
      <c r="K63" s="122">
        <f t="shared" ca="1" si="3"/>
        <v>0</v>
      </c>
      <c r="L63" s="334" cm="1">
        <f t="array" aca="1" ref="L63" ca="1">IF($A63="S",IF(CAIXA.Modo,BM.AFAcumulado,BM.MEDAcumulado),IF(AND(RegimeExecucao="Global",$I63&gt;0,COUNTIF($AB$13:$AM$13,BM.medicao)&gt;0),O63/$I63*100,0))</f>
        <v>0</v>
      </c>
      <c r="M63" s="335" cm="1">
        <f t="array" aca="1" ref="M63" ca="1">IF($A63="S",VTOTALBM,IF($A63=0,0,ROUND(SomaAgrupBM,15-13*ORÇAMENTO!$AF$11)))</f>
        <v>0</v>
      </c>
      <c r="N63" s="336">
        <f t="shared" ca="1" si="4"/>
        <v>0</v>
      </c>
      <c r="O63" s="125" cm="1">
        <f t="array" aca="1" ref="O63" ca="1">IF($A63="S",VTOTALBM,IF($A63=0,0,ROUND(SomaAgrupBM,15-13*ORÇAMENTO!$AF$11)))</f>
        <v>0</v>
      </c>
      <c r="Q63" s="337"/>
      <c r="R63" s="338"/>
      <c r="T63" s="117" t="str">
        <f t="shared" ca="1" si="5"/>
        <v/>
      </c>
      <c r="U63" s="163" t="str">
        <f t="shared" ca="1" si="6"/>
        <v/>
      </c>
      <c r="V63" s="164" t="str" cm="1">
        <f t="array" aca="1" ref="V63" ca="1">IF(AND($W63&gt;0,RegimeExecucao="Unitário"),$F63,"")</f>
        <v/>
      </c>
      <c r="W63" s="454" cm="1">
        <f t="array" aca="1" ref="W63" ca="1">IF($Y63&gt;0,CHOOSE(MATCH(RegimeExecucao,{"Unitário","Global"},0),IF($A63="S",$Y63/$X63,""),($Y63/$X63)*100),0)</f>
        <v>0</v>
      </c>
      <c r="X63" s="339" t="str" cm="1">
        <f t="array" aca="1" ref="X63" ca="1">IF($Y63&gt;0,CHOOSE(MATCH(RegimeExecucao,{"Unitário","Global"},0),IF($A63="S",ROUND($H63,ORÇAMENTO!$AF$10),""),ROUND($I63,ORÇAMENTO!$AF$11)),"")</f>
        <v/>
      </c>
      <c r="Y63" s="339">
        <f t="shared" ca="1" si="7"/>
        <v>0</v>
      </c>
      <c r="Z63" s="473"/>
      <c r="AB63" s="337"/>
      <c r="AC63" s="437"/>
      <c r="AD63" s="437"/>
      <c r="AE63" s="437"/>
      <c r="AF63" s="437"/>
      <c r="AG63" s="437"/>
      <c r="AH63" s="437"/>
      <c r="AI63" s="437"/>
      <c r="AJ63" s="437"/>
      <c r="AK63" s="437"/>
      <c r="AL63" s="437"/>
      <c r="AM63" s="338"/>
      <c r="AO63"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x14ac:dyDescent="0.2">
      <c r="A64" t="str">
        <f ca="1">ORÇAMENTO!C64</f>
        <v>S</v>
      </c>
      <c r="B64">
        <f ca="1">ORÇAMENTO!D64</f>
        <v>0</v>
      </c>
      <c r="C64" s="114" t="str">
        <f t="shared" ca="1" si="1"/>
        <v>F</v>
      </c>
      <c r="D64" s="117" t="str">
        <f ca="1">ORÇAMENTO!O64</f>
        <v>1.3.1.2.</v>
      </c>
      <c r="E64" s="163" t="str">
        <f t="shared" ca="1" si="2"/>
        <v>(Código não identificado nas referências)</v>
      </c>
      <c r="F64" s="164" t="str" cm="1">
        <f t="array" aca="1" ref="F64" ca="1">IF(RegimeExecucao="Global","",ORÇAMENTO.Unidade)</f>
        <v/>
      </c>
      <c r="G64" s="122" t="str" cm="1">
        <f t="array" aca="1" ref="G64" ca="1">IF(RegimeExecucao="Global","",ORÇAMENTO!T64)</f>
        <v/>
      </c>
      <c r="H64" s="122" t="str" cm="1">
        <f t="array" aca="1" ref="H64" ca="1">IF(RegimeExecucao="Global","",ORÇAMENTO!W64)</f>
        <v/>
      </c>
      <c r="I64" s="125">
        <f ca="1">ORÇAMENTO!X64</f>
        <v>85011.890000000014</v>
      </c>
      <c r="J64" s="333" cm="1">
        <f t="array" aca="1" ref="J64" ca="1">IF($A64="S",IF(CAIXA.Modo,BM.AFAnterior,BM.MEDAnterior),IF(AND(RegimeExecucao="Global",$I64&gt;0,COUNTIF($AB$13:$AM$13,BM.medicao-1)&gt;0),M64/$I64*100,0))</f>
        <v>0</v>
      </c>
      <c r="K64" s="122">
        <f t="shared" ca="1" si="3"/>
        <v>0</v>
      </c>
      <c r="L64" s="334" cm="1">
        <f t="array" aca="1" ref="L64" ca="1">IF($A64="S",IF(CAIXA.Modo,BM.AFAcumulado,BM.MEDAcumulado),IF(AND(RegimeExecucao="Global",$I64&gt;0,COUNTIF($AB$13:$AM$13,BM.medicao)&gt;0),O64/$I64*100,0))</f>
        <v>0</v>
      </c>
      <c r="M64" s="335" cm="1">
        <f t="array" aca="1" ref="M64" ca="1">IF($A64="S",VTOTALBM,IF($A64=0,0,ROUND(SomaAgrupBM,15-13*ORÇAMENTO!$AF$11)))</f>
        <v>0</v>
      </c>
      <c r="N64" s="336">
        <f t="shared" ca="1" si="4"/>
        <v>0</v>
      </c>
      <c r="O64" s="125" cm="1">
        <f t="array" aca="1" ref="O64" ca="1">IF($A64="S",VTOTALBM,IF($A64=0,0,ROUND(SomaAgrupBM,15-13*ORÇAMENTO!$AF$11)))</f>
        <v>0</v>
      </c>
      <c r="Q64" s="337"/>
      <c r="R64" s="338"/>
      <c r="T64" s="117" t="str">
        <f t="shared" ca="1" si="5"/>
        <v/>
      </c>
      <c r="U64" s="163" t="str">
        <f t="shared" ca="1" si="6"/>
        <v/>
      </c>
      <c r="V64" s="164" t="str" cm="1">
        <f t="array" aca="1" ref="V64" ca="1">IF(AND($W64&gt;0,RegimeExecucao="Unitário"),$F64,"")</f>
        <v/>
      </c>
      <c r="W64" s="454" cm="1">
        <f t="array" aca="1" ref="W64" ca="1">IF($Y64&gt;0,CHOOSE(MATCH(RegimeExecucao,{"Unitário","Global"},0),IF($A64="S",$Y64/$X64,""),($Y64/$X64)*100),0)</f>
        <v>0</v>
      </c>
      <c r="X64" s="339" t="str" cm="1">
        <f t="array" aca="1" ref="X64" ca="1">IF($Y64&gt;0,CHOOSE(MATCH(RegimeExecucao,{"Unitário","Global"},0),IF($A64="S",ROUND($H64,ORÇAMENTO!$AF$10),""),ROUND($I64,ORÇAMENTO!$AF$11)),"")</f>
        <v/>
      </c>
      <c r="Y64" s="339">
        <f t="shared" ca="1" si="7"/>
        <v>0</v>
      </c>
      <c r="Z64" s="473"/>
      <c r="AB64" s="337"/>
      <c r="AC64" s="437"/>
      <c r="AD64" s="437"/>
      <c r="AE64" s="437"/>
      <c r="AF64" s="437"/>
      <c r="AG64" s="437"/>
      <c r="AH64" s="437"/>
      <c r="AI64" s="437"/>
      <c r="AJ64" s="437"/>
      <c r="AK64" s="437"/>
      <c r="AL64" s="437"/>
      <c r="AM64" s="338"/>
      <c r="AO64"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ht="25.5" x14ac:dyDescent="0.2">
      <c r="A65" t="str">
        <f ca="1">ORÇAMENTO!C65</f>
        <v>S</v>
      </c>
      <c r="B65">
        <f ca="1">ORÇAMENTO!D65</f>
        <v>0</v>
      </c>
      <c r="C65" s="114" t="str">
        <f t="shared" ca="1" si="1"/>
        <v>F</v>
      </c>
      <c r="D65" s="117" t="str">
        <f ca="1">ORÇAMENTO!O65</f>
        <v>1.3.1.3.</v>
      </c>
      <c r="E65" s="163" t="str">
        <f t="shared" ca="1" si="2"/>
        <v>(Código não identificado nas referências)</v>
      </c>
      <c r="F65" s="164" t="str" cm="1">
        <f t="array" aca="1" ref="F65" ca="1">IF(RegimeExecucao="Global","",ORÇAMENTO.Unidade)</f>
        <v/>
      </c>
      <c r="G65" s="122" t="str" cm="1">
        <f t="array" aca="1" ref="G65" ca="1">IF(RegimeExecucao="Global","",ORÇAMENTO!T65)</f>
        <v/>
      </c>
      <c r="H65" s="122" t="str" cm="1">
        <f t="array" aca="1" ref="H65" ca="1">IF(RegimeExecucao="Global","",ORÇAMENTO!W65)</f>
        <v/>
      </c>
      <c r="I65" s="125">
        <f ca="1">ORÇAMENTO!X65</f>
        <v>57745.799999999996</v>
      </c>
      <c r="J65" s="333" cm="1">
        <f t="array" aca="1" ref="J65" ca="1">IF($A65="S",IF(CAIXA.Modo,BM.AFAnterior,BM.MEDAnterior),IF(AND(RegimeExecucao="Global",$I65&gt;0,COUNTIF($AB$13:$AM$13,BM.medicao-1)&gt;0),M65/$I65*100,0))</f>
        <v>0</v>
      </c>
      <c r="K65" s="122">
        <f t="shared" ca="1" si="3"/>
        <v>0</v>
      </c>
      <c r="L65" s="334" cm="1">
        <f t="array" aca="1" ref="L65" ca="1">IF($A65="S",IF(CAIXA.Modo,BM.AFAcumulado,BM.MEDAcumulado),IF(AND(RegimeExecucao="Global",$I65&gt;0,COUNTIF($AB$13:$AM$13,BM.medicao)&gt;0),O65/$I65*100,0))</f>
        <v>0</v>
      </c>
      <c r="M65" s="335" cm="1">
        <f t="array" aca="1" ref="M65" ca="1">IF($A65="S",VTOTALBM,IF($A65=0,0,ROUND(SomaAgrupBM,15-13*ORÇAMENTO!$AF$11)))</f>
        <v>0</v>
      </c>
      <c r="N65" s="336">
        <f t="shared" ca="1" si="4"/>
        <v>0</v>
      </c>
      <c r="O65" s="125" cm="1">
        <f t="array" aca="1" ref="O65" ca="1">IF($A65="S",VTOTALBM,IF($A65=0,0,ROUND(SomaAgrupBM,15-13*ORÇAMENTO!$AF$11)))</f>
        <v>0</v>
      </c>
      <c r="Q65" s="337"/>
      <c r="R65" s="338"/>
      <c r="T65" s="117" t="str">
        <f t="shared" ca="1" si="5"/>
        <v/>
      </c>
      <c r="U65" s="163" t="str">
        <f t="shared" ca="1" si="6"/>
        <v/>
      </c>
      <c r="V65" s="164" t="str" cm="1">
        <f t="array" aca="1" ref="V65" ca="1">IF(AND($W65&gt;0,RegimeExecucao="Unitário"),$F65,"")</f>
        <v/>
      </c>
      <c r="W65" s="454" cm="1">
        <f t="array" aca="1" ref="W65" ca="1">IF($Y65&gt;0,CHOOSE(MATCH(RegimeExecucao,{"Unitário","Global"},0),IF($A65="S",$Y65/$X65,""),($Y65/$X65)*100),0)</f>
        <v>0</v>
      </c>
      <c r="X65" s="339" t="str" cm="1">
        <f t="array" aca="1" ref="X65" ca="1">IF($Y65&gt;0,CHOOSE(MATCH(RegimeExecucao,{"Unitário","Global"},0),IF($A65="S",ROUND($H65,ORÇAMENTO!$AF$10),""),ROUND($I65,ORÇAMENTO!$AF$11)),"")</f>
        <v/>
      </c>
      <c r="Y65" s="339">
        <f t="shared" ca="1" si="7"/>
        <v>0</v>
      </c>
      <c r="Z65" s="473"/>
      <c r="AB65" s="337"/>
      <c r="AC65" s="437"/>
      <c r="AD65" s="437"/>
      <c r="AE65" s="437"/>
      <c r="AF65" s="437"/>
      <c r="AG65" s="437"/>
      <c r="AH65" s="437"/>
      <c r="AI65" s="437"/>
      <c r="AJ65" s="437"/>
      <c r="AK65" s="437"/>
      <c r="AL65" s="437"/>
      <c r="AM65" s="338"/>
      <c r="AO65"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x14ac:dyDescent="0.2">
      <c r="A66">
        <f ca="1">ORÇAMENTO!C66</f>
        <v>2</v>
      </c>
      <c r="B66">
        <f ca="1">ORÇAMENTO!D66</f>
        <v>4</v>
      </c>
      <c r="C66" s="114" t="str">
        <f t="shared" ca="1" si="1"/>
        <v>F</v>
      </c>
      <c r="D66" s="117" t="str">
        <f ca="1">ORÇAMENTO!O66</f>
        <v>1.4.</v>
      </c>
      <c r="E66" s="163" t="str">
        <f t="shared" ca="1" si="2"/>
        <v>PAVIMENTAÇÃO</v>
      </c>
      <c r="F66" s="164" t="str" cm="1">
        <f t="array" aca="1" ref="F66" ca="1">IF(RegimeExecucao="Global","",ORÇAMENTO.Unidade)</f>
        <v/>
      </c>
      <c r="G66" s="122" t="str" cm="1">
        <f t="array" aca="1" ref="G66" ca="1">IF(RegimeExecucao="Global","",ORÇAMENTO!T66)</f>
        <v/>
      </c>
      <c r="H66" s="122" t="str" cm="1">
        <f t="array" aca="1" ref="H66" ca="1">IF(RegimeExecucao="Global","",ORÇAMENTO!W66)</f>
        <v/>
      </c>
      <c r="I66" s="125">
        <f ca="1">ORÇAMENTO!X66</f>
        <v>497047.8</v>
      </c>
      <c r="J66" s="333" cm="1">
        <f t="array" aca="1" ref="J66" ca="1">IF($A66="S",IF(CAIXA.Modo,BM.AFAnterior,BM.MEDAnterior),IF(AND(RegimeExecucao="Global",$I66&gt;0,COUNTIF($AB$13:$AM$13,BM.medicao-1)&gt;0),M66/$I66*100,0))</f>
        <v>0</v>
      </c>
      <c r="K66" s="122">
        <f t="shared" ca="1" si="3"/>
        <v>0</v>
      </c>
      <c r="L66" s="334" cm="1">
        <f t="array" aca="1" ref="L66" ca="1">IF($A66="S",IF(CAIXA.Modo,BM.AFAcumulado,BM.MEDAcumulado),IF(AND(RegimeExecucao="Global",$I66&gt;0,COUNTIF($AB$13:$AM$13,BM.medicao)&gt;0),O66/$I66*100,0))</f>
        <v>0</v>
      </c>
      <c r="M66" s="335" cm="1">
        <f t="array" aca="1" ref="M66" ca="1">IF($A66="S",VTOTALBM,IF($A66=0,0,ROUND(SomaAgrupBM,15-13*ORÇAMENTO!$AF$11)))</f>
        <v>0</v>
      </c>
      <c r="N66" s="336">
        <f t="shared" ca="1" si="4"/>
        <v>0</v>
      </c>
      <c r="O66" s="125" cm="1">
        <f t="array" aca="1" ref="O66" ca="1">IF($A66="S",VTOTALBM,IF($A66=0,0,ROUND(SomaAgrupBM,15-13*ORÇAMENTO!$AF$11)))</f>
        <v>0</v>
      </c>
      <c r="Q66" s="337"/>
      <c r="R66" s="338"/>
      <c r="T66" s="117" t="str">
        <f t="shared" ca="1" si="5"/>
        <v/>
      </c>
      <c r="U66" s="163" t="str">
        <f t="shared" ca="1" si="6"/>
        <v/>
      </c>
      <c r="V66" s="164" t="str" cm="1">
        <f t="array" aca="1" ref="V66" ca="1">IF(AND($W66&gt;0,RegimeExecucao="Unitário"),$F66,"")</f>
        <v/>
      </c>
      <c r="W66" s="454" cm="1">
        <f t="array" aca="1" ref="W66" ca="1">IF($Y66&gt;0,CHOOSE(MATCH(RegimeExecucao,{"Unitário","Global"},0),IF($A66="S",$Y66/$X66,""),($Y66/$X66)*100),0)</f>
        <v>0</v>
      </c>
      <c r="X66" s="339" t="str" cm="1">
        <f t="array" aca="1" ref="X66" ca="1">IF($Y66&gt;0,CHOOSE(MATCH(RegimeExecucao,{"Unitário","Global"},0),IF($A66="S",ROUND($H66,ORÇAMENTO!$AF$10),""),ROUND($I66,ORÇAMENTO!$AF$11)),"")</f>
        <v/>
      </c>
      <c r="Y66" s="339">
        <f t="shared" ca="1" si="7"/>
        <v>0</v>
      </c>
      <c r="Z66" s="473"/>
      <c r="AB66" s="337"/>
      <c r="AC66" s="437"/>
      <c r="AD66" s="437"/>
      <c r="AE66" s="437"/>
      <c r="AF66" s="437"/>
      <c r="AG66" s="437"/>
      <c r="AH66" s="437"/>
      <c r="AI66" s="437"/>
      <c r="AJ66" s="437"/>
      <c r="AK66" s="437"/>
      <c r="AL66" s="437"/>
      <c r="AM66" s="338"/>
      <c r="AO66"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ht="38.25" x14ac:dyDescent="0.2">
      <c r="A67" t="str">
        <f ca="1">ORÇAMENTO!C67</f>
        <v>S</v>
      </c>
      <c r="B67">
        <f ca="1">ORÇAMENTO!D67</f>
        <v>0</v>
      </c>
      <c r="C67" s="114" t="str">
        <f t="shared" ca="1" si="1"/>
        <v>F</v>
      </c>
      <c r="D67" s="117" t="str">
        <f ca="1">ORÇAMENTO!O67</f>
        <v>1.4.0.1.</v>
      </c>
      <c r="E67" s="163" t="str">
        <f t="shared" ca="1" si="2"/>
        <v>(Código não identificado nas referências)</v>
      </c>
      <c r="F67" s="164" t="str" cm="1">
        <f t="array" aca="1" ref="F67" ca="1">IF(RegimeExecucao="Global","",ORÇAMENTO.Unidade)</f>
        <v/>
      </c>
      <c r="G67" s="122" t="str" cm="1">
        <f t="array" aca="1" ref="G67" ca="1">IF(RegimeExecucao="Global","",ORÇAMENTO!T67)</f>
        <v/>
      </c>
      <c r="H67" s="122" t="str" cm="1">
        <f t="array" aca="1" ref="H67" ca="1">IF(RegimeExecucao="Global","",ORÇAMENTO!W67)</f>
        <v/>
      </c>
      <c r="I67" s="125">
        <f ca="1">ORÇAMENTO!X67</f>
        <v>18663.649999999998</v>
      </c>
      <c r="J67" s="333" cm="1">
        <f t="array" aca="1" ref="J67" ca="1">IF($A67="S",IF(CAIXA.Modo,BM.AFAnterior,BM.MEDAnterior),IF(AND(RegimeExecucao="Global",$I67&gt;0,COUNTIF($AB$13:$AM$13,BM.medicao-1)&gt;0),M67/$I67*100,0))</f>
        <v>0</v>
      </c>
      <c r="K67" s="122">
        <f t="shared" ca="1" si="3"/>
        <v>0</v>
      </c>
      <c r="L67" s="334" cm="1">
        <f t="array" aca="1" ref="L67" ca="1">IF($A67="S",IF(CAIXA.Modo,BM.AFAcumulado,BM.MEDAcumulado),IF(AND(RegimeExecucao="Global",$I67&gt;0,COUNTIF($AB$13:$AM$13,BM.medicao)&gt;0),O67/$I67*100,0))</f>
        <v>0</v>
      </c>
      <c r="M67" s="335" cm="1">
        <f t="array" aca="1" ref="M67" ca="1">IF($A67="S",VTOTALBM,IF($A67=0,0,ROUND(SomaAgrupBM,15-13*ORÇAMENTO!$AF$11)))</f>
        <v>0</v>
      </c>
      <c r="N67" s="336">
        <f t="shared" ca="1" si="4"/>
        <v>0</v>
      </c>
      <c r="O67" s="125" cm="1">
        <f t="array" aca="1" ref="O67" ca="1">IF($A67="S",VTOTALBM,IF($A67=0,0,ROUND(SomaAgrupBM,15-13*ORÇAMENTO!$AF$11)))</f>
        <v>0</v>
      </c>
      <c r="Q67" s="337"/>
      <c r="R67" s="338"/>
      <c r="T67" s="117" t="str">
        <f t="shared" ca="1" si="5"/>
        <v/>
      </c>
      <c r="U67" s="163" t="str">
        <f t="shared" ca="1" si="6"/>
        <v/>
      </c>
      <c r="V67" s="164" t="str" cm="1">
        <f t="array" aca="1" ref="V67" ca="1">IF(AND($W67&gt;0,RegimeExecucao="Unitário"),$F67,"")</f>
        <v/>
      </c>
      <c r="W67" s="454" cm="1">
        <f t="array" aca="1" ref="W67" ca="1">IF($Y67&gt;0,CHOOSE(MATCH(RegimeExecucao,{"Unitário","Global"},0),IF($A67="S",$Y67/$X67,""),($Y67/$X67)*100),0)</f>
        <v>0</v>
      </c>
      <c r="X67" s="339" t="str" cm="1">
        <f t="array" aca="1" ref="X67" ca="1">IF($Y67&gt;0,CHOOSE(MATCH(RegimeExecucao,{"Unitário","Global"},0),IF($A67="S",ROUND($H67,ORÇAMENTO!$AF$10),""),ROUND($I67,ORÇAMENTO!$AF$11)),"")</f>
        <v/>
      </c>
      <c r="Y67" s="339">
        <f t="shared" ca="1" si="7"/>
        <v>0</v>
      </c>
      <c r="Z67" s="473"/>
      <c r="AB67" s="337"/>
      <c r="AC67" s="437"/>
      <c r="AD67" s="437"/>
      <c r="AE67" s="437"/>
      <c r="AF67" s="437"/>
      <c r="AG67" s="437"/>
      <c r="AH67" s="437"/>
      <c r="AI67" s="437"/>
      <c r="AJ67" s="437"/>
      <c r="AK67" s="437"/>
      <c r="AL67" s="437"/>
      <c r="AM67" s="338"/>
      <c r="AO67"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ht="25.5" x14ac:dyDescent="0.2">
      <c r="A68" t="str">
        <f ca="1">ORÇAMENTO!C68</f>
        <v>S</v>
      </c>
      <c r="B68">
        <f ca="1">ORÇAMENTO!D68</f>
        <v>0</v>
      </c>
      <c r="C68" s="114" t="str">
        <f t="shared" ca="1" si="1"/>
        <v>F</v>
      </c>
      <c r="D68" s="117" t="str">
        <f ca="1">ORÇAMENTO!O68</f>
        <v>1.4.0.2.</v>
      </c>
      <c r="E68" s="163" t="str">
        <f t="shared" ca="1" si="2"/>
        <v>(Código não identificado nas referências)</v>
      </c>
      <c r="F68" s="164" t="str" cm="1">
        <f t="array" aca="1" ref="F68" ca="1">IF(RegimeExecucao="Global","",ORÇAMENTO.Unidade)</f>
        <v/>
      </c>
      <c r="G68" s="122" t="str" cm="1">
        <f t="array" aca="1" ref="G68" ca="1">IF(RegimeExecucao="Global","",ORÇAMENTO!T68)</f>
        <v/>
      </c>
      <c r="H68" s="122" t="str" cm="1">
        <f t="array" aca="1" ref="H68" ca="1">IF(RegimeExecucao="Global","",ORÇAMENTO!W68)</f>
        <v/>
      </c>
      <c r="I68" s="125">
        <f ca="1">ORÇAMENTO!X68</f>
        <v>377105.25</v>
      </c>
      <c r="J68" s="333" cm="1">
        <f t="array" aca="1" ref="J68" ca="1">IF($A68="S",IF(CAIXA.Modo,BM.AFAnterior,BM.MEDAnterior),IF(AND(RegimeExecucao="Global",$I68&gt;0,COUNTIF($AB$13:$AM$13,BM.medicao-1)&gt;0),M68/$I68*100,0))</f>
        <v>0</v>
      </c>
      <c r="K68" s="122">
        <f t="shared" ca="1" si="3"/>
        <v>0</v>
      </c>
      <c r="L68" s="334" cm="1">
        <f t="array" aca="1" ref="L68" ca="1">IF($A68="S",IF(CAIXA.Modo,BM.AFAcumulado,BM.MEDAcumulado),IF(AND(RegimeExecucao="Global",$I68&gt;0,COUNTIF($AB$13:$AM$13,BM.medicao)&gt;0),O68/$I68*100,0))</f>
        <v>0</v>
      </c>
      <c r="M68" s="335" cm="1">
        <f t="array" aca="1" ref="M68" ca="1">IF($A68="S",VTOTALBM,IF($A68=0,0,ROUND(SomaAgrupBM,15-13*ORÇAMENTO!$AF$11)))</f>
        <v>0</v>
      </c>
      <c r="N68" s="336">
        <f t="shared" ca="1" si="4"/>
        <v>0</v>
      </c>
      <c r="O68" s="125" cm="1">
        <f t="array" aca="1" ref="O68" ca="1">IF($A68="S",VTOTALBM,IF($A68=0,0,ROUND(SomaAgrupBM,15-13*ORÇAMENTO!$AF$11)))</f>
        <v>0</v>
      </c>
      <c r="Q68" s="337"/>
      <c r="R68" s="338"/>
      <c r="T68" s="117" t="str">
        <f t="shared" ca="1" si="5"/>
        <v/>
      </c>
      <c r="U68" s="163" t="str">
        <f t="shared" ca="1" si="6"/>
        <v/>
      </c>
      <c r="V68" s="164" t="str" cm="1">
        <f t="array" aca="1" ref="V68" ca="1">IF(AND($W68&gt;0,RegimeExecucao="Unitário"),$F68,"")</f>
        <v/>
      </c>
      <c r="W68" s="454" cm="1">
        <f t="array" aca="1" ref="W68" ca="1">IF($Y68&gt;0,CHOOSE(MATCH(RegimeExecucao,{"Unitário","Global"},0),IF($A68="S",$Y68/$X68,""),($Y68/$X68)*100),0)</f>
        <v>0</v>
      </c>
      <c r="X68" s="339" t="str" cm="1">
        <f t="array" aca="1" ref="X68" ca="1">IF($Y68&gt;0,CHOOSE(MATCH(RegimeExecucao,{"Unitário","Global"},0),IF($A68="S",ROUND($H68,ORÇAMENTO!$AF$10),""),ROUND($I68,ORÇAMENTO!$AF$11)),"")</f>
        <v/>
      </c>
      <c r="Y68" s="339">
        <f t="shared" ca="1" si="7"/>
        <v>0</v>
      </c>
      <c r="Z68" s="473"/>
      <c r="AB68" s="337"/>
      <c r="AC68" s="437"/>
      <c r="AD68" s="437"/>
      <c r="AE68" s="437"/>
      <c r="AF68" s="437"/>
      <c r="AG68" s="437"/>
      <c r="AH68" s="437"/>
      <c r="AI68" s="437"/>
      <c r="AJ68" s="437"/>
      <c r="AK68" s="437"/>
      <c r="AL68" s="437"/>
      <c r="AM68" s="338"/>
      <c r="AO68"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ht="51" x14ac:dyDescent="0.2">
      <c r="A69" t="str">
        <f ca="1">ORÇAMENTO!C69</f>
        <v>S</v>
      </c>
      <c r="B69">
        <f ca="1">ORÇAMENTO!D69</f>
        <v>0</v>
      </c>
      <c r="C69" s="114" t="str">
        <f t="shared" ca="1" si="1"/>
        <v>F</v>
      </c>
      <c r="D69" s="117" t="str">
        <f ca="1">ORÇAMENTO!O69</f>
        <v>1.4.0.3.</v>
      </c>
      <c r="E69" s="163" t="str">
        <f t="shared" ca="1" si="2"/>
        <v>(Código não identificado nas referências)</v>
      </c>
      <c r="F69" s="164" t="str" cm="1">
        <f t="array" aca="1" ref="F69" ca="1">IF(RegimeExecucao="Global","",ORÇAMENTO.Unidade)</f>
        <v/>
      </c>
      <c r="G69" s="122" t="str" cm="1">
        <f t="array" aca="1" ref="G69" ca="1">IF(RegimeExecucao="Global","",ORÇAMENTO!T69)</f>
        <v/>
      </c>
      <c r="H69" s="122" t="str" cm="1">
        <f t="array" aca="1" ref="H69" ca="1">IF(RegimeExecucao="Global","",ORÇAMENTO!W69)</f>
        <v/>
      </c>
      <c r="I69" s="125">
        <f ca="1">ORÇAMENTO!X69</f>
        <v>101278.9</v>
      </c>
      <c r="J69" s="333" cm="1">
        <f t="array" aca="1" ref="J69" ca="1">IF($A69="S",IF(CAIXA.Modo,BM.AFAnterior,BM.MEDAnterior),IF(AND(RegimeExecucao="Global",$I69&gt;0,COUNTIF($AB$13:$AM$13,BM.medicao-1)&gt;0),M69/$I69*100,0))</f>
        <v>0</v>
      </c>
      <c r="K69" s="122">
        <f t="shared" ca="1" si="3"/>
        <v>0</v>
      </c>
      <c r="L69" s="334" cm="1">
        <f t="array" aca="1" ref="L69" ca="1">IF($A69="S",IF(CAIXA.Modo,BM.AFAcumulado,BM.MEDAcumulado),IF(AND(RegimeExecucao="Global",$I69&gt;0,COUNTIF($AB$13:$AM$13,BM.medicao)&gt;0),O69/$I69*100,0))</f>
        <v>0</v>
      </c>
      <c r="M69" s="335" cm="1">
        <f t="array" aca="1" ref="M69" ca="1">IF($A69="S",VTOTALBM,IF($A69=0,0,ROUND(SomaAgrupBM,15-13*ORÇAMENTO!$AF$11)))</f>
        <v>0</v>
      </c>
      <c r="N69" s="336">
        <f t="shared" ca="1" si="4"/>
        <v>0</v>
      </c>
      <c r="O69" s="125" cm="1">
        <f t="array" aca="1" ref="O69" ca="1">IF($A69="S",VTOTALBM,IF($A69=0,0,ROUND(SomaAgrupBM,15-13*ORÇAMENTO!$AF$11)))</f>
        <v>0</v>
      </c>
      <c r="Q69" s="337"/>
      <c r="R69" s="338"/>
      <c r="T69" s="117" t="str">
        <f t="shared" ca="1" si="5"/>
        <v/>
      </c>
      <c r="U69" s="163" t="str">
        <f t="shared" ca="1" si="6"/>
        <v/>
      </c>
      <c r="V69" s="164" t="str" cm="1">
        <f t="array" aca="1" ref="V69" ca="1">IF(AND($W69&gt;0,RegimeExecucao="Unitário"),$F69,"")</f>
        <v/>
      </c>
      <c r="W69" s="454" cm="1">
        <f t="array" aca="1" ref="W69" ca="1">IF($Y69&gt;0,CHOOSE(MATCH(RegimeExecucao,{"Unitário","Global"},0),IF($A69="S",$Y69/$X69,""),($Y69/$X69)*100),0)</f>
        <v>0</v>
      </c>
      <c r="X69" s="339" t="str" cm="1">
        <f t="array" aca="1" ref="X69" ca="1">IF($Y69&gt;0,CHOOSE(MATCH(RegimeExecucao,{"Unitário","Global"},0),IF($A69="S",ROUND($H69,ORÇAMENTO!$AF$10),""),ROUND($I69,ORÇAMENTO!$AF$11)),"")</f>
        <v/>
      </c>
      <c r="Y69" s="339">
        <f t="shared" ca="1" si="7"/>
        <v>0</v>
      </c>
      <c r="Z69" s="473"/>
      <c r="AB69" s="337"/>
      <c r="AC69" s="437"/>
      <c r="AD69" s="437"/>
      <c r="AE69" s="437"/>
      <c r="AF69" s="437"/>
      <c r="AG69" s="437"/>
      <c r="AH69" s="437"/>
      <c r="AI69" s="437"/>
      <c r="AJ69" s="437"/>
      <c r="AK69" s="437"/>
      <c r="AL69" s="437"/>
      <c r="AM69" s="338"/>
      <c r="AO69"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x14ac:dyDescent="0.2">
      <c r="A70">
        <f ca="1">ORÇAMENTO!C70</f>
        <v>2</v>
      </c>
      <c r="B70">
        <f ca="1">ORÇAMENTO!D70</f>
        <v>5</v>
      </c>
      <c r="C70" s="114" t="str">
        <f t="shared" ca="1" si="1"/>
        <v>F</v>
      </c>
      <c r="D70" s="117" t="str">
        <f ca="1">ORÇAMENTO!O70</f>
        <v>1.5.</v>
      </c>
      <c r="E70" s="163" t="str">
        <f t="shared" ca="1" si="2"/>
        <v>GALPÃO, UNIDADES ADMINISTRATIVAS E ÁREAS DE CONVIVÊNCIA</v>
      </c>
      <c r="F70" s="164" t="str" cm="1">
        <f t="array" aca="1" ref="F70" ca="1">IF(RegimeExecucao="Global","",ORÇAMENTO.Unidade)</f>
        <v/>
      </c>
      <c r="G70" s="122" t="str" cm="1">
        <f t="array" aca="1" ref="G70" ca="1">IF(RegimeExecucao="Global","",ORÇAMENTO!T70)</f>
        <v/>
      </c>
      <c r="H70" s="122" t="str" cm="1">
        <f t="array" aca="1" ref="H70" ca="1">IF(RegimeExecucao="Global","",ORÇAMENTO!W70)</f>
        <v/>
      </c>
      <c r="I70" s="125">
        <f ca="1">ORÇAMENTO!X70</f>
        <v>4796233.05</v>
      </c>
      <c r="J70" s="333" cm="1">
        <f t="array" aca="1" ref="J70" ca="1">IF($A70="S",IF(CAIXA.Modo,BM.AFAnterior,BM.MEDAnterior),IF(AND(RegimeExecucao="Global",$I70&gt;0,COUNTIF($AB$13:$AM$13,BM.medicao-1)&gt;0),M70/$I70*100,0))</f>
        <v>0</v>
      </c>
      <c r="K70" s="122">
        <f t="shared" ca="1" si="3"/>
        <v>0</v>
      </c>
      <c r="L70" s="334" cm="1">
        <f t="array" aca="1" ref="L70" ca="1">IF($A70="S",IF(CAIXA.Modo,BM.AFAcumulado,BM.MEDAcumulado),IF(AND(RegimeExecucao="Global",$I70&gt;0,COUNTIF($AB$13:$AM$13,BM.medicao)&gt;0),O70/$I70*100,0))</f>
        <v>0</v>
      </c>
      <c r="M70" s="335" cm="1">
        <f t="array" aca="1" ref="M70" ca="1">IF($A70="S",VTOTALBM,IF($A70=0,0,ROUND(SomaAgrupBM,15-13*ORÇAMENTO!$AF$11)))</f>
        <v>0</v>
      </c>
      <c r="N70" s="336">
        <f t="shared" ca="1" si="4"/>
        <v>0</v>
      </c>
      <c r="O70" s="125" cm="1">
        <f t="array" aca="1" ref="O70" ca="1">IF($A70="S",VTOTALBM,IF($A70=0,0,ROUND(SomaAgrupBM,15-13*ORÇAMENTO!$AF$11)))</f>
        <v>0</v>
      </c>
      <c r="Q70" s="337"/>
      <c r="R70" s="338"/>
      <c r="T70" s="117" t="str">
        <f t="shared" ca="1" si="5"/>
        <v/>
      </c>
      <c r="U70" s="163" t="str">
        <f t="shared" ca="1" si="6"/>
        <v/>
      </c>
      <c r="V70" s="164" t="str" cm="1">
        <f t="array" aca="1" ref="V70" ca="1">IF(AND($W70&gt;0,RegimeExecucao="Unitário"),$F70,"")</f>
        <v/>
      </c>
      <c r="W70" s="454" cm="1">
        <f t="array" aca="1" ref="W70" ca="1">IF($Y70&gt;0,CHOOSE(MATCH(RegimeExecucao,{"Unitário","Global"},0),IF($A70="S",$Y70/$X70,""),($Y70/$X70)*100),0)</f>
        <v>0</v>
      </c>
      <c r="X70" s="339" t="str" cm="1">
        <f t="array" aca="1" ref="X70" ca="1">IF($Y70&gt;0,CHOOSE(MATCH(RegimeExecucao,{"Unitário","Global"},0),IF($A70="S",ROUND($H70,ORÇAMENTO!$AF$10),""),ROUND($I70,ORÇAMENTO!$AF$11)),"")</f>
        <v/>
      </c>
      <c r="Y70" s="339">
        <f t="shared" ca="1" si="7"/>
        <v>0</v>
      </c>
      <c r="Z70" s="473"/>
      <c r="AB70" s="337"/>
      <c r="AC70" s="437"/>
      <c r="AD70" s="437"/>
      <c r="AE70" s="437"/>
      <c r="AF70" s="437"/>
      <c r="AG70" s="437"/>
      <c r="AH70" s="437"/>
      <c r="AI70" s="437"/>
      <c r="AJ70" s="437"/>
      <c r="AK70" s="437"/>
      <c r="AL70" s="437"/>
      <c r="AM70" s="338"/>
      <c r="AO70"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x14ac:dyDescent="0.2">
      <c r="A71">
        <f ca="1">ORÇAMENTO!C71</f>
        <v>3</v>
      </c>
      <c r="B71">
        <f ca="1">ORÇAMENTO!D71</f>
        <v>4</v>
      </c>
      <c r="C71" s="114" t="str">
        <f t="shared" ca="1" si="1"/>
        <v>F</v>
      </c>
      <c r="D71" s="117" t="str">
        <f ca="1">ORÇAMENTO!O71</f>
        <v>1.5.1.</v>
      </c>
      <c r="E71" s="163" t="str">
        <f t="shared" ca="1" si="2"/>
        <v>Galpão, unidades administrativas e áreas de convivência</v>
      </c>
      <c r="F71" s="164" t="str" cm="1">
        <f t="array" aca="1" ref="F71" ca="1">IF(RegimeExecucao="Global","",ORÇAMENTO.Unidade)</f>
        <v/>
      </c>
      <c r="G71" s="122" t="str" cm="1">
        <f t="array" aca="1" ref="G71" ca="1">IF(RegimeExecucao="Global","",ORÇAMENTO!T71)</f>
        <v/>
      </c>
      <c r="H71" s="122" t="str" cm="1">
        <f t="array" aca="1" ref="H71" ca="1">IF(RegimeExecucao="Global","",ORÇAMENTO!W71)</f>
        <v/>
      </c>
      <c r="I71" s="125">
        <f ca="1">ORÇAMENTO!X71</f>
        <v>4796233.05</v>
      </c>
      <c r="J71" s="333" cm="1">
        <f t="array" aca="1" ref="J71" ca="1">IF($A71="S",IF(CAIXA.Modo,BM.AFAnterior,BM.MEDAnterior),IF(AND(RegimeExecucao="Global",$I71&gt;0,COUNTIF($AB$13:$AM$13,BM.medicao-1)&gt;0),M71/$I71*100,0))</f>
        <v>0</v>
      </c>
      <c r="K71" s="122">
        <f t="shared" ca="1" si="3"/>
        <v>0</v>
      </c>
      <c r="L71" s="334" cm="1">
        <f t="array" aca="1" ref="L71" ca="1">IF($A71="S",IF(CAIXA.Modo,BM.AFAcumulado,BM.MEDAcumulado),IF(AND(RegimeExecucao="Global",$I71&gt;0,COUNTIF($AB$13:$AM$13,BM.medicao)&gt;0),O71/$I71*100,0))</f>
        <v>0</v>
      </c>
      <c r="M71" s="335" cm="1">
        <f t="array" aca="1" ref="M71" ca="1">IF($A71="S",VTOTALBM,IF($A71=0,0,ROUND(SomaAgrupBM,15-13*ORÇAMENTO!$AF$11)))</f>
        <v>0</v>
      </c>
      <c r="N71" s="336">
        <f t="shared" ca="1" si="4"/>
        <v>0</v>
      </c>
      <c r="O71" s="125" cm="1">
        <f t="array" aca="1" ref="O71" ca="1">IF($A71="S",VTOTALBM,IF($A71=0,0,ROUND(SomaAgrupBM,15-13*ORÇAMENTO!$AF$11)))</f>
        <v>0</v>
      </c>
      <c r="Q71" s="337"/>
      <c r="R71" s="338"/>
      <c r="T71" s="117" t="str">
        <f t="shared" ca="1" si="5"/>
        <v/>
      </c>
      <c r="U71" s="163" t="str">
        <f t="shared" ca="1" si="6"/>
        <v/>
      </c>
      <c r="V71" s="164" t="str" cm="1">
        <f t="array" aca="1" ref="V71" ca="1">IF(AND($W71&gt;0,RegimeExecucao="Unitário"),$F71,"")</f>
        <v/>
      </c>
      <c r="W71" s="454" cm="1">
        <f t="array" aca="1" ref="W71" ca="1">IF($Y71&gt;0,CHOOSE(MATCH(RegimeExecucao,{"Unitário","Global"},0),IF($A71="S",$Y71/$X71,""),($Y71/$X71)*100),0)</f>
        <v>0</v>
      </c>
      <c r="X71" s="339" t="str" cm="1">
        <f t="array" aca="1" ref="X71" ca="1">IF($Y71&gt;0,CHOOSE(MATCH(RegimeExecucao,{"Unitário","Global"},0),IF($A71="S",ROUND($H71,ORÇAMENTO!$AF$10),""),ROUND($I71,ORÇAMENTO!$AF$11)),"")</f>
        <v/>
      </c>
      <c r="Y71" s="339">
        <f t="shared" ca="1" si="7"/>
        <v>0</v>
      </c>
      <c r="Z71" s="473"/>
      <c r="AB71" s="337"/>
      <c r="AC71" s="437"/>
      <c r="AD71" s="437"/>
      <c r="AE71" s="437"/>
      <c r="AF71" s="437"/>
      <c r="AG71" s="437"/>
      <c r="AH71" s="437"/>
      <c r="AI71" s="437"/>
      <c r="AJ71" s="437"/>
      <c r="AK71" s="437"/>
      <c r="AL71" s="437"/>
      <c r="AM71" s="338"/>
      <c r="AO71"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ht="25.5" x14ac:dyDescent="0.2">
      <c r="A72" t="str">
        <f ca="1">ORÇAMENTO!C72</f>
        <v>S</v>
      </c>
      <c r="B72">
        <f ca="1">ORÇAMENTO!D72</f>
        <v>0</v>
      </c>
      <c r="C72" s="114" t="str">
        <f t="shared" ca="1" si="1"/>
        <v>F</v>
      </c>
      <c r="D72" s="117" t="str">
        <f ca="1">ORÇAMENTO!O72</f>
        <v>1.5.1.1.</v>
      </c>
      <c r="E72" s="163" t="str">
        <f t="shared" ca="1" si="2"/>
        <v>(Código não identificado nas referências)</v>
      </c>
      <c r="F72" s="164" t="str" cm="1">
        <f t="array" aca="1" ref="F72" ca="1">IF(RegimeExecucao="Global","",ORÇAMENTO.Unidade)</f>
        <v/>
      </c>
      <c r="G72" s="122" t="str" cm="1">
        <f t="array" aca="1" ref="G72" ca="1">IF(RegimeExecucao="Global","",ORÇAMENTO!T72)</f>
        <v/>
      </c>
      <c r="H72" s="122" t="str" cm="1">
        <f t="array" aca="1" ref="H72" ca="1">IF(RegimeExecucao="Global","",ORÇAMENTO!W72)</f>
        <v/>
      </c>
      <c r="I72" s="125">
        <f ca="1">ORÇAMENTO!X72</f>
        <v>4392610.28</v>
      </c>
      <c r="J72" s="333" cm="1">
        <f t="array" aca="1" ref="J72" ca="1">IF($A72="S",IF(CAIXA.Modo,BM.AFAnterior,BM.MEDAnterior),IF(AND(RegimeExecucao="Global",$I72&gt;0,COUNTIF($AB$13:$AM$13,BM.medicao-1)&gt;0),M72/$I72*100,0))</f>
        <v>0</v>
      </c>
      <c r="K72" s="122">
        <f t="shared" ca="1" si="3"/>
        <v>0</v>
      </c>
      <c r="L72" s="334" cm="1">
        <f t="array" aca="1" ref="L72" ca="1">IF($A72="S",IF(CAIXA.Modo,BM.AFAcumulado,BM.MEDAcumulado),IF(AND(RegimeExecucao="Global",$I72&gt;0,COUNTIF($AB$13:$AM$13,BM.medicao)&gt;0),O72/$I72*100,0))</f>
        <v>0</v>
      </c>
      <c r="M72" s="335" cm="1">
        <f t="array" aca="1" ref="M72" ca="1">IF($A72="S",VTOTALBM,IF($A72=0,0,ROUND(SomaAgrupBM,15-13*ORÇAMENTO!$AF$11)))</f>
        <v>0</v>
      </c>
      <c r="N72" s="336">
        <f t="shared" ca="1" si="4"/>
        <v>0</v>
      </c>
      <c r="O72" s="125" cm="1">
        <f t="array" aca="1" ref="O72" ca="1">IF($A72="S",VTOTALBM,IF($A72=0,0,ROUND(SomaAgrupBM,15-13*ORÇAMENTO!$AF$11)))</f>
        <v>0</v>
      </c>
      <c r="Q72" s="337"/>
      <c r="R72" s="338"/>
      <c r="T72" s="117" t="str">
        <f t="shared" ca="1" si="5"/>
        <v/>
      </c>
      <c r="U72" s="163" t="str">
        <f t="shared" ca="1" si="6"/>
        <v/>
      </c>
      <c r="V72" s="164" t="str" cm="1">
        <f t="array" aca="1" ref="V72" ca="1">IF(AND($W72&gt;0,RegimeExecucao="Unitário"),$F72,"")</f>
        <v/>
      </c>
      <c r="W72" s="454" cm="1">
        <f t="array" aca="1" ref="W72" ca="1">IF($Y72&gt;0,CHOOSE(MATCH(RegimeExecucao,{"Unitário","Global"},0),IF($A72="S",$Y72/$X72,""),($Y72/$X72)*100),0)</f>
        <v>0</v>
      </c>
      <c r="X72" s="339" t="str" cm="1">
        <f t="array" aca="1" ref="X72" ca="1">IF($Y72&gt;0,CHOOSE(MATCH(RegimeExecucao,{"Unitário","Global"},0),IF($A72="S",ROUND($H72,ORÇAMENTO!$AF$10),""),ROUND($I72,ORÇAMENTO!$AF$11)),"")</f>
        <v/>
      </c>
      <c r="Y72" s="339">
        <f t="shared" ca="1" si="7"/>
        <v>0</v>
      </c>
      <c r="Z72" s="473"/>
      <c r="AB72" s="337"/>
      <c r="AC72" s="437"/>
      <c r="AD72" s="437"/>
      <c r="AE72" s="437"/>
      <c r="AF72" s="437"/>
      <c r="AG72" s="437"/>
      <c r="AH72" s="437"/>
      <c r="AI72" s="437"/>
      <c r="AJ72" s="437"/>
      <c r="AK72" s="437"/>
      <c r="AL72" s="437"/>
      <c r="AM72" s="338"/>
      <c r="AO72"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x14ac:dyDescent="0.2">
      <c r="A73" t="str">
        <f ca="1">ORÇAMENTO!C73</f>
        <v>S</v>
      </c>
      <c r="B73">
        <f ca="1">ORÇAMENTO!D73</f>
        <v>0</v>
      </c>
      <c r="C73" s="114" t="str">
        <f t="shared" ca="1" si="1"/>
        <v>F</v>
      </c>
      <c r="D73" s="117" t="str">
        <f ca="1">ORÇAMENTO!O73</f>
        <v>1.5.1.2.</v>
      </c>
      <c r="E73" s="163" t="str">
        <f t="shared" ca="1" si="2"/>
        <v>(Código não identificado nas referências)</v>
      </c>
      <c r="F73" s="164" t="str" cm="1">
        <f t="array" aca="1" ref="F73" ca="1">IF(RegimeExecucao="Global","",ORÇAMENTO.Unidade)</f>
        <v/>
      </c>
      <c r="G73" s="122" t="str" cm="1">
        <f t="array" aca="1" ref="G73" ca="1">IF(RegimeExecucao="Global","",ORÇAMENTO!T73)</f>
        <v/>
      </c>
      <c r="H73" s="122" t="str" cm="1">
        <f t="array" aca="1" ref="H73" ca="1">IF(RegimeExecucao="Global","",ORÇAMENTO!W73)</f>
        <v/>
      </c>
      <c r="I73" s="125">
        <f ca="1">ORÇAMENTO!X73</f>
        <v>397250.05</v>
      </c>
      <c r="J73" s="333" cm="1">
        <f t="array" aca="1" ref="J73" ca="1">IF($A73="S",IF(CAIXA.Modo,BM.AFAnterior,BM.MEDAnterior),IF(AND(RegimeExecucao="Global",$I73&gt;0,COUNTIF($AB$13:$AM$13,BM.medicao-1)&gt;0),M73/$I73*100,0))</f>
        <v>0</v>
      </c>
      <c r="K73" s="122">
        <f t="shared" ca="1" si="3"/>
        <v>0</v>
      </c>
      <c r="L73" s="334" cm="1">
        <f t="array" aca="1" ref="L73" ca="1">IF($A73="S",IF(CAIXA.Modo,BM.AFAcumulado,BM.MEDAcumulado),IF(AND(RegimeExecucao="Global",$I73&gt;0,COUNTIF($AB$13:$AM$13,BM.medicao)&gt;0),O73/$I73*100,0))</f>
        <v>0</v>
      </c>
      <c r="M73" s="335" cm="1">
        <f t="array" aca="1" ref="M73" ca="1">IF($A73="S",VTOTALBM,IF($A73=0,0,ROUND(SomaAgrupBM,15-13*ORÇAMENTO!$AF$11)))</f>
        <v>0</v>
      </c>
      <c r="N73" s="336">
        <f t="shared" ca="1" si="4"/>
        <v>0</v>
      </c>
      <c r="O73" s="125" cm="1">
        <f t="array" aca="1" ref="O73" ca="1">IF($A73="S",VTOTALBM,IF($A73=0,0,ROUND(SomaAgrupBM,15-13*ORÇAMENTO!$AF$11)))</f>
        <v>0</v>
      </c>
      <c r="Q73" s="337"/>
      <c r="R73" s="338"/>
      <c r="T73" s="117" t="str">
        <f t="shared" ca="1" si="5"/>
        <v/>
      </c>
      <c r="U73" s="163" t="str">
        <f t="shared" ca="1" si="6"/>
        <v/>
      </c>
      <c r="V73" s="164" t="str" cm="1">
        <f t="array" aca="1" ref="V73" ca="1">IF(AND($W73&gt;0,RegimeExecucao="Unitário"),$F73,"")</f>
        <v/>
      </c>
      <c r="W73" s="454" cm="1">
        <f t="array" aca="1" ref="W73" ca="1">IF($Y73&gt;0,CHOOSE(MATCH(RegimeExecucao,{"Unitário","Global"},0),IF($A73="S",$Y73/$X73,""),($Y73/$X73)*100),0)</f>
        <v>0</v>
      </c>
      <c r="X73" s="339" t="str" cm="1">
        <f t="array" aca="1" ref="X73" ca="1">IF($Y73&gt;0,CHOOSE(MATCH(RegimeExecucao,{"Unitário","Global"},0),IF($A73="S",ROUND($H73,ORÇAMENTO!$AF$10),""),ROUND($I73,ORÇAMENTO!$AF$11)),"")</f>
        <v/>
      </c>
      <c r="Y73" s="339">
        <f t="shared" ca="1" si="7"/>
        <v>0</v>
      </c>
      <c r="Z73" s="473"/>
      <c r="AB73" s="337"/>
      <c r="AC73" s="437"/>
      <c r="AD73" s="437"/>
      <c r="AE73" s="437"/>
      <c r="AF73" s="437"/>
      <c r="AG73" s="437"/>
      <c r="AH73" s="437"/>
      <c r="AI73" s="437"/>
      <c r="AJ73" s="437"/>
      <c r="AK73" s="437"/>
      <c r="AL73" s="437"/>
      <c r="AM73" s="338"/>
      <c r="AO73" cm="1">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ht="25.5" x14ac:dyDescent="0.2">
      <c r="A74" t="str">
        <f ca="1">ORÇAMENTO!C74</f>
        <v>S</v>
      </c>
      <c r="B74">
        <f ca="1">ORÇAMENTO!D74</f>
        <v>0</v>
      </c>
      <c r="C74" s="114" t="str">
        <f t="shared" ca="1" si="1"/>
        <v>F</v>
      </c>
      <c r="D74" s="117" t="str">
        <f ca="1">ORÇAMENTO!O74</f>
        <v>1.5.1.3.</v>
      </c>
      <c r="E74" s="163" t="str">
        <f t="shared" ca="1" si="2"/>
        <v>(Código não identificado nas referências)</v>
      </c>
      <c r="F74" s="164" t="str" cm="1">
        <f t="array" aca="1" ref="F74" ca="1">IF(RegimeExecucao="Global","",ORÇAMENTO.Unidade)</f>
        <v/>
      </c>
      <c r="G74" s="122" t="str" cm="1">
        <f t="array" aca="1" ref="G74" ca="1">IF(RegimeExecucao="Global","",ORÇAMENTO!T74)</f>
        <v/>
      </c>
      <c r="H74" s="122" t="str" cm="1">
        <f t="array" aca="1" ref="H74" ca="1">IF(RegimeExecucao="Global","",ORÇAMENTO!W74)</f>
        <v/>
      </c>
      <c r="I74" s="125">
        <f ca="1">ORÇAMENTO!X74</f>
        <v>6372.72</v>
      </c>
      <c r="J74" s="333" cm="1">
        <f t="array" aca="1" ref="J74" ca="1">IF($A74="S",IF(CAIXA.Modo,BM.AFAnterior,BM.MEDAnterior),IF(AND(RegimeExecucao="Global",$I74&gt;0,COUNTIF($AB$13:$AM$13,BM.medicao-1)&gt;0),M74/$I74*100,0))</f>
        <v>0</v>
      </c>
      <c r="K74" s="122">
        <f t="shared" ca="1" si="3"/>
        <v>0</v>
      </c>
      <c r="L74" s="334" cm="1">
        <f t="array" aca="1" ref="L74" ca="1">IF($A74="S",IF(CAIXA.Modo,BM.AFAcumulado,BM.MEDAcumulado),IF(AND(RegimeExecucao="Global",$I74&gt;0,COUNTIF($AB$13:$AM$13,BM.medicao)&gt;0),O74/$I74*100,0))</f>
        <v>0</v>
      </c>
      <c r="M74" s="335" cm="1">
        <f t="array" aca="1" ref="M74" ca="1">IF($A74="S",VTOTALBM,IF($A74=0,0,ROUND(SomaAgrupBM,15-13*ORÇAMENTO!$AF$11)))</f>
        <v>0</v>
      </c>
      <c r="N74" s="336">
        <f t="shared" ca="1" si="4"/>
        <v>0</v>
      </c>
      <c r="O74" s="125" cm="1">
        <f t="array" aca="1" ref="O74" ca="1">IF($A74="S",VTOTALBM,IF($A74=0,0,ROUND(SomaAgrupBM,15-13*ORÇAMENTO!$AF$11)))</f>
        <v>0</v>
      </c>
      <c r="Q74" s="337"/>
      <c r="R74" s="338"/>
      <c r="T74" s="117" t="str">
        <f t="shared" ca="1" si="5"/>
        <v/>
      </c>
      <c r="U74" s="163" t="str">
        <f t="shared" ca="1" si="6"/>
        <v/>
      </c>
      <c r="V74" s="164" t="str" cm="1">
        <f t="array" aca="1" ref="V74" ca="1">IF(AND($W74&gt;0,RegimeExecucao="Unitário"),$F74,"")</f>
        <v/>
      </c>
      <c r="W74" s="454" cm="1">
        <f t="array" aca="1" ref="W74" ca="1">IF($Y74&gt;0,CHOOSE(MATCH(RegimeExecucao,{"Unitário","Global"},0),IF($A74="S",$Y74/$X74,""),($Y74/$X74)*100),0)</f>
        <v>0</v>
      </c>
      <c r="X74" s="339" t="str" cm="1">
        <f t="array" aca="1" ref="X74" ca="1">IF($Y74&gt;0,CHOOSE(MATCH(RegimeExecucao,{"Unitário","Global"},0),IF($A74="S",ROUND($H74,ORÇAMENTO!$AF$10),""),ROUND($I74,ORÇAMENTO!$AF$11)),"")</f>
        <v/>
      </c>
      <c r="Y74" s="339">
        <f t="shared" ca="1" si="7"/>
        <v>0</v>
      </c>
      <c r="Z74" s="473"/>
      <c r="AB74" s="337"/>
      <c r="AC74" s="437"/>
      <c r="AD74" s="437"/>
      <c r="AE74" s="437"/>
      <c r="AF74" s="437"/>
      <c r="AG74" s="437"/>
      <c r="AH74" s="437"/>
      <c r="AI74" s="437"/>
      <c r="AJ74" s="437"/>
      <c r="AK74" s="437"/>
      <c r="AL74" s="437"/>
      <c r="AM74" s="338"/>
      <c r="AO74" cm="1">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x14ac:dyDescent="0.2">
      <c r="A75">
        <f ca="1">ORÇAMENTO!C75</f>
        <v>2</v>
      </c>
      <c r="B75">
        <f ca="1">ORÇAMENTO!D75</f>
        <v>5</v>
      </c>
      <c r="C75" s="114" t="str">
        <f t="shared" ca="1" si="1"/>
        <v>F</v>
      </c>
      <c r="D75" s="117" t="str">
        <f ca="1">ORÇAMENTO!O75</f>
        <v>1.6.</v>
      </c>
      <c r="E75" s="163" t="str">
        <f t="shared" ca="1" si="2"/>
        <v>PÁTIO DE COMPOSTAGEM</v>
      </c>
      <c r="F75" s="164" t="str" cm="1">
        <f t="array" aca="1" ref="F75" ca="1">IF(RegimeExecucao="Global","",ORÇAMENTO.Unidade)</f>
        <v/>
      </c>
      <c r="G75" s="122" t="str" cm="1">
        <f t="array" aca="1" ref="G75" ca="1">IF(RegimeExecucao="Global","",ORÇAMENTO!T75)</f>
        <v/>
      </c>
      <c r="H75" s="122" t="str" cm="1">
        <f t="array" aca="1" ref="H75" ca="1">IF(RegimeExecucao="Global","",ORÇAMENTO!W75)</f>
        <v/>
      </c>
      <c r="I75" s="125">
        <f ca="1">ORÇAMENTO!X75</f>
        <v>345647.02</v>
      </c>
      <c r="J75" s="333" cm="1">
        <f t="array" aca="1" ref="J75" ca="1">IF($A75="S",IF(CAIXA.Modo,BM.AFAnterior,BM.MEDAnterior),IF(AND(RegimeExecucao="Global",$I75&gt;0,COUNTIF($AB$13:$AM$13,BM.medicao-1)&gt;0),M75/$I75*100,0))</f>
        <v>0</v>
      </c>
      <c r="K75" s="122">
        <f t="shared" ca="1" si="3"/>
        <v>0</v>
      </c>
      <c r="L75" s="334" cm="1">
        <f t="array" aca="1" ref="L75" ca="1">IF($A75="S",IF(CAIXA.Modo,BM.AFAcumulado,BM.MEDAcumulado),IF(AND(RegimeExecucao="Global",$I75&gt;0,COUNTIF($AB$13:$AM$13,BM.medicao)&gt;0),O75/$I75*100,0))</f>
        <v>0</v>
      </c>
      <c r="M75" s="335" cm="1">
        <f t="array" aca="1" ref="M75" ca="1">IF($A75="S",VTOTALBM,IF($A75=0,0,ROUND(SomaAgrupBM,15-13*ORÇAMENTO!$AF$11)))</f>
        <v>0</v>
      </c>
      <c r="N75" s="336">
        <f t="shared" ca="1" si="4"/>
        <v>0</v>
      </c>
      <c r="O75" s="125" cm="1">
        <f t="array" aca="1" ref="O75" ca="1">IF($A75="S",VTOTALBM,IF($A75=0,0,ROUND(SomaAgrupBM,15-13*ORÇAMENTO!$AF$11)))</f>
        <v>0</v>
      </c>
      <c r="Q75" s="337"/>
      <c r="R75" s="338"/>
      <c r="T75" s="117" t="str">
        <f t="shared" ca="1" si="5"/>
        <v/>
      </c>
      <c r="U75" s="163" t="str">
        <f t="shared" ca="1" si="6"/>
        <v/>
      </c>
      <c r="V75" s="164" t="str" cm="1">
        <f t="array" aca="1" ref="V75" ca="1">IF(AND($W75&gt;0,RegimeExecucao="Unitário"),$F75,"")</f>
        <v/>
      </c>
      <c r="W75" s="454" cm="1">
        <f t="array" aca="1" ref="W75" ca="1">IF($Y75&gt;0,CHOOSE(MATCH(RegimeExecucao,{"Unitário","Global"},0),IF($A75="S",$Y75/$X75,""),($Y75/$X75)*100),0)</f>
        <v>0</v>
      </c>
      <c r="X75" s="339" t="str" cm="1">
        <f t="array" aca="1" ref="X75" ca="1">IF($Y75&gt;0,CHOOSE(MATCH(RegimeExecucao,{"Unitário","Global"},0),IF($A75="S",ROUND($H75,ORÇAMENTO!$AF$10),""),ROUND($I75,ORÇAMENTO!$AF$11)),"")</f>
        <v/>
      </c>
      <c r="Y75" s="339">
        <f t="shared" ca="1" si="7"/>
        <v>0</v>
      </c>
      <c r="Z75" s="473"/>
      <c r="AB75" s="337"/>
      <c r="AC75" s="437"/>
      <c r="AD75" s="437"/>
      <c r="AE75" s="437"/>
      <c r="AF75" s="437"/>
      <c r="AG75" s="437"/>
      <c r="AH75" s="437"/>
      <c r="AI75" s="437"/>
      <c r="AJ75" s="437"/>
      <c r="AK75" s="437"/>
      <c r="AL75" s="437"/>
      <c r="AM75" s="338"/>
      <c r="AO75" cm="1">
        <f t="array" aca="1" ref="AO75" ca="1">IF($A75="S",IF(BM!$I75=0,0,CHOOSE(MATCH(RegimeExecucao,{"Global","Unitário"},0),ROUND(ROUND(BM.MEDAcumulado,15-13*BM!$A$9)/100*BM!$I75,15-13*ORÇAMENTO!$AF$11),ROUND(ROUND(BM.MEDAcumulado,15-13*BM!$A$9)*ROUND(BM!$H75,15-13*ORÇAMENTO!$AF$10),15-13*ORÇAMENTO!$AF$11))),IF($A75=0,0,ROUND(SomaAgrupBM,15-13*ORÇAMENTO!$AF$11)))</f>
        <v>0</v>
      </c>
    </row>
    <row r="76" spans="1:41" x14ac:dyDescent="0.2">
      <c r="A76">
        <f ca="1">ORÇAMENTO!C76</f>
        <v>3</v>
      </c>
      <c r="B76">
        <f ca="1">ORÇAMENTO!D76</f>
        <v>4</v>
      </c>
      <c r="C76" s="114" t="str">
        <f t="shared" ca="1" si="1"/>
        <v>F</v>
      </c>
      <c r="D76" s="117" t="str">
        <f ca="1">ORÇAMENTO!O76</f>
        <v>1.6.1.</v>
      </c>
      <c r="E76" s="163" t="str">
        <f t="shared" ca="1" si="2"/>
        <v>PÁTIO DE COMPOSTAGEM</v>
      </c>
      <c r="F76" s="164" t="str" cm="1">
        <f t="array" aca="1" ref="F76" ca="1">IF(RegimeExecucao="Global","",ORÇAMENTO.Unidade)</f>
        <v/>
      </c>
      <c r="G76" s="122" t="str" cm="1">
        <f t="array" aca="1" ref="G76" ca="1">IF(RegimeExecucao="Global","",ORÇAMENTO!T76)</f>
        <v/>
      </c>
      <c r="H76" s="122" t="str" cm="1">
        <f t="array" aca="1" ref="H76" ca="1">IF(RegimeExecucao="Global","",ORÇAMENTO!W76)</f>
        <v/>
      </c>
      <c r="I76" s="125">
        <f ca="1">ORÇAMENTO!X76</f>
        <v>345647.02</v>
      </c>
      <c r="J76" s="333" cm="1">
        <f t="array" aca="1" ref="J76" ca="1">IF($A76="S",IF(CAIXA.Modo,BM.AFAnterior,BM.MEDAnterior),IF(AND(RegimeExecucao="Global",$I76&gt;0,COUNTIF($AB$13:$AM$13,BM.medicao-1)&gt;0),M76/$I76*100,0))</f>
        <v>0</v>
      </c>
      <c r="K76" s="122">
        <f t="shared" ca="1" si="3"/>
        <v>0</v>
      </c>
      <c r="L76" s="334" cm="1">
        <f t="array" aca="1" ref="L76" ca="1">IF($A76="S",IF(CAIXA.Modo,BM.AFAcumulado,BM.MEDAcumulado),IF(AND(RegimeExecucao="Global",$I76&gt;0,COUNTIF($AB$13:$AM$13,BM.medicao)&gt;0),O76/$I76*100,0))</f>
        <v>0</v>
      </c>
      <c r="M76" s="335" cm="1">
        <f t="array" aca="1" ref="M76" ca="1">IF($A76="S",VTOTALBM,IF($A76=0,0,ROUND(SomaAgrupBM,15-13*ORÇAMENTO!$AF$11)))</f>
        <v>0</v>
      </c>
      <c r="N76" s="336">
        <f t="shared" ca="1" si="4"/>
        <v>0</v>
      </c>
      <c r="O76" s="125" cm="1">
        <f t="array" aca="1" ref="O76" ca="1">IF($A76="S",VTOTALBM,IF($A76=0,0,ROUND(SomaAgrupBM,15-13*ORÇAMENTO!$AF$11)))</f>
        <v>0</v>
      </c>
      <c r="Q76" s="337"/>
      <c r="R76" s="338"/>
      <c r="T76" s="117" t="str">
        <f t="shared" ca="1" si="5"/>
        <v/>
      </c>
      <c r="U76" s="163" t="str">
        <f t="shared" ca="1" si="6"/>
        <v/>
      </c>
      <c r="V76" s="164" t="str" cm="1">
        <f t="array" aca="1" ref="V76" ca="1">IF(AND($W76&gt;0,RegimeExecucao="Unitário"),$F76,"")</f>
        <v/>
      </c>
      <c r="W76" s="454" cm="1">
        <f t="array" aca="1" ref="W76" ca="1">IF($Y76&gt;0,CHOOSE(MATCH(RegimeExecucao,{"Unitário","Global"},0),IF($A76="S",$Y76/$X76,""),($Y76/$X76)*100),0)</f>
        <v>0</v>
      </c>
      <c r="X76" s="339" t="str" cm="1">
        <f t="array" aca="1" ref="X76" ca="1">IF($Y76&gt;0,CHOOSE(MATCH(RegimeExecucao,{"Unitário","Global"},0),IF($A76="S",ROUND($H76,ORÇAMENTO!$AF$10),""),ROUND($I76,ORÇAMENTO!$AF$11)),"")</f>
        <v/>
      </c>
      <c r="Y76" s="339">
        <f t="shared" ca="1" si="7"/>
        <v>0</v>
      </c>
      <c r="Z76" s="473"/>
      <c r="AB76" s="337"/>
      <c r="AC76" s="437"/>
      <c r="AD76" s="437"/>
      <c r="AE76" s="437"/>
      <c r="AF76" s="437"/>
      <c r="AG76" s="437"/>
      <c r="AH76" s="437"/>
      <c r="AI76" s="437"/>
      <c r="AJ76" s="437"/>
      <c r="AK76" s="437"/>
      <c r="AL76" s="437"/>
      <c r="AM76" s="338"/>
      <c r="AO76" cm="1">
        <f t="array" aca="1" ref="AO76" ca="1">IF($A76="S",IF(BM!$I76=0,0,CHOOSE(MATCH(RegimeExecucao,{"Global","Unitário"},0),ROUND(ROUND(BM.MEDAcumulado,15-13*BM!$A$9)/100*BM!$I76,15-13*ORÇAMENTO!$AF$11),ROUND(ROUND(BM.MEDAcumulado,15-13*BM!$A$9)*ROUND(BM!$H76,15-13*ORÇAMENTO!$AF$10),15-13*ORÇAMENTO!$AF$11))),IF($A76=0,0,ROUND(SomaAgrupBM,15-13*ORÇAMENTO!$AF$11)))</f>
        <v>0</v>
      </c>
    </row>
    <row r="77" spans="1:41" ht="25.5" x14ac:dyDescent="0.2">
      <c r="A77" t="str">
        <f ca="1">ORÇAMENTO!C77</f>
        <v>S</v>
      </c>
      <c r="B77">
        <f ca="1">ORÇAMENTO!D77</f>
        <v>0</v>
      </c>
      <c r="C77" s="114" t="str">
        <f t="shared" ca="1" si="1"/>
        <v>F</v>
      </c>
      <c r="D77" s="117" t="str">
        <f ca="1">ORÇAMENTO!O77</f>
        <v>1.6.1.1.</v>
      </c>
      <c r="E77" s="163" t="str">
        <f t="shared" ca="1" si="2"/>
        <v>(Código não identificado nas referências)</v>
      </c>
      <c r="F77" s="164" t="str" cm="1">
        <f t="array" aca="1" ref="F77" ca="1">IF(RegimeExecucao="Global","",ORÇAMENTO.Unidade)</f>
        <v/>
      </c>
      <c r="G77" s="122" t="str" cm="1">
        <f t="array" aca="1" ref="G77" ca="1">IF(RegimeExecucao="Global","",ORÇAMENTO!T77)</f>
        <v/>
      </c>
      <c r="H77" s="122" t="str" cm="1">
        <f t="array" aca="1" ref="H77" ca="1">IF(RegimeExecucao="Global","",ORÇAMENTO!W77)</f>
        <v/>
      </c>
      <c r="I77" s="125">
        <f ca="1">ORÇAMENTO!X77</f>
        <v>311800</v>
      </c>
      <c r="J77" s="333" cm="1">
        <f t="array" aca="1" ref="J77" ca="1">IF($A77="S",IF(CAIXA.Modo,BM.AFAnterior,BM.MEDAnterior),IF(AND(RegimeExecucao="Global",$I77&gt;0,COUNTIF($AB$13:$AM$13,BM.medicao-1)&gt;0),M77/$I77*100,0))</f>
        <v>0</v>
      </c>
      <c r="K77" s="122">
        <f t="shared" ca="1" si="3"/>
        <v>0</v>
      </c>
      <c r="L77" s="334" cm="1">
        <f t="array" aca="1" ref="L77" ca="1">IF($A77="S",IF(CAIXA.Modo,BM.AFAcumulado,BM.MEDAcumulado),IF(AND(RegimeExecucao="Global",$I77&gt;0,COUNTIF($AB$13:$AM$13,BM.medicao)&gt;0),O77/$I77*100,0))</f>
        <v>0</v>
      </c>
      <c r="M77" s="335" cm="1">
        <f t="array" aca="1" ref="M77" ca="1">IF($A77="S",VTOTALBM,IF($A77=0,0,ROUND(SomaAgrupBM,15-13*ORÇAMENTO!$AF$11)))</f>
        <v>0</v>
      </c>
      <c r="N77" s="336">
        <f t="shared" ca="1" si="4"/>
        <v>0</v>
      </c>
      <c r="O77" s="125" cm="1">
        <f t="array" aca="1" ref="O77" ca="1">IF($A77="S",VTOTALBM,IF($A77=0,0,ROUND(SomaAgrupBM,15-13*ORÇAMENTO!$AF$11)))</f>
        <v>0</v>
      </c>
      <c r="Q77" s="337"/>
      <c r="R77" s="338"/>
      <c r="T77" s="117" t="str">
        <f t="shared" ca="1" si="5"/>
        <v/>
      </c>
      <c r="U77" s="163" t="str">
        <f t="shared" ca="1" si="6"/>
        <v/>
      </c>
      <c r="V77" s="164" t="str" cm="1">
        <f t="array" aca="1" ref="V77" ca="1">IF(AND($W77&gt;0,RegimeExecucao="Unitário"),$F77,"")</f>
        <v/>
      </c>
      <c r="W77" s="454" cm="1">
        <f t="array" aca="1" ref="W77" ca="1">IF($Y77&gt;0,CHOOSE(MATCH(RegimeExecucao,{"Unitário","Global"},0),IF($A77="S",$Y77/$X77,""),($Y77/$X77)*100),0)</f>
        <v>0</v>
      </c>
      <c r="X77" s="339" t="str" cm="1">
        <f t="array" aca="1" ref="X77" ca="1">IF($Y77&gt;0,CHOOSE(MATCH(RegimeExecucao,{"Unitário","Global"},0),IF($A77="S",ROUND($H77,ORÇAMENTO!$AF$10),""),ROUND($I77,ORÇAMENTO!$AF$11)),"")</f>
        <v/>
      </c>
      <c r="Y77" s="339">
        <f t="shared" ca="1" si="7"/>
        <v>0</v>
      </c>
      <c r="Z77" s="473"/>
      <c r="AB77" s="337"/>
      <c r="AC77" s="437"/>
      <c r="AD77" s="437"/>
      <c r="AE77" s="437"/>
      <c r="AF77" s="437"/>
      <c r="AG77" s="437"/>
      <c r="AH77" s="437"/>
      <c r="AI77" s="437"/>
      <c r="AJ77" s="437"/>
      <c r="AK77" s="437"/>
      <c r="AL77" s="437"/>
      <c r="AM77" s="338"/>
      <c r="AO77" cm="1">
        <f t="array" aca="1" ref="AO77" ca="1">IF($A77="S",IF(BM!$I77=0,0,CHOOSE(MATCH(RegimeExecucao,{"Global","Unitário"},0),ROUND(ROUND(BM.MEDAcumulado,15-13*BM!$A$9)/100*BM!$I77,15-13*ORÇAMENTO!$AF$11),ROUND(ROUND(BM.MEDAcumulado,15-13*BM!$A$9)*ROUND(BM!$H77,15-13*ORÇAMENTO!$AF$10),15-13*ORÇAMENTO!$AF$11))),IF($A77=0,0,ROUND(SomaAgrupBM,15-13*ORÇAMENTO!$AF$11)))</f>
        <v>0</v>
      </c>
    </row>
    <row r="78" spans="1:41" ht="51" x14ac:dyDescent="0.2">
      <c r="A78" t="str">
        <f ca="1">ORÇAMENTO!C78</f>
        <v>S</v>
      </c>
      <c r="B78">
        <f ca="1">ORÇAMENTO!D78</f>
        <v>0</v>
      </c>
      <c r="C78" s="114" t="str">
        <f t="shared" ca="1" si="1"/>
        <v>F</v>
      </c>
      <c r="D78" s="117" t="str">
        <f ca="1">ORÇAMENTO!O78</f>
        <v>1.6.1.2.</v>
      </c>
      <c r="E78" s="163" t="str">
        <f t="shared" ca="1" si="2"/>
        <v>(Código não identificado nas referências)</v>
      </c>
      <c r="F78" s="164" t="str" cm="1">
        <f t="array" aca="1" ref="F78" ca="1">IF(RegimeExecucao="Global","",ORÇAMENTO.Unidade)</f>
        <v/>
      </c>
      <c r="G78" s="122" t="str" cm="1">
        <f t="array" aca="1" ref="G78" ca="1">IF(RegimeExecucao="Global","",ORÇAMENTO!T78)</f>
        <v/>
      </c>
      <c r="H78" s="122" t="str" cm="1">
        <f t="array" aca="1" ref="H78" ca="1">IF(RegimeExecucao="Global","",ORÇAMENTO!W78)</f>
        <v/>
      </c>
      <c r="I78" s="125">
        <f ca="1">ORÇAMENTO!X78</f>
        <v>27474.3</v>
      </c>
      <c r="J78" s="333" cm="1">
        <f t="array" aca="1" ref="J78" ca="1">IF($A78="S",IF(CAIXA.Modo,BM.AFAnterior,BM.MEDAnterior),IF(AND(RegimeExecucao="Global",$I78&gt;0,COUNTIF($AB$13:$AM$13,BM.medicao-1)&gt;0),M78/$I78*100,0))</f>
        <v>0</v>
      </c>
      <c r="K78" s="122">
        <f t="shared" ca="1" si="3"/>
        <v>0</v>
      </c>
      <c r="L78" s="334" cm="1">
        <f t="array" aca="1" ref="L78" ca="1">IF($A78="S",IF(CAIXA.Modo,BM.AFAcumulado,BM.MEDAcumulado),IF(AND(RegimeExecucao="Global",$I78&gt;0,COUNTIF($AB$13:$AM$13,BM.medicao)&gt;0),O78/$I78*100,0))</f>
        <v>0</v>
      </c>
      <c r="M78" s="335" cm="1">
        <f t="array" aca="1" ref="M78" ca="1">IF($A78="S",VTOTALBM,IF($A78=0,0,ROUND(SomaAgrupBM,15-13*ORÇAMENTO!$AF$11)))</f>
        <v>0</v>
      </c>
      <c r="N78" s="336">
        <f t="shared" ca="1" si="4"/>
        <v>0</v>
      </c>
      <c r="O78" s="125" cm="1">
        <f t="array" aca="1" ref="O78" ca="1">IF($A78="S",VTOTALBM,IF($A78=0,0,ROUND(SomaAgrupBM,15-13*ORÇAMENTO!$AF$11)))</f>
        <v>0</v>
      </c>
      <c r="Q78" s="337"/>
      <c r="R78" s="338"/>
      <c r="T78" s="117" t="str">
        <f t="shared" ca="1" si="5"/>
        <v/>
      </c>
      <c r="U78" s="163" t="str">
        <f t="shared" ca="1" si="6"/>
        <v/>
      </c>
      <c r="V78" s="164" t="str" cm="1">
        <f t="array" aca="1" ref="V78" ca="1">IF(AND($W78&gt;0,RegimeExecucao="Unitário"),$F78,"")</f>
        <v/>
      </c>
      <c r="W78" s="454" cm="1">
        <f t="array" aca="1" ref="W78" ca="1">IF($Y78&gt;0,CHOOSE(MATCH(RegimeExecucao,{"Unitário","Global"},0),IF($A78="S",$Y78/$X78,""),($Y78/$X78)*100),0)</f>
        <v>0</v>
      </c>
      <c r="X78" s="339" t="str" cm="1">
        <f t="array" aca="1" ref="X78" ca="1">IF($Y78&gt;0,CHOOSE(MATCH(RegimeExecucao,{"Unitário","Global"},0),IF($A78="S",ROUND($H78,ORÇAMENTO!$AF$10),""),ROUND($I78,ORÇAMENTO!$AF$11)),"")</f>
        <v/>
      </c>
      <c r="Y78" s="339">
        <f t="shared" ca="1" si="7"/>
        <v>0</v>
      </c>
      <c r="Z78" s="473"/>
      <c r="AB78" s="337"/>
      <c r="AC78" s="437"/>
      <c r="AD78" s="437"/>
      <c r="AE78" s="437"/>
      <c r="AF78" s="437"/>
      <c r="AG78" s="437"/>
      <c r="AH78" s="437"/>
      <c r="AI78" s="437"/>
      <c r="AJ78" s="437"/>
      <c r="AK78" s="437"/>
      <c r="AL78" s="437"/>
      <c r="AM78" s="338"/>
      <c r="AO78" cm="1">
        <f t="array" aca="1" ref="AO78" ca="1">IF($A78="S",IF(BM!$I78=0,0,CHOOSE(MATCH(RegimeExecucao,{"Global","Unitário"},0),ROUND(ROUND(BM.MEDAcumulado,15-13*BM!$A$9)/100*BM!$I78,15-13*ORÇAMENTO!$AF$11),ROUND(ROUND(BM.MEDAcumulado,15-13*BM!$A$9)*ROUND(BM!$H78,15-13*ORÇAMENTO!$AF$10),15-13*ORÇAMENTO!$AF$11))),IF($A78=0,0,ROUND(SomaAgrupBM,15-13*ORÇAMENTO!$AF$11)))</f>
        <v>0</v>
      </c>
    </row>
    <row r="79" spans="1:41" ht="25.5" x14ac:dyDescent="0.2">
      <c r="A79" t="str">
        <f ca="1">ORÇAMENTO!C79</f>
        <v>S</v>
      </c>
      <c r="B79">
        <f ca="1">ORÇAMENTO!D79</f>
        <v>0</v>
      </c>
      <c r="C79" s="114" t="str">
        <f t="shared" ca="1" si="1"/>
        <v>F</v>
      </c>
      <c r="D79" s="117" t="str">
        <f ca="1">ORÇAMENTO!O79</f>
        <v>1.6.1.3.</v>
      </c>
      <c r="E79" s="163" t="str">
        <f t="shared" ca="1" si="2"/>
        <v>(Código não identificado nas referências)</v>
      </c>
      <c r="F79" s="164" t="str" cm="1">
        <f t="array" aca="1" ref="F79" ca="1">IF(RegimeExecucao="Global","",ORÇAMENTO.Unidade)</f>
        <v/>
      </c>
      <c r="G79" s="122" t="str" cm="1">
        <f t="array" aca="1" ref="G79" ca="1">IF(RegimeExecucao="Global","",ORÇAMENTO!T79)</f>
        <v/>
      </c>
      <c r="H79" s="122" t="str" cm="1">
        <f t="array" aca="1" ref="H79" ca="1">IF(RegimeExecucao="Global","",ORÇAMENTO!W79)</f>
        <v/>
      </c>
      <c r="I79" s="125">
        <f ca="1">ORÇAMENTO!X79</f>
        <v>6372.72</v>
      </c>
      <c r="J79" s="333" cm="1">
        <f t="array" aca="1" ref="J79" ca="1">IF($A79="S",IF(CAIXA.Modo,BM.AFAnterior,BM.MEDAnterior),IF(AND(RegimeExecucao="Global",$I79&gt;0,COUNTIF($AB$13:$AM$13,BM.medicao-1)&gt;0),M79/$I79*100,0))</f>
        <v>0</v>
      </c>
      <c r="K79" s="122">
        <f t="shared" ca="1" si="3"/>
        <v>0</v>
      </c>
      <c r="L79" s="334" cm="1">
        <f t="array" aca="1" ref="L79" ca="1">IF($A79="S",IF(CAIXA.Modo,BM.AFAcumulado,BM.MEDAcumulado),IF(AND(RegimeExecucao="Global",$I79&gt;0,COUNTIF($AB$13:$AM$13,BM.medicao)&gt;0),O79/$I79*100,0))</f>
        <v>0</v>
      </c>
      <c r="M79" s="335" cm="1">
        <f t="array" aca="1" ref="M79" ca="1">IF($A79="S",VTOTALBM,IF($A79=0,0,ROUND(SomaAgrupBM,15-13*ORÇAMENTO!$AF$11)))</f>
        <v>0</v>
      </c>
      <c r="N79" s="336">
        <f t="shared" ca="1" si="4"/>
        <v>0</v>
      </c>
      <c r="O79" s="125" cm="1">
        <f t="array" aca="1" ref="O79" ca="1">IF($A79="S",VTOTALBM,IF($A79=0,0,ROUND(SomaAgrupBM,15-13*ORÇAMENTO!$AF$11)))</f>
        <v>0</v>
      </c>
      <c r="Q79" s="337"/>
      <c r="R79" s="338"/>
      <c r="T79" s="117" t="str">
        <f t="shared" ca="1" si="5"/>
        <v/>
      </c>
      <c r="U79" s="163" t="str">
        <f t="shared" ca="1" si="6"/>
        <v/>
      </c>
      <c r="V79" s="164" t="str" cm="1">
        <f t="array" aca="1" ref="V79" ca="1">IF(AND($W79&gt;0,RegimeExecucao="Unitário"),$F79,"")</f>
        <v/>
      </c>
      <c r="W79" s="454" cm="1">
        <f t="array" aca="1" ref="W79" ca="1">IF($Y79&gt;0,CHOOSE(MATCH(RegimeExecucao,{"Unitário","Global"},0),IF($A79="S",$Y79/$X79,""),($Y79/$X79)*100),0)</f>
        <v>0</v>
      </c>
      <c r="X79" s="339" t="str" cm="1">
        <f t="array" aca="1" ref="X79" ca="1">IF($Y79&gt;0,CHOOSE(MATCH(RegimeExecucao,{"Unitário","Global"},0),IF($A79="S",ROUND($H79,ORÇAMENTO!$AF$10),""),ROUND($I79,ORÇAMENTO!$AF$11)),"")</f>
        <v/>
      </c>
      <c r="Y79" s="339">
        <f t="shared" ca="1" si="7"/>
        <v>0</v>
      </c>
      <c r="Z79" s="473"/>
      <c r="AB79" s="337"/>
      <c r="AC79" s="437"/>
      <c r="AD79" s="437"/>
      <c r="AE79" s="437"/>
      <c r="AF79" s="437"/>
      <c r="AG79" s="437"/>
      <c r="AH79" s="437"/>
      <c r="AI79" s="437"/>
      <c r="AJ79" s="437"/>
      <c r="AK79" s="437"/>
      <c r="AL79" s="437"/>
      <c r="AM79" s="338"/>
      <c r="AO79" cm="1">
        <f t="array" aca="1" ref="AO79" ca="1">IF($A79="S",IF(BM!$I79=0,0,CHOOSE(MATCH(RegimeExecucao,{"Global","Unitário"},0),ROUND(ROUND(BM.MEDAcumulado,15-13*BM!$A$9)/100*BM!$I79,15-13*ORÇAMENTO!$AF$11),ROUND(ROUND(BM.MEDAcumulado,15-13*BM!$A$9)*ROUND(BM!$H79,15-13*ORÇAMENTO!$AF$10),15-13*ORÇAMENTO!$AF$11))),IF($A79=0,0,ROUND(SomaAgrupBM,15-13*ORÇAMENTO!$AF$11)))</f>
        <v>0</v>
      </c>
    </row>
    <row r="80" spans="1:41" x14ac:dyDescent="0.2">
      <c r="A80">
        <f ca="1">ORÇAMENTO!C80</f>
        <v>2</v>
      </c>
      <c r="B80">
        <f ca="1">ORÇAMENTO!D80</f>
        <v>5</v>
      </c>
      <c r="C80" s="114" t="str">
        <f t="shared" ref="C80:C92" ca="1" si="15">IF(OR($I80&gt;0,$A80=1,$A80=2,$A80=3,$A80=4),"F","")</f>
        <v>F</v>
      </c>
      <c r="D80" s="117" t="str">
        <f ca="1">ORÇAMENTO!O80</f>
        <v>1.7.</v>
      </c>
      <c r="E80" s="163" t="str">
        <f t="shared" ref="E80:E92" ca="1" si="16">ORÇAMENTO.Descricao</f>
        <v>EQUIPAMENTOS</v>
      </c>
      <c r="F80" s="164" t="str" cm="1">
        <f t="array" aca="1" ref="F80" ca="1">IF(RegimeExecucao="Global","",ORÇAMENTO.Unidade)</f>
        <v/>
      </c>
      <c r="G80" s="122" t="str" cm="1">
        <f t="array" aca="1" ref="G80" ca="1">IF(RegimeExecucao="Global","",ORÇAMENTO!T80)</f>
        <v/>
      </c>
      <c r="H80" s="122" t="str" cm="1">
        <f t="array" aca="1" ref="H80" ca="1">IF(RegimeExecucao="Global","",ORÇAMENTO!W80)</f>
        <v/>
      </c>
      <c r="I80" s="125">
        <f ca="1">ORÇAMENTO!X80</f>
        <v>14327820.48</v>
      </c>
      <c r="J80" s="333" cm="1">
        <f t="array" aca="1" ref="J80" ca="1">IF($A80="S",IF(CAIXA.Modo,BM.AFAnterior,BM.MEDAnterior),IF(AND(RegimeExecucao="Global",$I80&gt;0,COUNTIF($AB$13:$AM$13,BM.medicao-1)&gt;0),M80/$I80*100,0))</f>
        <v>0</v>
      </c>
      <c r="K80" s="122">
        <f t="shared" ref="K80:K92" ca="1" si="17">L80-J80</f>
        <v>0</v>
      </c>
      <c r="L80" s="334" cm="1">
        <f t="array" aca="1" ref="L80" ca="1">IF($A80="S",IF(CAIXA.Modo,BM.AFAcumulado,BM.MEDAcumulado),IF(AND(RegimeExecucao="Global",$I80&gt;0,COUNTIF($AB$13:$AM$13,BM.medicao)&gt;0),O80/$I80*100,0))</f>
        <v>0</v>
      </c>
      <c r="M80" s="335" cm="1">
        <f t="array" aca="1" ref="M80" ca="1">IF($A80="S",VTOTALBM,IF($A80=0,0,ROUND(SomaAgrupBM,15-13*ORÇAMENTO!$AF$11)))</f>
        <v>0</v>
      </c>
      <c r="N80" s="336">
        <f t="shared" ref="N80:N92" ca="1" si="18">O80-M80</f>
        <v>0</v>
      </c>
      <c r="O80" s="125" cm="1">
        <f t="array" aca="1" ref="O80" ca="1">IF($A80="S",VTOTALBM,IF($A80=0,0,ROUND(SomaAgrupBM,15-13*ORÇAMENTO!$AF$11)))</f>
        <v>0</v>
      </c>
      <c r="Q80" s="337"/>
      <c r="R80" s="338"/>
      <c r="T80" s="117" t="str">
        <f t="shared" ref="T80:T92" ca="1" si="19">IF($W80&gt;0,$D80,"")</f>
        <v/>
      </c>
      <c r="U80" s="163" t="str">
        <f t="shared" ref="U80:U92" ca="1" si="20">IF($W80&gt;0,$E80,"")</f>
        <v/>
      </c>
      <c r="V80" s="164" t="str" cm="1">
        <f t="array" aca="1" ref="V80" ca="1">IF(AND($W80&gt;0,RegimeExecucao="Unitário"),$F80,"")</f>
        <v/>
      </c>
      <c r="W80" s="454" cm="1">
        <f t="array" aca="1" ref="W80" ca="1">IF($Y80&gt;0,CHOOSE(MATCH(RegimeExecucao,{"Unitário","Global"},0),IF($A80="S",$Y80/$X80,""),($Y80/$X80)*100),0)</f>
        <v>0</v>
      </c>
      <c r="X80" s="339" t="str" cm="1">
        <f t="array" aca="1" ref="X80" ca="1">IF($Y80&gt;0,CHOOSE(MATCH(RegimeExecucao,{"Unitário","Global"},0),IF($A80="S",ROUND($H80,ORÇAMENTO!$AF$10),""),ROUND($I80,ORÇAMENTO!$AF$11)),"")</f>
        <v/>
      </c>
      <c r="Y80" s="339">
        <f t="shared" ref="Y80:Y92" ca="1" si="21">AO80-O80</f>
        <v>0</v>
      </c>
      <c r="Z80" s="473"/>
      <c r="AB80" s="337"/>
      <c r="AC80" s="437"/>
      <c r="AD80" s="437"/>
      <c r="AE80" s="437"/>
      <c r="AF80" s="437"/>
      <c r="AG80" s="437"/>
      <c r="AH80" s="437"/>
      <c r="AI80" s="437"/>
      <c r="AJ80" s="437"/>
      <c r="AK80" s="437"/>
      <c r="AL80" s="437"/>
      <c r="AM80" s="338"/>
      <c r="AO80" cm="1">
        <f t="array" aca="1" ref="AO80" ca="1">IF($A80="S",IF(BM!$I80=0,0,CHOOSE(MATCH(RegimeExecucao,{"Global","Unitário"},0),ROUND(ROUND(BM.MEDAcumulado,15-13*BM!$A$9)/100*BM!$I80,15-13*ORÇAMENTO!$AF$11),ROUND(ROUND(BM.MEDAcumulado,15-13*BM!$A$9)*ROUND(BM!$H80,15-13*ORÇAMENTO!$AF$10),15-13*ORÇAMENTO!$AF$11))),IF($A80=0,0,ROUND(SomaAgrupBM,15-13*ORÇAMENTO!$AF$11)))</f>
        <v>0</v>
      </c>
    </row>
    <row r="81" spans="1:41" x14ac:dyDescent="0.2">
      <c r="A81">
        <f ca="1">ORÇAMENTO!C81</f>
        <v>3</v>
      </c>
      <c r="B81">
        <f ca="1">ORÇAMENTO!D81</f>
        <v>2</v>
      </c>
      <c r="C81" s="114" t="str">
        <f t="shared" ca="1" si="15"/>
        <v>F</v>
      </c>
      <c r="D81" s="117" t="str">
        <f ca="1">ORÇAMENTO!O81</f>
        <v>1.7.1.</v>
      </c>
      <c r="E81" s="163" t="str">
        <f t="shared" ca="1" si="16"/>
        <v>UTM</v>
      </c>
      <c r="F81" s="164" t="str" cm="1">
        <f t="array" aca="1" ref="F81" ca="1">IF(RegimeExecucao="Global","",ORÇAMENTO.Unidade)</f>
        <v/>
      </c>
      <c r="G81" s="122" t="str" cm="1">
        <f t="array" aca="1" ref="G81" ca="1">IF(RegimeExecucao="Global","",ORÇAMENTO!T81)</f>
        <v/>
      </c>
      <c r="H81" s="122" t="str" cm="1">
        <f t="array" aca="1" ref="H81" ca="1">IF(RegimeExecucao="Global","",ORÇAMENTO!W81)</f>
        <v/>
      </c>
      <c r="I81" s="125">
        <f ca="1">ORÇAMENTO!X81</f>
        <v>14039431.68</v>
      </c>
      <c r="J81" s="333" cm="1">
        <f t="array" aca="1" ref="J81" ca="1">IF($A81="S",IF(CAIXA.Modo,BM.AFAnterior,BM.MEDAnterior),IF(AND(RegimeExecucao="Global",$I81&gt;0,COUNTIF($AB$13:$AM$13,BM.medicao-1)&gt;0),M81/$I81*100,0))</f>
        <v>0</v>
      </c>
      <c r="K81" s="122">
        <f t="shared" ca="1" si="17"/>
        <v>0</v>
      </c>
      <c r="L81" s="334" cm="1">
        <f t="array" aca="1" ref="L81" ca="1">IF($A81="S",IF(CAIXA.Modo,BM.AFAcumulado,BM.MEDAcumulado),IF(AND(RegimeExecucao="Global",$I81&gt;0,COUNTIF($AB$13:$AM$13,BM.medicao)&gt;0),O81/$I81*100,0))</f>
        <v>0</v>
      </c>
      <c r="M81" s="335" cm="1">
        <f t="array" aca="1" ref="M81" ca="1">IF($A81="S",VTOTALBM,IF($A81=0,0,ROUND(SomaAgrupBM,15-13*ORÇAMENTO!$AF$11)))</f>
        <v>0</v>
      </c>
      <c r="N81" s="336">
        <f t="shared" ca="1" si="18"/>
        <v>0</v>
      </c>
      <c r="O81" s="125" cm="1">
        <f t="array" aca="1" ref="O81" ca="1">IF($A81="S",VTOTALBM,IF($A81=0,0,ROUND(SomaAgrupBM,15-13*ORÇAMENTO!$AF$11)))</f>
        <v>0</v>
      </c>
      <c r="Q81" s="337"/>
      <c r="R81" s="338"/>
      <c r="T81" s="117" t="str">
        <f t="shared" ca="1" si="19"/>
        <v/>
      </c>
      <c r="U81" s="163" t="str">
        <f t="shared" ca="1" si="20"/>
        <v/>
      </c>
      <c r="V81" s="164" t="str" cm="1">
        <f t="array" aca="1" ref="V81" ca="1">IF(AND($W81&gt;0,RegimeExecucao="Unitário"),$F81,"")</f>
        <v/>
      </c>
      <c r="W81" s="454" cm="1">
        <f t="array" aca="1" ref="W81" ca="1">IF($Y81&gt;0,CHOOSE(MATCH(RegimeExecucao,{"Unitário","Global"},0),IF($A81="S",$Y81/$X81,""),($Y81/$X81)*100),0)</f>
        <v>0</v>
      </c>
      <c r="X81" s="339" t="str" cm="1">
        <f t="array" aca="1" ref="X81" ca="1">IF($Y81&gt;0,CHOOSE(MATCH(RegimeExecucao,{"Unitário","Global"},0),IF($A81="S",ROUND($H81,ORÇAMENTO!$AF$10),""),ROUND($I81,ORÇAMENTO!$AF$11)),"")</f>
        <v/>
      </c>
      <c r="Y81" s="339">
        <f t="shared" ca="1" si="21"/>
        <v>0</v>
      </c>
      <c r="Z81" s="473"/>
      <c r="AB81" s="337"/>
      <c r="AC81" s="437"/>
      <c r="AD81" s="437"/>
      <c r="AE81" s="437"/>
      <c r="AF81" s="437"/>
      <c r="AG81" s="437"/>
      <c r="AH81" s="437"/>
      <c r="AI81" s="437"/>
      <c r="AJ81" s="437"/>
      <c r="AK81" s="437"/>
      <c r="AL81" s="437"/>
      <c r="AM81" s="338"/>
      <c r="AO81" cm="1">
        <f t="array" aca="1" ref="AO81" ca="1">IF($A81="S",IF(BM!$I81=0,0,CHOOSE(MATCH(RegimeExecucao,{"Global","Unitário"},0),ROUND(ROUND(BM.MEDAcumulado,15-13*BM!$A$9)/100*BM!$I81,15-13*ORÇAMENTO!$AF$11),ROUND(ROUND(BM.MEDAcumulado,15-13*BM!$A$9)*ROUND(BM!$H81,15-13*ORÇAMENTO!$AF$10),15-13*ORÇAMENTO!$AF$11))),IF($A81=0,0,ROUND(SomaAgrupBM,15-13*ORÇAMENTO!$AF$11)))</f>
        <v>0</v>
      </c>
    </row>
    <row r="82" spans="1:41" ht="63.75" x14ac:dyDescent="0.2">
      <c r="A82" t="str">
        <f ca="1">ORÇAMENTO!C82</f>
        <v>S</v>
      </c>
      <c r="B82">
        <f ca="1">ORÇAMENTO!D82</f>
        <v>0</v>
      </c>
      <c r="C82" s="114" t="str">
        <f t="shared" ca="1" si="15"/>
        <v>F</v>
      </c>
      <c r="D82" s="117" t="str">
        <f ca="1">ORÇAMENTO!O82</f>
        <v>1.7.1.1.</v>
      </c>
      <c r="E82" s="163" t="str">
        <f t="shared" ca="1" si="16"/>
        <v>(Código não identificado nas referências)</v>
      </c>
      <c r="F82" s="164" t="str" cm="1">
        <f t="array" aca="1" ref="F82" ca="1">IF(RegimeExecucao="Global","",ORÇAMENTO.Unidade)</f>
        <v/>
      </c>
      <c r="G82" s="122" t="str" cm="1">
        <f t="array" aca="1" ref="G82" ca="1">IF(RegimeExecucao="Global","",ORÇAMENTO!T82)</f>
        <v/>
      </c>
      <c r="H82" s="122" t="str" cm="1">
        <f t="array" aca="1" ref="H82" ca="1">IF(RegimeExecucao="Global","",ORÇAMENTO!W82)</f>
        <v/>
      </c>
      <c r="I82" s="125">
        <f ca="1">ORÇAMENTO!X82</f>
        <v>14039431.68</v>
      </c>
      <c r="J82" s="333" cm="1">
        <f t="array" aca="1" ref="J82" ca="1">IF($A82="S",IF(CAIXA.Modo,BM.AFAnterior,BM.MEDAnterior),IF(AND(RegimeExecucao="Global",$I82&gt;0,COUNTIF($AB$13:$AM$13,BM.medicao-1)&gt;0),M82/$I82*100,0))</f>
        <v>0</v>
      </c>
      <c r="K82" s="122">
        <f t="shared" ca="1" si="17"/>
        <v>0</v>
      </c>
      <c r="L82" s="334" cm="1">
        <f t="array" aca="1" ref="L82" ca="1">IF($A82="S",IF(CAIXA.Modo,BM.AFAcumulado,BM.MEDAcumulado),IF(AND(RegimeExecucao="Global",$I82&gt;0,COUNTIF($AB$13:$AM$13,BM.medicao)&gt;0),O82/$I82*100,0))</f>
        <v>0</v>
      </c>
      <c r="M82" s="335" cm="1">
        <f t="array" aca="1" ref="M82" ca="1">IF($A82="S",VTOTALBM,IF($A82=0,0,ROUND(SomaAgrupBM,15-13*ORÇAMENTO!$AF$11)))</f>
        <v>0</v>
      </c>
      <c r="N82" s="336">
        <f t="shared" ca="1" si="18"/>
        <v>0</v>
      </c>
      <c r="O82" s="125" cm="1">
        <f t="array" aca="1" ref="O82" ca="1">IF($A82="S",VTOTALBM,IF($A82=0,0,ROUND(SomaAgrupBM,15-13*ORÇAMENTO!$AF$11)))</f>
        <v>0</v>
      </c>
      <c r="Q82" s="337"/>
      <c r="R82" s="338"/>
      <c r="T82" s="117" t="str">
        <f t="shared" ca="1" si="19"/>
        <v/>
      </c>
      <c r="U82" s="163" t="str">
        <f t="shared" ca="1" si="20"/>
        <v/>
      </c>
      <c r="V82" s="164" t="str" cm="1">
        <f t="array" aca="1" ref="V82" ca="1">IF(AND($W82&gt;0,RegimeExecucao="Unitário"),$F82,"")</f>
        <v/>
      </c>
      <c r="W82" s="454" cm="1">
        <f t="array" aca="1" ref="W82" ca="1">IF($Y82&gt;0,CHOOSE(MATCH(RegimeExecucao,{"Unitário","Global"},0),IF($A82="S",$Y82/$X82,""),($Y82/$X82)*100),0)</f>
        <v>0</v>
      </c>
      <c r="X82" s="339" t="str" cm="1">
        <f t="array" aca="1" ref="X82" ca="1">IF($Y82&gt;0,CHOOSE(MATCH(RegimeExecucao,{"Unitário","Global"},0),IF($A82="S",ROUND($H82,ORÇAMENTO!$AF$10),""),ROUND($I82,ORÇAMENTO!$AF$11)),"")</f>
        <v/>
      </c>
      <c r="Y82" s="339">
        <f t="shared" ca="1" si="21"/>
        <v>0</v>
      </c>
      <c r="Z82" s="473"/>
      <c r="AB82" s="337"/>
      <c r="AC82" s="437"/>
      <c r="AD82" s="437"/>
      <c r="AE82" s="437"/>
      <c r="AF82" s="437"/>
      <c r="AG82" s="437"/>
      <c r="AH82" s="437"/>
      <c r="AI82" s="437"/>
      <c r="AJ82" s="437"/>
      <c r="AK82" s="437"/>
      <c r="AL82" s="437"/>
      <c r="AM82" s="338"/>
      <c r="AO82" cm="1">
        <f t="array" aca="1" ref="AO82" ca="1">IF($A82="S",IF(BM!$I82=0,0,CHOOSE(MATCH(RegimeExecucao,{"Global","Unitário"},0),ROUND(ROUND(BM.MEDAcumulado,15-13*BM!$A$9)/100*BM!$I82,15-13*ORÇAMENTO!$AF$11),ROUND(ROUND(BM.MEDAcumulado,15-13*BM!$A$9)*ROUND(BM!$H82,15-13*ORÇAMENTO!$AF$10),15-13*ORÇAMENTO!$AF$11))),IF($A82=0,0,ROUND(SomaAgrupBM,15-13*ORÇAMENTO!$AF$11)))</f>
        <v>0</v>
      </c>
    </row>
    <row r="83" spans="1:41" x14ac:dyDescent="0.2">
      <c r="A83">
        <f ca="1">ORÇAMENTO!C83</f>
        <v>3</v>
      </c>
      <c r="B83">
        <f ca="1">ORÇAMENTO!D83</f>
        <v>2</v>
      </c>
      <c r="C83" s="114" t="str">
        <f t="shared" ca="1" si="15"/>
        <v>F</v>
      </c>
      <c r="D83" s="117" t="str">
        <f ca="1">ORÇAMENTO!O83</f>
        <v>1.7.2.</v>
      </c>
      <c r="E83" s="163" t="str">
        <f t="shared" ca="1" si="16"/>
        <v>BALANÇA</v>
      </c>
      <c r="F83" s="164" t="str" cm="1">
        <f t="array" aca="1" ref="F83" ca="1">IF(RegimeExecucao="Global","",ORÇAMENTO.Unidade)</f>
        <v/>
      </c>
      <c r="G83" s="122" t="str" cm="1">
        <f t="array" aca="1" ref="G83" ca="1">IF(RegimeExecucao="Global","",ORÇAMENTO!T83)</f>
        <v/>
      </c>
      <c r="H83" s="122" t="str" cm="1">
        <f t="array" aca="1" ref="H83" ca="1">IF(RegimeExecucao="Global","",ORÇAMENTO!W83)</f>
        <v/>
      </c>
      <c r="I83" s="125">
        <f ca="1">ORÇAMENTO!X83</f>
        <v>288388.8</v>
      </c>
      <c r="J83" s="333" cm="1">
        <f t="array" aca="1" ref="J83" ca="1">IF($A83="S",IF(CAIXA.Modo,BM.AFAnterior,BM.MEDAnterior),IF(AND(RegimeExecucao="Global",$I83&gt;0,COUNTIF($AB$13:$AM$13,BM.medicao-1)&gt;0),M83/$I83*100,0))</f>
        <v>0</v>
      </c>
      <c r="K83" s="122">
        <f t="shared" ca="1" si="17"/>
        <v>0</v>
      </c>
      <c r="L83" s="334" cm="1">
        <f t="array" aca="1" ref="L83" ca="1">IF($A83="S",IF(CAIXA.Modo,BM.AFAcumulado,BM.MEDAcumulado),IF(AND(RegimeExecucao="Global",$I83&gt;0,COUNTIF($AB$13:$AM$13,BM.medicao)&gt;0),O83/$I83*100,0))</f>
        <v>0</v>
      </c>
      <c r="M83" s="335" cm="1">
        <f t="array" aca="1" ref="M83" ca="1">IF($A83="S",VTOTALBM,IF($A83=0,0,ROUND(SomaAgrupBM,15-13*ORÇAMENTO!$AF$11)))</f>
        <v>0</v>
      </c>
      <c r="N83" s="336">
        <f t="shared" ca="1" si="18"/>
        <v>0</v>
      </c>
      <c r="O83" s="125" cm="1">
        <f t="array" aca="1" ref="O83" ca="1">IF($A83="S",VTOTALBM,IF($A83=0,0,ROUND(SomaAgrupBM,15-13*ORÇAMENTO!$AF$11)))</f>
        <v>0</v>
      </c>
      <c r="Q83" s="337"/>
      <c r="R83" s="338"/>
      <c r="T83" s="117" t="str">
        <f t="shared" ca="1" si="19"/>
        <v/>
      </c>
      <c r="U83" s="163" t="str">
        <f t="shared" ca="1" si="20"/>
        <v/>
      </c>
      <c r="V83" s="164" t="str" cm="1">
        <f t="array" aca="1" ref="V83" ca="1">IF(AND($W83&gt;0,RegimeExecucao="Unitário"),$F83,"")</f>
        <v/>
      </c>
      <c r="W83" s="454" cm="1">
        <f t="array" aca="1" ref="W83" ca="1">IF($Y83&gt;0,CHOOSE(MATCH(RegimeExecucao,{"Unitário","Global"},0),IF($A83="S",$Y83/$X83,""),($Y83/$X83)*100),0)</f>
        <v>0</v>
      </c>
      <c r="X83" s="339" t="str" cm="1">
        <f t="array" aca="1" ref="X83" ca="1">IF($Y83&gt;0,CHOOSE(MATCH(RegimeExecucao,{"Unitário","Global"},0),IF($A83="S",ROUND($H83,ORÇAMENTO!$AF$10),""),ROUND($I83,ORÇAMENTO!$AF$11)),"")</f>
        <v/>
      </c>
      <c r="Y83" s="339">
        <f t="shared" ca="1" si="21"/>
        <v>0</v>
      </c>
      <c r="Z83" s="473"/>
      <c r="AB83" s="337"/>
      <c r="AC83" s="437"/>
      <c r="AD83" s="437"/>
      <c r="AE83" s="437"/>
      <c r="AF83" s="437"/>
      <c r="AG83" s="437"/>
      <c r="AH83" s="437"/>
      <c r="AI83" s="437"/>
      <c r="AJ83" s="437"/>
      <c r="AK83" s="437"/>
      <c r="AL83" s="437"/>
      <c r="AM83" s="338"/>
      <c r="AO83" cm="1">
        <f t="array" aca="1" ref="AO83" ca="1">IF($A83="S",IF(BM!$I83=0,0,CHOOSE(MATCH(RegimeExecucao,{"Global","Unitário"},0),ROUND(ROUND(BM.MEDAcumulado,15-13*BM!$A$9)/100*BM!$I83,15-13*ORÇAMENTO!$AF$11),ROUND(ROUND(BM.MEDAcumulado,15-13*BM!$A$9)*ROUND(BM!$H83,15-13*ORÇAMENTO!$AF$10),15-13*ORÇAMENTO!$AF$11))),IF($A83=0,0,ROUND(SomaAgrupBM,15-13*ORÇAMENTO!$AF$11)))</f>
        <v>0</v>
      </c>
    </row>
    <row r="84" spans="1:41" ht="89.25" x14ac:dyDescent="0.2">
      <c r="A84" t="str">
        <f ca="1">ORÇAMENTO!C84</f>
        <v>S</v>
      </c>
      <c r="B84">
        <f ca="1">ORÇAMENTO!D84</f>
        <v>0</v>
      </c>
      <c r="C84" s="114" t="str">
        <f t="shared" ca="1" si="15"/>
        <v>F</v>
      </c>
      <c r="D84" s="117" t="str">
        <f ca="1">ORÇAMENTO!O84</f>
        <v>1.7.2.1.</v>
      </c>
      <c r="E84" s="163" t="str">
        <f t="shared" ca="1" si="16"/>
        <v>(Código não identificado nas referências)</v>
      </c>
      <c r="F84" s="164" t="str" cm="1">
        <f t="array" aca="1" ref="F84" ca="1">IF(RegimeExecucao="Global","",ORÇAMENTO.Unidade)</f>
        <v/>
      </c>
      <c r="G84" s="122" t="str" cm="1">
        <f t="array" aca="1" ref="G84" ca="1">IF(RegimeExecucao="Global","",ORÇAMENTO!T84)</f>
        <v/>
      </c>
      <c r="H84" s="122" t="str" cm="1">
        <f t="array" aca="1" ref="H84" ca="1">IF(RegimeExecucao="Global","",ORÇAMENTO!W84)</f>
        <v/>
      </c>
      <c r="I84" s="125">
        <f ca="1">ORÇAMENTO!X84</f>
        <v>288388.8</v>
      </c>
      <c r="J84" s="333" cm="1">
        <f t="array" aca="1" ref="J84" ca="1">IF($A84="S",IF(CAIXA.Modo,BM.AFAnterior,BM.MEDAnterior),IF(AND(RegimeExecucao="Global",$I84&gt;0,COUNTIF($AB$13:$AM$13,BM.medicao-1)&gt;0),M84/$I84*100,0))</f>
        <v>0</v>
      </c>
      <c r="K84" s="122">
        <f t="shared" ca="1" si="17"/>
        <v>0</v>
      </c>
      <c r="L84" s="334" cm="1">
        <f t="array" aca="1" ref="L84" ca="1">IF($A84="S",IF(CAIXA.Modo,BM.AFAcumulado,BM.MEDAcumulado),IF(AND(RegimeExecucao="Global",$I84&gt;0,COUNTIF($AB$13:$AM$13,BM.medicao)&gt;0),O84/$I84*100,0))</f>
        <v>0</v>
      </c>
      <c r="M84" s="335" cm="1">
        <f t="array" aca="1" ref="M84" ca="1">IF($A84="S",VTOTALBM,IF($A84=0,0,ROUND(SomaAgrupBM,15-13*ORÇAMENTO!$AF$11)))</f>
        <v>0</v>
      </c>
      <c r="N84" s="336">
        <f t="shared" ca="1" si="18"/>
        <v>0</v>
      </c>
      <c r="O84" s="125" cm="1">
        <f t="array" aca="1" ref="O84" ca="1">IF($A84="S",VTOTALBM,IF($A84=0,0,ROUND(SomaAgrupBM,15-13*ORÇAMENTO!$AF$11)))</f>
        <v>0</v>
      </c>
      <c r="Q84" s="337"/>
      <c r="R84" s="338"/>
      <c r="T84" s="117" t="str">
        <f t="shared" ca="1" si="19"/>
        <v/>
      </c>
      <c r="U84" s="163" t="str">
        <f t="shared" ca="1" si="20"/>
        <v/>
      </c>
      <c r="V84" s="164" t="str" cm="1">
        <f t="array" aca="1" ref="V84" ca="1">IF(AND($W84&gt;0,RegimeExecucao="Unitário"),$F84,"")</f>
        <v/>
      </c>
      <c r="W84" s="454" cm="1">
        <f t="array" aca="1" ref="W84" ca="1">IF($Y84&gt;0,CHOOSE(MATCH(RegimeExecucao,{"Unitário","Global"},0),IF($A84="S",$Y84/$X84,""),($Y84/$X84)*100),0)</f>
        <v>0</v>
      </c>
      <c r="X84" s="339" t="str" cm="1">
        <f t="array" aca="1" ref="X84" ca="1">IF($Y84&gt;0,CHOOSE(MATCH(RegimeExecucao,{"Unitário","Global"},0),IF($A84="S",ROUND($H84,ORÇAMENTO!$AF$10),""),ROUND($I84,ORÇAMENTO!$AF$11)),"")</f>
        <v/>
      </c>
      <c r="Y84" s="339">
        <f t="shared" ca="1" si="21"/>
        <v>0</v>
      </c>
      <c r="Z84" s="473"/>
      <c r="AB84" s="337"/>
      <c r="AC84" s="437"/>
      <c r="AD84" s="437"/>
      <c r="AE84" s="437"/>
      <c r="AF84" s="437"/>
      <c r="AG84" s="437"/>
      <c r="AH84" s="437"/>
      <c r="AI84" s="437"/>
      <c r="AJ84" s="437"/>
      <c r="AK84" s="437"/>
      <c r="AL84" s="437"/>
      <c r="AM84" s="338"/>
      <c r="AO84" cm="1">
        <f t="array" aca="1" ref="AO84" ca="1">IF($A84="S",IF(BM!$I84=0,0,CHOOSE(MATCH(RegimeExecucao,{"Global","Unitário"},0),ROUND(ROUND(BM.MEDAcumulado,15-13*BM!$A$9)/100*BM!$I84,15-13*ORÇAMENTO!$AF$11),ROUND(ROUND(BM.MEDAcumulado,15-13*BM!$A$9)*ROUND(BM!$H84,15-13*ORÇAMENTO!$AF$10),15-13*ORÇAMENTO!$AF$11))),IF($A84=0,0,ROUND(SomaAgrupBM,15-13*ORÇAMENTO!$AF$11)))</f>
        <v>0</v>
      </c>
    </row>
    <row r="85" spans="1:41" x14ac:dyDescent="0.2">
      <c r="A85">
        <f ca="1">ORÇAMENTO!C85</f>
        <v>2</v>
      </c>
      <c r="B85">
        <f ca="1">ORÇAMENTO!D85</f>
        <v>2</v>
      </c>
      <c r="C85" s="114" t="str">
        <f t="shared" ca="1" si="15"/>
        <v>F</v>
      </c>
      <c r="D85" s="117" t="str">
        <f ca="1">ORÇAMENTO!O85</f>
        <v>1.8.</v>
      </c>
      <c r="E85" s="163" t="str">
        <f t="shared" ca="1" si="16"/>
        <v>SUBESTAÇÃO</v>
      </c>
      <c r="F85" s="164" t="str" cm="1">
        <f t="array" aca="1" ref="F85" ca="1">IF(RegimeExecucao="Global","",ORÇAMENTO.Unidade)</f>
        <v/>
      </c>
      <c r="G85" s="122" t="str" cm="1">
        <f t="array" aca="1" ref="G85" ca="1">IF(RegimeExecucao="Global","",ORÇAMENTO!T85)</f>
        <v/>
      </c>
      <c r="H85" s="122" t="str" cm="1">
        <f t="array" aca="1" ref="H85" ca="1">IF(RegimeExecucao="Global","",ORÇAMENTO!W85)</f>
        <v/>
      </c>
      <c r="I85" s="125">
        <f ca="1">ORÇAMENTO!X85</f>
        <v>498152.45</v>
      </c>
      <c r="J85" s="333" cm="1">
        <f t="array" aca="1" ref="J85" ca="1">IF($A85="S",IF(CAIXA.Modo,BM.AFAnterior,BM.MEDAnterior),IF(AND(RegimeExecucao="Global",$I85&gt;0,COUNTIF($AB$13:$AM$13,BM.medicao-1)&gt;0),M85/$I85*100,0))</f>
        <v>0</v>
      </c>
      <c r="K85" s="122">
        <f t="shared" ca="1" si="17"/>
        <v>0</v>
      </c>
      <c r="L85" s="334" cm="1">
        <f t="array" aca="1" ref="L85" ca="1">IF($A85="S",IF(CAIXA.Modo,BM.AFAcumulado,BM.MEDAcumulado),IF(AND(RegimeExecucao="Global",$I85&gt;0,COUNTIF($AB$13:$AM$13,BM.medicao)&gt;0),O85/$I85*100,0))</f>
        <v>0</v>
      </c>
      <c r="M85" s="335" cm="1">
        <f t="array" aca="1" ref="M85" ca="1">IF($A85="S",VTOTALBM,IF($A85=0,0,ROUND(SomaAgrupBM,15-13*ORÇAMENTO!$AF$11)))</f>
        <v>0</v>
      </c>
      <c r="N85" s="336">
        <f t="shared" ca="1" si="18"/>
        <v>0</v>
      </c>
      <c r="O85" s="125" cm="1">
        <f t="array" aca="1" ref="O85" ca="1">IF($A85="S",VTOTALBM,IF($A85=0,0,ROUND(SomaAgrupBM,15-13*ORÇAMENTO!$AF$11)))</f>
        <v>0</v>
      </c>
      <c r="Q85" s="337"/>
      <c r="R85" s="338"/>
      <c r="T85" s="117" t="str">
        <f t="shared" ca="1" si="19"/>
        <v/>
      </c>
      <c r="U85" s="163" t="str">
        <f t="shared" ca="1" si="20"/>
        <v/>
      </c>
      <c r="V85" s="164" t="str" cm="1">
        <f t="array" aca="1" ref="V85" ca="1">IF(AND($W85&gt;0,RegimeExecucao="Unitário"),$F85,"")</f>
        <v/>
      </c>
      <c r="W85" s="454" cm="1">
        <f t="array" aca="1" ref="W85" ca="1">IF($Y85&gt;0,CHOOSE(MATCH(RegimeExecucao,{"Unitário","Global"},0),IF($A85="S",$Y85/$X85,""),($Y85/$X85)*100),0)</f>
        <v>0</v>
      </c>
      <c r="X85" s="339" t="str" cm="1">
        <f t="array" aca="1" ref="X85" ca="1">IF($Y85&gt;0,CHOOSE(MATCH(RegimeExecucao,{"Unitário","Global"},0),IF($A85="S",ROUND($H85,ORÇAMENTO!$AF$10),""),ROUND($I85,ORÇAMENTO!$AF$11)),"")</f>
        <v/>
      </c>
      <c r="Y85" s="339">
        <f t="shared" ca="1" si="21"/>
        <v>0</v>
      </c>
      <c r="Z85" s="473"/>
      <c r="AB85" s="337"/>
      <c r="AC85" s="437"/>
      <c r="AD85" s="437"/>
      <c r="AE85" s="437"/>
      <c r="AF85" s="437"/>
      <c r="AG85" s="437"/>
      <c r="AH85" s="437"/>
      <c r="AI85" s="437"/>
      <c r="AJ85" s="437"/>
      <c r="AK85" s="437"/>
      <c r="AL85" s="437"/>
      <c r="AM85" s="338"/>
      <c r="AO85" cm="1">
        <f t="array" aca="1" ref="AO85" ca="1">IF($A85="S",IF(BM!$I85=0,0,CHOOSE(MATCH(RegimeExecucao,{"Global","Unitário"},0),ROUND(ROUND(BM.MEDAcumulado,15-13*BM!$A$9)/100*BM!$I85,15-13*ORÇAMENTO!$AF$11),ROUND(ROUND(BM.MEDAcumulado,15-13*BM!$A$9)*ROUND(BM!$H85,15-13*ORÇAMENTO!$AF$10),15-13*ORÇAMENTO!$AF$11))),IF($A85=0,0,ROUND(SomaAgrupBM,15-13*ORÇAMENTO!$AF$11)))</f>
        <v>0</v>
      </c>
    </row>
    <row r="86" spans="1:41" ht="102" x14ac:dyDescent="0.2">
      <c r="A86" t="str">
        <f ca="1">ORÇAMENTO!C86</f>
        <v>S</v>
      </c>
      <c r="B86">
        <f ca="1">ORÇAMENTO!D86</f>
        <v>0</v>
      </c>
      <c r="C86" s="114" t="str">
        <f t="shared" ca="1" si="15"/>
        <v>F</v>
      </c>
      <c r="D86" s="117" t="str">
        <f ca="1">ORÇAMENTO!O86</f>
        <v>1.8.0.1.</v>
      </c>
      <c r="E86" s="163" t="str">
        <f t="shared" ca="1" si="16"/>
        <v>(Código não identificado nas referências)</v>
      </c>
      <c r="F86" s="164" t="str" cm="1">
        <f t="array" aca="1" ref="F86" ca="1">IF(RegimeExecucao="Global","",ORÇAMENTO.Unidade)</f>
        <v/>
      </c>
      <c r="G86" s="122" t="str" cm="1">
        <f t="array" aca="1" ref="G86" ca="1">IF(RegimeExecucao="Global","",ORÇAMENTO!T86)</f>
        <v/>
      </c>
      <c r="H86" s="122" t="str" cm="1">
        <f t="array" aca="1" ref="H86" ca="1">IF(RegimeExecucao="Global","",ORÇAMENTO!W86)</f>
        <v/>
      </c>
      <c r="I86" s="125">
        <f ca="1">ORÇAMENTO!X86</f>
        <v>498152.45</v>
      </c>
      <c r="J86" s="333" cm="1">
        <f t="array" aca="1" ref="J86" ca="1">IF($A86="S",IF(CAIXA.Modo,BM.AFAnterior,BM.MEDAnterior),IF(AND(RegimeExecucao="Global",$I86&gt;0,COUNTIF($AB$13:$AM$13,BM.medicao-1)&gt;0),M86/$I86*100,0))</f>
        <v>0</v>
      </c>
      <c r="K86" s="122">
        <f t="shared" ca="1" si="17"/>
        <v>0</v>
      </c>
      <c r="L86" s="334" cm="1">
        <f t="array" aca="1" ref="L86" ca="1">IF($A86="S",IF(CAIXA.Modo,BM.AFAcumulado,BM.MEDAcumulado),IF(AND(RegimeExecucao="Global",$I86&gt;0,COUNTIF($AB$13:$AM$13,BM.medicao)&gt;0),O86/$I86*100,0))</f>
        <v>0</v>
      </c>
      <c r="M86" s="335" cm="1">
        <f t="array" aca="1" ref="M86" ca="1">IF($A86="S",VTOTALBM,IF($A86=0,0,ROUND(SomaAgrupBM,15-13*ORÇAMENTO!$AF$11)))</f>
        <v>0</v>
      </c>
      <c r="N86" s="336">
        <f t="shared" ca="1" si="18"/>
        <v>0</v>
      </c>
      <c r="O86" s="125" cm="1">
        <f t="array" aca="1" ref="O86" ca="1">IF($A86="S",VTOTALBM,IF($A86=0,0,ROUND(SomaAgrupBM,15-13*ORÇAMENTO!$AF$11)))</f>
        <v>0</v>
      </c>
      <c r="Q86" s="337"/>
      <c r="R86" s="338"/>
      <c r="T86" s="117" t="str">
        <f t="shared" ca="1" si="19"/>
        <v/>
      </c>
      <c r="U86" s="163" t="str">
        <f t="shared" ca="1" si="20"/>
        <v/>
      </c>
      <c r="V86" s="164" t="str" cm="1">
        <f t="array" aca="1" ref="V86" ca="1">IF(AND($W86&gt;0,RegimeExecucao="Unitário"),$F86,"")</f>
        <v/>
      </c>
      <c r="W86" s="454" cm="1">
        <f t="array" aca="1" ref="W86" ca="1">IF($Y86&gt;0,CHOOSE(MATCH(RegimeExecucao,{"Unitário","Global"},0),IF($A86="S",$Y86/$X86,""),($Y86/$X86)*100),0)</f>
        <v>0</v>
      </c>
      <c r="X86" s="339" t="str" cm="1">
        <f t="array" aca="1" ref="X86" ca="1">IF($Y86&gt;0,CHOOSE(MATCH(RegimeExecucao,{"Unitário","Global"},0),IF($A86="S",ROUND($H86,ORÇAMENTO!$AF$10),""),ROUND($I86,ORÇAMENTO!$AF$11)),"")</f>
        <v/>
      </c>
      <c r="Y86" s="339">
        <f t="shared" ca="1" si="21"/>
        <v>0</v>
      </c>
      <c r="Z86" s="473"/>
      <c r="AB86" s="337"/>
      <c r="AC86" s="437"/>
      <c r="AD86" s="437"/>
      <c r="AE86" s="437"/>
      <c r="AF86" s="437"/>
      <c r="AG86" s="437"/>
      <c r="AH86" s="437"/>
      <c r="AI86" s="437"/>
      <c r="AJ86" s="437"/>
      <c r="AK86" s="437"/>
      <c r="AL86" s="437"/>
      <c r="AM86" s="338"/>
      <c r="AO86" cm="1">
        <f t="array" aca="1" ref="AO86" ca="1">IF($A86="S",IF(BM!$I86=0,0,CHOOSE(MATCH(RegimeExecucao,{"Global","Unitário"},0),ROUND(ROUND(BM.MEDAcumulado,15-13*BM!$A$9)/100*BM!$I86,15-13*ORÇAMENTO!$AF$11),ROUND(ROUND(BM.MEDAcumulado,15-13*BM!$A$9)*ROUND(BM!$H86,15-13*ORÇAMENTO!$AF$10),15-13*ORÇAMENTO!$AF$11))),IF($A86=0,0,ROUND(SomaAgrupBM,15-13*ORÇAMENTO!$AF$11)))</f>
        <v>0</v>
      </c>
    </row>
    <row r="87" spans="1:41" x14ac:dyDescent="0.2">
      <c r="A87">
        <f ca="1">ORÇAMENTO!C87</f>
        <v>2</v>
      </c>
      <c r="B87">
        <f ca="1">ORÇAMENTO!D87</f>
        <v>2</v>
      </c>
      <c r="C87" s="114" t="str">
        <f t="shared" ca="1" si="15"/>
        <v>F</v>
      </c>
      <c r="D87" s="117" t="str">
        <f ca="1">ORÇAMENTO!O87</f>
        <v>1.9.</v>
      </c>
      <c r="E87" s="163" t="str">
        <f t="shared" ca="1" si="16"/>
        <v>POÇO</v>
      </c>
      <c r="F87" s="164" t="str" cm="1">
        <f t="array" aca="1" ref="F87" ca="1">IF(RegimeExecucao="Global","",ORÇAMENTO.Unidade)</f>
        <v/>
      </c>
      <c r="G87" s="122" t="str" cm="1">
        <f t="array" aca="1" ref="G87" ca="1">IF(RegimeExecucao="Global","",ORÇAMENTO!T87)</f>
        <v/>
      </c>
      <c r="H87" s="122" t="str" cm="1">
        <f t="array" aca="1" ref="H87" ca="1">IF(RegimeExecucao="Global","",ORÇAMENTO!W87)</f>
        <v/>
      </c>
      <c r="I87" s="125">
        <f ca="1">ORÇAMENTO!X87</f>
        <v>54398</v>
      </c>
      <c r="J87" s="333" cm="1">
        <f t="array" aca="1" ref="J87" ca="1">IF($A87="S",IF(CAIXA.Modo,BM.AFAnterior,BM.MEDAnterior),IF(AND(RegimeExecucao="Global",$I87&gt;0,COUNTIF($AB$13:$AM$13,BM.medicao-1)&gt;0),M87/$I87*100,0))</f>
        <v>0</v>
      </c>
      <c r="K87" s="122">
        <f t="shared" ca="1" si="17"/>
        <v>0</v>
      </c>
      <c r="L87" s="334" cm="1">
        <f t="array" aca="1" ref="L87" ca="1">IF($A87="S",IF(CAIXA.Modo,BM.AFAcumulado,BM.MEDAcumulado),IF(AND(RegimeExecucao="Global",$I87&gt;0,COUNTIF($AB$13:$AM$13,BM.medicao)&gt;0),O87/$I87*100,0))</f>
        <v>0</v>
      </c>
      <c r="M87" s="335" cm="1">
        <f t="array" aca="1" ref="M87" ca="1">IF($A87="S",VTOTALBM,IF($A87=0,0,ROUND(SomaAgrupBM,15-13*ORÇAMENTO!$AF$11)))</f>
        <v>0</v>
      </c>
      <c r="N87" s="336">
        <f t="shared" ca="1" si="18"/>
        <v>0</v>
      </c>
      <c r="O87" s="125" cm="1">
        <f t="array" aca="1" ref="O87" ca="1">IF($A87="S",VTOTALBM,IF($A87=0,0,ROUND(SomaAgrupBM,15-13*ORÇAMENTO!$AF$11)))</f>
        <v>0</v>
      </c>
      <c r="Q87" s="337"/>
      <c r="R87" s="338"/>
      <c r="T87" s="117" t="str">
        <f t="shared" ca="1" si="19"/>
        <v/>
      </c>
      <c r="U87" s="163" t="str">
        <f t="shared" ca="1" si="20"/>
        <v/>
      </c>
      <c r="V87" s="164" t="str" cm="1">
        <f t="array" aca="1" ref="V87" ca="1">IF(AND($W87&gt;0,RegimeExecucao="Unitário"),$F87,"")</f>
        <v/>
      </c>
      <c r="W87" s="454" cm="1">
        <f t="array" aca="1" ref="W87" ca="1">IF($Y87&gt;0,CHOOSE(MATCH(RegimeExecucao,{"Unitário","Global"},0),IF($A87="S",$Y87/$X87,""),($Y87/$X87)*100),0)</f>
        <v>0</v>
      </c>
      <c r="X87" s="339" t="str" cm="1">
        <f t="array" aca="1" ref="X87" ca="1">IF($Y87&gt;0,CHOOSE(MATCH(RegimeExecucao,{"Unitário","Global"},0),IF($A87="S",ROUND($H87,ORÇAMENTO!$AF$10),""),ROUND($I87,ORÇAMENTO!$AF$11)),"")</f>
        <v/>
      </c>
      <c r="Y87" s="339">
        <f t="shared" ca="1" si="21"/>
        <v>0</v>
      </c>
      <c r="Z87" s="473"/>
      <c r="AB87" s="337"/>
      <c r="AC87" s="437"/>
      <c r="AD87" s="437"/>
      <c r="AE87" s="437"/>
      <c r="AF87" s="437"/>
      <c r="AG87" s="437"/>
      <c r="AH87" s="437"/>
      <c r="AI87" s="437"/>
      <c r="AJ87" s="437"/>
      <c r="AK87" s="437"/>
      <c r="AL87" s="437"/>
      <c r="AM87" s="338"/>
      <c r="AO87" cm="1">
        <f t="array" aca="1" ref="AO87" ca="1">IF($A87="S",IF(BM!$I87=0,0,CHOOSE(MATCH(RegimeExecucao,{"Global","Unitário"},0),ROUND(ROUND(BM.MEDAcumulado,15-13*BM!$A$9)/100*BM!$I87,15-13*ORÇAMENTO!$AF$11),ROUND(ROUND(BM.MEDAcumulado,15-13*BM!$A$9)*ROUND(BM!$H87,15-13*ORÇAMENTO!$AF$10),15-13*ORÇAMENTO!$AF$11))),IF($A87=0,0,ROUND(SomaAgrupBM,15-13*ORÇAMENTO!$AF$11)))</f>
        <v>0</v>
      </c>
    </row>
    <row r="88" spans="1:41" ht="38.25" x14ac:dyDescent="0.2">
      <c r="A88" t="str">
        <f ca="1">ORÇAMENTO!C88</f>
        <v>S</v>
      </c>
      <c r="B88">
        <f ca="1">ORÇAMENTO!D88</f>
        <v>0</v>
      </c>
      <c r="C88" s="114" t="str">
        <f t="shared" ca="1" si="15"/>
        <v>F</v>
      </c>
      <c r="D88" s="117" t="str">
        <f ca="1">ORÇAMENTO!O88</f>
        <v>1.9.0.1.</v>
      </c>
      <c r="E88" s="163" t="str">
        <f t="shared" ca="1" si="16"/>
        <v>(Código não identificado nas referências)</v>
      </c>
      <c r="F88" s="164" t="str" cm="1">
        <f t="array" aca="1" ref="F88" ca="1">IF(RegimeExecucao="Global","",ORÇAMENTO.Unidade)</f>
        <v/>
      </c>
      <c r="G88" s="122" t="str" cm="1">
        <f t="array" aca="1" ref="G88" ca="1">IF(RegimeExecucao="Global","",ORÇAMENTO!T88)</f>
        <v/>
      </c>
      <c r="H88" s="122" t="str" cm="1">
        <f t="array" aca="1" ref="H88" ca="1">IF(RegimeExecucao="Global","",ORÇAMENTO!W88)</f>
        <v/>
      </c>
      <c r="I88" s="125">
        <f ca="1">ORÇAMENTO!X88</f>
        <v>54398</v>
      </c>
      <c r="J88" s="333" cm="1">
        <f t="array" aca="1" ref="J88" ca="1">IF($A88="S",IF(CAIXA.Modo,BM.AFAnterior,BM.MEDAnterior),IF(AND(RegimeExecucao="Global",$I88&gt;0,COUNTIF($AB$13:$AM$13,BM.medicao-1)&gt;0),M88/$I88*100,0))</f>
        <v>0</v>
      </c>
      <c r="K88" s="122">
        <f t="shared" ca="1" si="17"/>
        <v>0</v>
      </c>
      <c r="L88" s="334" cm="1">
        <f t="array" aca="1" ref="L88" ca="1">IF($A88="S",IF(CAIXA.Modo,BM.AFAcumulado,BM.MEDAcumulado),IF(AND(RegimeExecucao="Global",$I88&gt;0,COUNTIF($AB$13:$AM$13,BM.medicao)&gt;0),O88/$I88*100,0))</f>
        <v>0</v>
      </c>
      <c r="M88" s="335" cm="1">
        <f t="array" aca="1" ref="M88" ca="1">IF($A88="S",VTOTALBM,IF($A88=0,0,ROUND(SomaAgrupBM,15-13*ORÇAMENTO!$AF$11)))</f>
        <v>0</v>
      </c>
      <c r="N88" s="336">
        <f t="shared" ca="1" si="18"/>
        <v>0</v>
      </c>
      <c r="O88" s="125" cm="1">
        <f t="array" aca="1" ref="O88" ca="1">IF($A88="S",VTOTALBM,IF($A88=0,0,ROUND(SomaAgrupBM,15-13*ORÇAMENTO!$AF$11)))</f>
        <v>0</v>
      </c>
      <c r="Q88" s="337"/>
      <c r="R88" s="338"/>
      <c r="T88" s="117" t="str">
        <f t="shared" ca="1" si="19"/>
        <v/>
      </c>
      <c r="U88" s="163" t="str">
        <f t="shared" ca="1" si="20"/>
        <v/>
      </c>
      <c r="V88" s="164" t="str" cm="1">
        <f t="array" aca="1" ref="V88" ca="1">IF(AND($W88&gt;0,RegimeExecucao="Unitário"),$F88,"")</f>
        <v/>
      </c>
      <c r="W88" s="454" cm="1">
        <f t="array" aca="1" ref="W88" ca="1">IF($Y88&gt;0,CHOOSE(MATCH(RegimeExecucao,{"Unitário","Global"},0),IF($A88="S",$Y88/$X88,""),($Y88/$X88)*100),0)</f>
        <v>0</v>
      </c>
      <c r="X88" s="339" t="str" cm="1">
        <f t="array" aca="1" ref="X88" ca="1">IF($Y88&gt;0,CHOOSE(MATCH(RegimeExecucao,{"Unitário","Global"},0),IF($A88="S",ROUND($H88,ORÇAMENTO!$AF$10),""),ROUND($I88,ORÇAMENTO!$AF$11)),"")</f>
        <v/>
      </c>
      <c r="Y88" s="339">
        <f t="shared" ca="1" si="21"/>
        <v>0</v>
      </c>
      <c r="Z88" s="473"/>
      <c r="AB88" s="337"/>
      <c r="AC88" s="437"/>
      <c r="AD88" s="437"/>
      <c r="AE88" s="437"/>
      <c r="AF88" s="437"/>
      <c r="AG88" s="437"/>
      <c r="AH88" s="437"/>
      <c r="AI88" s="437"/>
      <c r="AJ88" s="437"/>
      <c r="AK88" s="437"/>
      <c r="AL88" s="437"/>
      <c r="AM88" s="338"/>
      <c r="AO88" cm="1">
        <f t="array" aca="1" ref="AO88" ca="1">IF($A88="S",IF(BM!$I88=0,0,CHOOSE(MATCH(RegimeExecucao,{"Global","Unitário"},0),ROUND(ROUND(BM.MEDAcumulado,15-13*BM!$A$9)/100*BM!$I88,15-13*ORÇAMENTO!$AF$11),ROUND(ROUND(BM.MEDAcumulado,15-13*BM!$A$9)*ROUND(BM!$H88,15-13*ORÇAMENTO!$AF$10),15-13*ORÇAMENTO!$AF$11))),IF($A88=0,0,ROUND(SomaAgrupBM,15-13*ORÇAMENTO!$AF$11)))</f>
        <v>0</v>
      </c>
    </row>
    <row r="89" spans="1:41" x14ac:dyDescent="0.2">
      <c r="A89">
        <f ca="1">ORÇAMENTO!C89</f>
        <v>2</v>
      </c>
      <c r="B89">
        <f ca="1">ORÇAMENTO!D89</f>
        <v>4</v>
      </c>
      <c r="C89" s="114" t="str">
        <f t="shared" ca="1" si="15"/>
        <v>F</v>
      </c>
      <c r="D89" s="117" t="str">
        <f ca="1">ORÇAMENTO!O89</f>
        <v>1.10.</v>
      </c>
      <c r="E89" s="163" t="str">
        <f t="shared" ca="1" si="16"/>
        <v>REDE ELÉTRICA (EXTENSÃO)</v>
      </c>
      <c r="F89" s="164" t="str" cm="1">
        <f t="array" aca="1" ref="F89" ca="1">IF(RegimeExecucao="Global","",ORÇAMENTO.Unidade)</f>
        <v/>
      </c>
      <c r="G89" s="122" t="str" cm="1">
        <f t="array" aca="1" ref="G89" ca="1">IF(RegimeExecucao="Global","",ORÇAMENTO!T89)</f>
        <v/>
      </c>
      <c r="H89" s="122" t="str" cm="1">
        <f t="array" aca="1" ref="H89" ca="1">IF(RegimeExecucao="Global","",ORÇAMENTO!W89)</f>
        <v/>
      </c>
      <c r="I89" s="125">
        <f ca="1">ORÇAMENTO!X89</f>
        <v>247175.94</v>
      </c>
      <c r="J89" s="333" cm="1">
        <f t="array" aca="1" ref="J89" ca="1">IF($A89="S",IF(CAIXA.Modo,BM.AFAnterior,BM.MEDAnterior),IF(AND(RegimeExecucao="Global",$I89&gt;0,COUNTIF($AB$13:$AM$13,BM.medicao-1)&gt;0),M89/$I89*100,0))</f>
        <v>0</v>
      </c>
      <c r="K89" s="122">
        <f t="shared" ca="1" si="17"/>
        <v>0</v>
      </c>
      <c r="L89" s="334" cm="1">
        <f t="array" aca="1" ref="L89" ca="1">IF($A89="S",IF(CAIXA.Modo,BM.AFAcumulado,BM.MEDAcumulado),IF(AND(RegimeExecucao="Global",$I89&gt;0,COUNTIF($AB$13:$AM$13,BM.medicao)&gt;0),O89/$I89*100,0))</f>
        <v>0</v>
      </c>
      <c r="M89" s="335" cm="1">
        <f t="array" aca="1" ref="M89" ca="1">IF($A89="S",VTOTALBM,IF($A89=0,0,ROUND(SomaAgrupBM,15-13*ORÇAMENTO!$AF$11)))</f>
        <v>0</v>
      </c>
      <c r="N89" s="336">
        <f t="shared" ca="1" si="18"/>
        <v>0</v>
      </c>
      <c r="O89" s="125" cm="1">
        <f t="array" aca="1" ref="O89" ca="1">IF($A89="S",VTOTALBM,IF($A89=0,0,ROUND(SomaAgrupBM,15-13*ORÇAMENTO!$AF$11)))</f>
        <v>0</v>
      </c>
      <c r="Q89" s="337"/>
      <c r="R89" s="338"/>
      <c r="T89" s="117" t="str">
        <f t="shared" ca="1" si="19"/>
        <v/>
      </c>
      <c r="U89" s="163" t="str">
        <f t="shared" ca="1" si="20"/>
        <v/>
      </c>
      <c r="V89" s="164" t="str" cm="1">
        <f t="array" aca="1" ref="V89" ca="1">IF(AND($W89&gt;0,RegimeExecucao="Unitário"),$F89,"")</f>
        <v/>
      </c>
      <c r="W89" s="454" cm="1">
        <f t="array" aca="1" ref="W89" ca="1">IF($Y89&gt;0,CHOOSE(MATCH(RegimeExecucao,{"Unitário","Global"},0),IF($A89="S",$Y89/$X89,""),($Y89/$X89)*100),0)</f>
        <v>0</v>
      </c>
      <c r="X89" s="339" t="str" cm="1">
        <f t="array" aca="1" ref="X89" ca="1">IF($Y89&gt;0,CHOOSE(MATCH(RegimeExecucao,{"Unitário","Global"},0),IF($A89="S",ROUND($H89,ORÇAMENTO!$AF$10),""),ROUND($I89,ORÇAMENTO!$AF$11)),"")</f>
        <v/>
      </c>
      <c r="Y89" s="339">
        <f t="shared" ca="1" si="21"/>
        <v>0</v>
      </c>
      <c r="Z89" s="473"/>
      <c r="AB89" s="337"/>
      <c r="AC89" s="437"/>
      <c r="AD89" s="437"/>
      <c r="AE89" s="437"/>
      <c r="AF89" s="437"/>
      <c r="AG89" s="437"/>
      <c r="AH89" s="437"/>
      <c r="AI89" s="437"/>
      <c r="AJ89" s="437"/>
      <c r="AK89" s="437"/>
      <c r="AL89" s="437"/>
      <c r="AM89" s="338"/>
      <c r="AO89" cm="1">
        <f t="array" aca="1" ref="AO89" ca="1">IF($A89="S",IF(BM!$I89=0,0,CHOOSE(MATCH(RegimeExecucao,{"Global","Unitário"},0),ROUND(ROUND(BM.MEDAcumulado,15-13*BM!$A$9)/100*BM!$I89,15-13*ORÇAMENTO!$AF$11),ROUND(ROUND(BM.MEDAcumulado,15-13*BM!$A$9)*ROUND(BM!$H89,15-13*ORÇAMENTO!$AF$10),15-13*ORÇAMENTO!$AF$11))),IF($A89=0,0,ROUND(SomaAgrupBM,15-13*ORÇAMENTO!$AF$11)))</f>
        <v>0</v>
      </c>
    </row>
    <row r="90" spans="1:41" x14ac:dyDescent="0.2">
      <c r="A90" t="str">
        <f ca="1">ORÇAMENTO!C90</f>
        <v>S</v>
      </c>
      <c r="B90">
        <f ca="1">ORÇAMENTO!D90</f>
        <v>0</v>
      </c>
      <c r="C90" s="114" t="str">
        <f t="shared" ca="1" si="15"/>
        <v>F</v>
      </c>
      <c r="D90" s="117" t="str">
        <f ca="1">ORÇAMENTO!O90</f>
        <v>1.10.0.1.</v>
      </c>
      <c r="E90" s="163" t="str">
        <f t="shared" ca="1" si="16"/>
        <v>(Código não identificado nas referências)</v>
      </c>
      <c r="F90" s="164" t="str" cm="1">
        <f t="array" aca="1" ref="F90" ca="1">IF(RegimeExecucao="Global","",ORÇAMENTO.Unidade)</f>
        <v/>
      </c>
      <c r="G90" s="122" t="str" cm="1">
        <f t="array" aca="1" ref="G90" ca="1">IF(RegimeExecucao="Global","",ORÇAMENTO!T90)</f>
        <v/>
      </c>
      <c r="H90" s="122" t="str" cm="1">
        <f t="array" aca="1" ref="H90" ca="1">IF(RegimeExecucao="Global","",ORÇAMENTO!W90)</f>
        <v/>
      </c>
      <c r="I90" s="125">
        <f ca="1">ORÇAMENTO!X90</f>
        <v>85088.739999999991</v>
      </c>
      <c r="J90" s="333" cm="1">
        <f t="array" aca="1" ref="J90" ca="1">IF($A90="S",IF(CAIXA.Modo,BM.AFAnterior,BM.MEDAnterior),IF(AND(RegimeExecucao="Global",$I90&gt;0,COUNTIF($AB$13:$AM$13,BM.medicao-1)&gt;0),M90/$I90*100,0))</f>
        <v>0</v>
      </c>
      <c r="K90" s="122">
        <f t="shared" ca="1" si="17"/>
        <v>0</v>
      </c>
      <c r="L90" s="334" cm="1">
        <f t="array" aca="1" ref="L90" ca="1">IF($A90="S",IF(CAIXA.Modo,BM.AFAcumulado,BM.MEDAcumulado),IF(AND(RegimeExecucao="Global",$I90&gt;0,COUNTIF($AB$13:$AM$13,BM.medicao)&gt;0),O90/$I90*100,0))</f>
        <v>0</v>
      </c>
      <c r="M90" s="335" cm="1">
        <f t="array" aca="1" ref="M90" ca="1">IF($A90="S",VTOTALBM,IF($A90=0,0,ROUND(SomaAgrupBM,15-13*ORÇAMENTO!$AF$11)))</f>
        <v>0</v>
      </c>
      <c r="N90" s="336">
        <f t="shared" ca="1" si="18"/>
        <v>0</v>
      </c>
      <c r="O90" s="125" cm="1">
        <f t="array" aca="1" ref="O90" ca="1">IF($A90="S",VTOTALBM,IF($A90=0,0,ROUND(SomaAgrupBM,15-13*ORÇAMENTO!$AF$11)))</f>
        <v>0</v>
      </c>
      <c r="Q90" s="337"/>
      <c r="R90" s="338"/>
      <c r="T90" s="117" t="str">
        <f t="shared" ca="1" si="19"/>
        <v/>
      </c>
      <c r="U90" s="163" t="str">
        <f t="shared" ca="1" si="20"/>
        <v/>
      </c>
      <c r="V90" s="164" t="str" cm="1">
        <f t="array" aca="1" ref="V90" ca="1">IF(AND($W90&gt;0,RegimeExecucao="Unitário"),$F90,"")</f>
        <v/>
      </c>
      <c r="W90" s="454" cm="1">
        <f t="array" aca="1" ref="W90" ca="1">IF($Y90&gt;0,CHOOSE(MATCH(RegimeExecucao,{"Unitário","Global"},0),IF($A90="S",$Y90/$X90,""),($Y90/$X90)*100),0)</f>
        <v>0</v>
      </c>
      <c r="X90" s="339" t="str" cm="1">
        <f t="array" aca="1" ref="X90" ca="1">IF($Y90&gt;0,CHOOSE(MATCH(RegimeExecucao,{"Unitário","Global"},0),IF($A90="S",ROUND($H90,ORÇAMENTO!$AF$10),""),ROUND($I90,ORÇAMENTO!$AF$11)),"")</f>
        <v/>
      </c>
      <c r="Y90" s="339">
        <f t="shared" ca="1" si="21"/>
        <v>0</v>
      </c>
      <c r="Z90" s="473"/>
      <c r="AB90" s="337"/>
      <c r="AC90" s="437"/>
      <c r="AD90" s="437"/>
      <c r="AE90" s="437"/>
      <c r="AF90" s="437"/>
      <c r="AG90" s="437"/>
      <c r="AH90" s="437"/>
      <c r="AI90" s="437"/>
      <c r="AJ90" s="437"/>
      <c r="AK90" s="437"/>
      <c r="AL90" s="437"/>
      <c r="AM90" s="338"/>
      <c r="AO90" cm="1">
        <f t="array" aca="1" ref="AO90" ca="1">IF($A90="S",IF(BM!$I90=0,0,CHOOSE(MATCH(RegimeExecucao,{"Global","Unitário"},0),ROUND(ROUND(BM.MEDAcumulado,15-13*BM!$A$9)/100*BM!$I90,15-13*ORÇAMENTO!$AF$11),ROUND(ROUND(BM.MEDAcumulado,15-13*BM!$A$9)*ROUND(BM!$H90,15-13*ORÇAMENTO!$AF$10),15-13*ORÇAMENTO!$AF$11))),IF($A90=0,0,ROUND(SomaAgrupBM,15-13*ORÇAMENTO!$AF$11)))</f>
        <v>0</v>
      </c>
    </row>
    <row r="91" spans="1:41" ht="25.5" x14ac:dyDescent="0.2">
      <c r="A91" t="str">
        <f ca="1">ORÇAMENTO!C91</f>
        <v>S</v>
      </c>
      <c r="B91">
        <f ca="1">ORÇAMENTO!D91</f>
        <v>0</v>
      </c>
      <c r="C91" s="114" t="str">
        <f t="shared" ca="1" si="15"/>
        <v>F</v>
      </c>
      <c r="D91" s="117" t="str">
        <f ca="1">ORÇAMENTO!O91</f>
        <v>1.10.0.2.</v>
      </c>
      <c r="E91" s="163" t="str">
        <f t="shared" ca="1" si="16"/>
        <v>(Código não identificado nas referências)</v>
      </c>
      <c r="F91" s="164" t="str" cm="1">
        <f t="array" aca="1" ref="F91" ca="1">IF(RegimeExecucao="Global","",ORÇAMENTO.Unidade)</f>
        <v/>
      </c>
      <c r="G91" s="122" t="str" cm="1">
        <f t="array" aca="1" ref="G91" ca="1">IF(RegimeExecucao="Global","",ORÇAMENTO!T91)</f>
        <v/>
      </c>
      <c r="H91" s="122" t="str" cm="1">
        <f t="array" aca="1" ref="H91" ca="1">IF(RegimeExecucao="Global","",ORÇAMENTO!W91)</f>
        <v/>
      </c>
      <c r="I91" s="125">
        <f ca="1">ORÇAMENTO!X91</f>
        <v>123892.4</v>
      </c>
      <c r="J91" s="333" cm="1">
        <f t="array" aca="1" ref="J91" ca="1">IF($A91="S",IF(CAIXA.Modo,BM.AFAnterior,BM.MEDAnterior),IF(AND(RegimeExecucao="Global",$I91&gt;0,COUNTIF($AB$13:$AM$13,BM.medicao-1)&gt;0),M91/$I91*100,0))</f>
        <v>0</v>
      </c>
      <c r="K91" s="122">
        <f t="shared" ca="1" si="17"/>
        <v>0</v>
      </c>
      <c r="L91" s="334" cm="1">
        <f t="array" aca="1" ref="L91" ca="1">IF($A91="S",IF(CAIXA.Modo,BM.AFAcumulado,BM.MEDAcumulado),IF(AND(RegimeExecucao="Global",$I91&gt;0,COUNTIF($AB$13:$AM$13,BM.medicao)&gt;0),O91/$I91*100,0))</f>
        <v>0</v>
      </c>
      <c r="M91" s="335" cm="1">
        <f t="array" aca="1" ref="M91" ca="1">IF($A91="S",VTOTALBM,IF($A91=0,0,ROUND(SomaAgrupBM,15-13*ORÇAMENTO!$AF$11)))</f>
        <v>0</v>
      </c>
      <c r="N91" s="336">
        <f t="shared" ca="1" si="18"/>
        <v>0</v>
      </c>
      <c r="O91" s="125" cm="1">
        <f t="array" aca="1" ref="O91" ca="1">IF($A91="S",VTOTALBM,IF($A91=0,0,ROUND(SomaAgrupBM,15-13*ORÇAMENTO!$AF$11)))</f>
        <v>0</v>
      </c>
      <c r="Q91" s="337"/>
      <c r="R91" s="338"/>
      <c r="T91" s="117" t="str">
        <f t="shared" ca="1" si="19"/>
        <v/>
      </c>
      <c r="U91" s="163" t="str">
        <f t="shared" ca="1" si="20"/>
        <v/>
      </c>
      <c r="V91" s="164" t="str" cm="1">
        <f t="array" aca="1" ref="V91" ca="1">IF(AND($W91&gt;0,RegimeExecucao="Unitário"),$F91,"")</f>
        <v/>
      </c>
      <c r="W91" s="454" cm="1">
        <f t="array" aca="1" ref="W91" ca="1">IF($Y91&gt;0,CHOOSE(MATCH(RegimeExecucao,{"Unitário","Global"},0),IF($A91="S",$Y91/$X91,""),($Y91/$X91)*100),0)</f>
        <v>0</v>
      </c>
      <c r="X91" s="339" t="str" cm="1">
        <f t="array" aca="1" ref="X91" ca="1">IF($Y91&gt;0,CHOOSE(MATCH(RegimeExecucao,{"Unitário","Global"},0),IF($A91="S",ROUND($H91,ORÇAMENTO!$AF$10),""),ROUND($I91,ORÇAMENTO!$AF$11)),"")</f>
        <v/>
      </c>
      <c r="Y91" s="339">
        <f t="shared" ca="1" si="21"/>
        <v>0</v>
      </c>
      <c r="Z91" s="473"/>
      <c r="AB91" s="337"/>
      <c r="AC91" s="437"/>
      <c r="AD91" s="437"/>
      <c r="AE91" s="437"/>
      <c r="AF91" s="437"/>
      <c r="AG91" s="437"/>
      <c r="AH91" s="437"/>
      <c r="AI91" s="437"/>
      <c r="AJ91" s="437"/>
      <c r="AK91" s="437"/>
      <c r="AL91" s="437"/>
      <c r="AM91" s="338"/>
      <c r="AO91" cm="1">
        <f t="array" aca="1" ref="AO91" ca="1">IF($A91="S",IF(BM!$I91=0,0,CHOOSE(MATCH(RegimeExecucao,{"Global","Unitário"},0),ROUND(ROUND(BM.MEDAcumulado,15-13*BM!$A$9)/100*BM!$I91,15-13*ORÇAMENTO!$AF$11),ROUND(ROUND(BM.MEDAcumulado,15-13*BM!$A$9)*ROUND(BM!$H91,15-13*ORÇAMENTO!$AF$10),15-13*ORÇAMENTO!$AF$11))),IF($A91=0,0,ROUND(SomaAgrupBM,15-13*ORÇAMENTO!$AF$11)))</f>
        <v>0</v>
      </c>
    </row>
    <row r="92" spans="1:41" x14ac:dyDescent="0.2">
      <c r="A92" t="str">
        <f ca="1">ORÇAMENTO!C92</f>
        <v>S</v>
      </c>
      <c r="B92">
        <f ca="1">ORÇAMENTO!D92</f>
        <v>0</v>
      </c>
      <c r="C92" s="114" t="str">
        <f t="shared" ca="1" si="15"/>
        <v>F</v>
      </c>
      <c r="D92" s="117" t="str">
        <f ca="1">ORÇAMENTO!O92</f>
        <v>1.10.0.3.</v>
      </c>
      <c r="E92" s="163" t="str">
        <f t="shared" ca="1" si="16"/>
        <v>(Código não identificado nas referências)</v>
      </c>
      <c r="F92" s="164" t="str" cm="1">
        <f t="array" aca="1" ref="F92" ca="1">IF(RegimeExecucao="Global","",ORÇAMENTO.Unidade)</f>
        <v/>
      </c>
      <c r="G92" s="122" t="str" cm="1">
        <f t="array" aca="1" ref="G92" ca="1">IF(RegimeExecucao="Global","",ORÇAMENTO!T92)</f>
        <v/>
      </c>
      <c r="H92" s="122" t="str" cm="1">
        <f t="array" aca="1" ref="H92" ca="1">IF(RegimeExecucao="Global","",ORÇAMENTO!W92)</f>
        <v/>
      </c>
      <c r="I92" s="125">
        <f ca="1">ORÇAMENTO!X92</f>
        <v>38194.800000000003</v>
      </c>
      <c r="J92" s="333" cm="1">
        <f t="array" aca="1" ref="J92" ca="1">IF($A92="S",IF(CAIXA.Modo,BM.AFAnterior,BM.MEDAnterior),IF(AND(RegimeExecucao="Global",$I92&gt;0,COUNTIF($AB$13:$AM$13,BM.medicao-1)&gt;0),M92/$I92*100,0))</f>
        <v>0</v>
      </c>
      <c r="K92" s="122">
        <f t="shared" ca="1" si="17"/>
        <v>0</v>
      </c>
      <c r="L92" s="334" cm="1">
        <f t="array" aca="1" ref="L92" ca="1">IF($A92="S",IF(CAIXA.Modo,BM.AFAcumulado,BM.MEDAcumulado),IF(AND(RegimeExecucao="Global",$I92&gt;0,COUNTIF($AB$13:$AM$13,BM.medicao)&gt;0),O92/$I92*100,0))</f>
        <v>0</v>
      </c>
      <c r="M92" s="335" cm="1">
        <f t="array" aca="1" ref="M92" ca="1">IF($A92="S",VTOTALBM,IF($A92=0,0,ROUND(SomaAgrupBM,15-13*ORÇAMENTO!$AF$11)))</f>
        <v>0</v>
      </c>
      <c r="N92" s="336">
        <f t="shared" ca="1" si="18"/>
        <v>0</v>
      </c>
      <c r="O92" s="125" cm="1">
        <f t="array" aca="1" ref="O92" ca="1">IF($A92="S",VTOTALBM,IF($A92=0,0,ROUND(SomaAgrupBM,15-13*ORÇAMENTO!$AF$11)))</f>
        <v>0</v>
      </c>
      <c r="Q92" s="337"/>
      <c r="R92" s="338"/>
      <c r="T92" s="117" t="str">
        <f t="shared" ca="1" si="19"/>
        <v/>
      </c>
      <c r="U92" s="163" t="str">
        <f t="shared" ca="1" si="20"/>
        <v/>
      </c>
      <c r="V92" s="164" t="str" cm="1">
        <f t="array" aca="1" ref="V92" ca="1">IF(AND($W92&gt;0,RegimeExecucao="Unitário"),$F92,"")</f>
        <v/>
      </c>
      <c r="W92" s="454" cm="1">
        <f t="array" aca="1" ref="W92" ca="1">IF($Y92&gt;0,CHOOSE(MATCH(RegimeExecucao,{"Unitário","Global"},0),IF($A92="S",$Y92/$X92,""),($Y92/$X92)*100),0)</f>
        <v>0</v>
      </c>
      <c r="X92" s="339" t="str" cm="1">
        <f t="array" aca="1" ref="X92" ca="1">IF($Y92&gt;0,CHOOSE(MATCH(RegimeExecucao,{"Unitário","Global"},0),IF($A92="S",ROUND($H92,ORÇAMENTO!$AF$10),""),ROUND($I92,ORÇAMENTO!$AF$11)),"")</f>
        <v/>
      </c>
      <c r="Y92" s="339">
        <f t="shared" ca="1" si="21"/>
        <v>0</v>
      </c>
      <c r="Z92" s="473"/>
      <c r="AB92" s="337"/>
      <c r="AC92" s="437"/>
      <c r="AD92" s="437"/>
      <c r="AE92" s="437"/>
      <c r="AF92" s="437"/>
      <c r="AG92" s="437"/>
      <c r="AH92" s="437"/>
      <c r="AI92" s="437"/>
      <c r="AJ92" s="437"/>
      <c r="AK92" s="437"/>
      <c r="AL92" s="437"/>
      <c r="AM92" s="338"/>
      <c r="AO92" cm="1">
        <f t="array" aca="1" ref="AO92" ca="1">IF($A92="S",IF(BM!$I92=0,0,CHOOSE(MATCH(RegimeExecucao,{"Global","Unitário"},0),ROUND(ROUND(BM.MEDAcumulado,15-13*BM!$A$9)/100*BM!$I92,15-13*ORÇAMENTO!$AF$11),ROUND(ROUND(BM.MEDAcumulado,15-13*BM!$A$9)*ROUND(BM!$H92,15-13*ORÇAMENTO!$AF$10),15-13*ORÇAMENTO!$AF$11))),IF($A92=0,0,ROUND(SomaAgrupBM,15-13*ORÇAMENTO!$AF$11)))</f>
        <v>0</v>
      </c>
    </row>
    <row r="93" spans="1:41" ht="5.0999999999999996" customHeight="1" x14ac:dyDescent="0.2">
      <c r="C93" s="114" t="s">
        <v>536</v>
      </c>
      <c r="D93" s="618"/>
      <c r="E93" s="619"/>
      <c r="F93" s="619"/>
      <c r="G93" s="619"/>
      <c r="H93" s="619"/>
      <c r="I93" s="419"/>
      <c r="J93" s="618"/>
      <c r="K93" s="619"/>
      <c r="L93" s="419"/>
      <c r="M93" s="434"/>
      <c r="N93" s="435"/>
      <c r="O93" s="436"/>
      <c r="Q93" s="618"/>
      <c r="R93" s="419"/>
      <c r="T93" s="618"/>
      <c r="U93" s="619"/>
      <c r="V93" s="619"/>
      <c r="W93" s="619"/>
      <c r="X93" s="619"/>
      <c r="Y93" s="619"/>
      <c r="Z93" s="419"/>
      <c r="AB93" s="618"/>
      <c r="AC93" s="619"/>
      <c r="AD93" s="619"/>
      <c r="AE93" s="619"/>
      <c r="AF93" s="619"/>
      <c r="AG93" s="619"/>
      <c r="AH93" s="619"/>
      <c r="AI93" s="619"/>
      <c r="AJ93" s="619"/>
      <c r="AK93" s="619"/>
      <c r="AL93" s="619"/>
      <c r="AM93" s="419"/>
    </row>
    <row r="95" spans="1:41" ht="14.25" x14ac:dyDescent="0.2">
      <c r="D95" s="810" t="s">
        <v>689</v>
      </c>
      <c r="E95" s="810"/>
      <c r="F95" s="810"/>
      <c r="G95" s="810"/>
      <c r="H95" s="810"/>
      <c r="I95" s="810"/>
      <c r="J95" s="810"/>
      <c r="K95" s="810"/>
      <c r="L95" s="810"/>
      <c r="M95" s="810"/>
      <c r="N95" s="810"/>
      <c r="O95" s="810"/>
      <c r="T95" s="811" t="s">
        <v>865</v>
      </c>
      <c r="U95" s="811"/>
      <c r="V95" s="811"/>
      <c r="W95" s="811"/>
      <c r="X95" s="811"/>
      <c r="Y95" s="811"/>
      <c r="Z95" s="811"/>
    </row>
    <row r="96" spans="1:41" ht="12.75" customHeight="1" x14ac:dyDescent="0.2">
      <c r="D96" s="714"/>
      <c r="E96" s="714"/>
      <c r="F96" s="714"/>
      <c r="G96" s="714"/>
      <c r="H96" s="714"/>
      <c r="I96" s="714"/>
      <c r="J96" s="714"/>
      <c r="K96" s="714"/>
      <c r="L96" s="714"/>
      <c r="M96" s="714"/>
      <c r="N96" s="714"/>
      <c r="O96" s="714"/>
      <c r="T96" s="812"/>
      <c r="U96" s="812"/>
      <c r="V96" s="812"/>
      <c r="W96" s="812"/>
      <c r="X96" s="812"/>
      <c r="Y96" s="812"/>
      <c r="Z96" s="812"/>
    </row>
    <row r="97" spans="4:26" ht="12.75" customHeight="1" x14ac:dyDescent="0.2">
      <c r="D97" s="714"/>
      <c r="E97" s="714"/>
      <c r="F97" s="714"/>
      <c r="G97" s="714"/>
      <c r="H97" s="714"/>
      <c r="I97" s="714"/>
      <c r="J97" s="714"/>
      <c r="K97" s="714"/>
      <c r="L97" s="714"/>
      <c r="M97" s="714"/>
      <c r="N97" s="714"/>
      <c r="O97" s="714"/>
      <c r="T97" s="812"/>
      <c r="U97" s="812"/>
      <c r="V97" s="812"/>
      <c r="W97" s="812"/>
      <c r="X97" s="812"/>
      <c r="Y97" s="812"/>
      <c r="Z97" s="812"/>
    </row>
    <row r="98" spans="4:26" ht="12.75" customHeight="1" x14ac:dyDescent="0.2">
      <c r="D98" s="714"/>
      <c r="E98" s="714"/>
      <c r="F98" s="714"/>
      <c r="G98" s="714"/>
      <c r="H98" s="714"/>
      <c r="I98" s="714"/>
      <c r="J98" s="714"/>
      <c r="K98" s="714"/>
      <c r="L98" s="714"/>
      <c r="M98" s="714"/>
      <c r="N98" s="714"/>
      <c r="O98" s="714"/>
      <c r="T98" s="812"/>
      <c r="U98" s="812"/>
      <c r="V98" s="812"/>
      <c r="W98" s="812"/>
      <c r="X98" s="812"/>
      <c r="Y98" s="812"/>
      <c r="Z98" s="812"/>
    </row>
    <row r="99" spans="4:26" ht="14.25" x14ac:dyDescent="0.2">
      <c r="D99" s="443"/>
      <c r="E99" s="443"/>
      <c r="F99" s="443"/>
      <c r="G99" s="443"/>
      <c r="H99" s="443"/>
      <c r="I99" s="443"/>
      <c r="J99" s="443"/>
      <c r="K99" s="443"/>
      <c r="L99" s="443"/>
      <c r="M99" s="443"/>
      <c r="N99" s="443"/>
      <c r="O99" s="443"/>
    </row>
    <row r="100" spans="4:26" ht="15" customHeight="1" x14ac:dyDescent="0.25">
      <c r="D100" s="715" t="str" cm="1">
        <f t="array" aca="1" ref="D100"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Preço total; Medição.</v>
      </c>
      <c r="E100" s="715"/>
      <c r="F100" s="715"/>
      <c r="G100" s="715"/>
      <c r="H100" s="715"/>
      <c r="I100" s="715"/>
      <c r="J100" s="715"/>
      <c r="K100" s="715"/>
      <c r="L100" s="715"/>
    </row>
    <row r="101" spans="4:26" x14ac:dyDescent="0.2">
      <c r="D101" s="808"/>
      <c r="E101" s="808"/>
      <c r="F101" s="808"/>
      <c r="G101" s="808"/>
      <c r="H101" s="808"/>
      <c r="I101" s="808"/>
    </row>
    <row r="102" spans="4:26" x14ac:dyDescent="0.2">
      <c r="D102" s="815"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102" s="815"/>
      <c r="F102" s="815"/>
      <c r="G102" s="815"/>
      <c r="H102" s="815"/>
      <c r="I102" s="815"/>
      <c r="J102" s="815"/>
      <c r="K102" s="815"/>
      <c r="L102" s="815"/>
      <c r="M102" s="815"/>
      <c r="N102" s="815"/>
      <c r="O102" s="815"/>
    </row>
    <row r="103" spans="4:26" ht="39.950000000000003" customHeight="1" x14ac:dyDescent="0.25">
      <c r="E103" s="138" t="str">
        <f>Import.Município</f>
        <v>BURITIZEIRO-MG</v>
      </c>
      <c r="J103" s="585" t="str">
        <f ca="1">IF(DADOS!$D$50&lt;&gt;"","Preencher os Dados do Responsável pela Fiscalização, na aba DADOS.","")</f>
        <v/>
      </c>
      <c r="K103" s="585"/>
      <c r="L103" s="585"/>
      <c r="M103" s="585"/>
      <c r="W103" s="816"/>
      <c r="X103" s="816"/>
      <c r="Y103" s="816"/>
      <c r="Z103" s="816"/>
    </row>
    <row r="104" spans="4:26" x14ac:dyDescent="0.2">
      <c r="E104" s="9" t="s">
        <v>693</v>
      </c>
      <c r="J104" s="181" t="s">
        <v>841</v>
      </c>
      <c r="W104" s="181" t="s">
        <v>866</v>
      </c>
    </row>
    <row r="105" spans="4:26" x14ac:dyDescent="0.2">
      <c r="J105" s="77" t="s">
        <v>240</v>
      </c>
      <c r="K105" s="271">
        <f t="array" ref="K105:K108">Import.RespFiscalização</f>
        <v>0</v>
      </c>
      <c r="L105" s="78"/>
      <c r="W105" s="77" t="s">
        <v>240</v>
      </c>
      <c r="X105" s="814"/>
      <c r="Y105" s="814"/>
      <c r="Z105" s="814"/>
    </row>
    <row r="106" spans="4:26" x14ac:dyDescent="0.2">
      <c r="E106" s="459">
        <f>DADOS!$C$48</f>
        <v>0</v>
      </c>
      <c r="J106" s="77" t="s">
        <v>319</v>
      </c>
      <c r="K106" s="271">
        <v>0</v>
      </c>
      <c r="L106" s="78"/>
      <c r="W106" s="77" t="s">
        <v>867</v>
      </c>
      <c r="X106" s="814"/>
      <c r="Y106" s="814"/>
      <c r="Z106" s="814"/>
    </row>
    <row r="107" spans="4:26" x14ac:dyDescent="0.2">
      <c r="E107" s="140" t="s">
        <v>694</v>
      </c>
      <c r="J107" s="77" t="s">
        <v>243</v>
      </c>
      <c r="K107" s="271">
        <v>0</v>
      </c>
      <c r="L107" s="78"/>
      <c r="W107" s="77" t="s">
        <v>243</v>
      </c>
      <c r="X107" s="814"/>
      <c r="Y107" s="814"/>
      <c r="Z107" s="814"/>
    </row>
    <row r="108" spans="4:26" x14ac:dyDescent="0.2">
      <c r="J108" s="77" t="s">
        <v>246</v>
      </c>
      <c r="K108" s="12">
        <v>0</v>
      </c>
      <c r="W108" s="77"/>
      <c r="X108" s="12"/>
    </row>
  </sheetData>
  <sheetProtection algorithmName="SHA-512" hashValue="XwZQQ/wLzDpnh/okIk03EtIk5WgD/EifDhB9uhTOIq1MTT6+dw94a6IZRLNQhn5/r9nwOvvu7kGCSjrv/KAWgA==" saltValue="1SF8mZIdYQMvv9DL+0U6JQ==" spinCount="100000" sheet="1" objects="1" scenarios="1" autoFilter="0"/>
  <autoFilter ref="C15:C93" xr:uid="{00000000-0001-0000-0B00-000000000000}"/>
  <mergeCells count="33">
    <mergeCell ref="X107:Z107"/>
    <mergeCell ref="D102:O102"/>
    <mergeCell ref="W103:Z103"/>
    <mergeCell ref="X105:Z105"/>
    <mergeCell ref="X106:Z106"/>
    <mergeCell ref="D100:L100"/>
    <mergeCell ref="D101:I101"/>
    <mergeCell ref="AB15:AM15"/>
    <mergeCell ref="D95:O95"/>
    <mergeCell ref="T95:Z95"/>
    <mergeCell ref="D96:O98"/>
    <mergeCell ref="T96:Z98"/>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38:O38 T38:Z38 D53:O60 T53:Z60 D85:O92 T85:Z92 D63:O64 T63:Z64">
    <cfRule type="expression" dxfId="119" priority="18672" stopIfTrue="1">
      <formula>OR(ACOMPANHAMENTO="PLE",TIPOORCAMENTO="Proposto",$L14&lt;0,AND($L14&gt;100,RegimeExecucao="Global"),$O14&gt;$I14,$O14&lt;0)</formula>
    </cfRule>
    <cfRule type="expression" dxfId="118" priority="18673" stopIfTrue="1">
      <formula>$A14=1</formula>
    </cfRule>
    <cfRule type="expression" dxfId="117" priority="18674" stopIfTrue="1">
      <formula>$A14&lt;&gt;"S"</formula>
    </cfRule>
  </conditionalFormatting>
  <conditionalFormatting sqref="Q14:R14 AB14:AM14 Q38:R38 AB38:AM38 Q53:R60 AB53:AM60 Q85:R92 AB85:AM92 Q63:R64 AB63:AM64">
    <cfRule type="expression" dxfId="116" priority="18675" stopIfTrue="1">
      <formula>$A14=1</formula>
    </cfRule>
    <cfRule type="expression" dxfId="115" priority="18676" stopIfTrue="1">
      <formula>$A14&lt;&gt;"S"</formula>
    </cfRule>
  </conditionalFormatting>
  <conditionalFormatting sqref="E2">
    <cfRule type="expression" dxfId="114" priority="18677" stopIfTrue="1">
      <formula>Import.RegimeExecução="(SELECIONAR)"</formula>
    </cfRule>
  </conditionalFormatting>
  <conditionalFormatting sqref="F13:H13">
    <cfRule type="expression" dxfId="113" priority="18678" stopIfTrue="1">
      <formula>RegimeExecucao="Global"</formula>
    </cfRule>
  </conditionalFormatting>
  <conditionalFormatting sqref="D15:O15">
    <cfRule type="expression" dxfId="112" priority="18679" stopIfTrue="1">
      <formula>OR(ACOMPANHAMENTO="PLE",TIPOORCAMENTO="Proposto")</formula>
    </cfRule>
  </conditionalFormatting>
  <conditionalFormatting sqref="AB13">
    <cfRule type="cellIs" dxfId="111" priority="18680" stopIfTrue="1" operator="notEqual">
      <formula>1</formula>
    </cfRule>
  </conditionalFormatting>
  <conditionalFormatting sqref="O11">
    <cfRule type="expression" dxfId="110" priority="13539">
      <formula>ROUND($P$11,4)&gt;ROUND($P$10,4)</formula>
    </cfRule>
  </conditionalFormatting>
  <conditionalFormatting sqref="D16:O17 T16:Z17 T61:Z61 D61:O61 T19:Z19 D19:O19 D39:O39 T39:Z39">
    <cfRule type="expression" dxfId="109" priority="226" stopIfTrue="1">
      <formula>OR(ACOMPANHAMENTO="PLE",TIPOORCAMENTO="Proposto",$L16&lt;0,AND($L16&gt;100,RegimeExecucao="Global"),$O16&gt;$I16,$O16&lt;0)</formula>
    </cfRule>
    <cfRule type="expression" dxfId="108" priority="227" stopIfTrue="1">
      <formula>$A16=1</formula>
    </cfRule>
    <cfRule type="expression" dxfId="107" priority="228" stopIfTrue="1">
      <formula>$A16&lt;&gt;"S"</formula>
    </cfRule>
  </conditionalFormatting>
  <conditionalFormatting sqref="Q16:R17 AB16:AM17 AB61:AM61 Q61:R61 AB19:AM19 Q19:R19 Q39:R39 AB39:AM39">
    <cfRule type="expression" dxfId="106" priority="229" stopIfTrue="1">
      <formula>$A16=1</formula>
    </cfRule>
    <cfRule type="expression" dxfId="105" priority="230" stopIfTrue="1">
      <formula>$A16&lt;&gt;"S"</formula>
    </cfRule>
  </conditionalFormatting>
  <conditionalFormatting sqref="D43:O43 T43:Z43">
    <cfRule type="expression" dxfId="104" priority="86" stopIfTrue="1">
      <formula>OR(ACOMPANHAMENTO="PLE",TIPOORCAMENTO="Proposto",$L43&lt;0,AND($L43&gt;100,RegimeExecucao="Global"),$O43&gt;$I43,$O43&lt;0)</formula>
    </cfRule>
    <cfRule type="expression" dxfId="103" priority="87" stopIfTrue="1">
      <formula>$A43=1</formula>
    </cfRule>
    <cfRule type="expression" dxfId="102" priority="88" stopIfTrue="1">
      <formula>$A43&lt;&gt;"S"</formula>
    </cfRule>
  </conditionalFormatting>
  <conditionalFormatting sqref="Q43:R43 AB43:AM43">
    <cfRule type="expression" dxfId="101" priority="89" stopIfTrue="1">
      <formula>$A43=1</formula>
    </cfRule>
    <cfRule type="expression" dxfId="100" priority="90" stopIfTrue="1">
      <formula>$A43&lt;&gt;"S"</formula>
    </cfRule>
  </conditionalFormatting>
  <conditionalFormatting sqref="D41:O41 T41:Z41">
    <cfRule type="expression" dxfId="99" priority="81" stopIfTrue="1">
      <formula>OR(ACOMPANHAMENTO="PLE",TIPOORCAMENTO="Proposto",$L41&lt;0,AND($L41&gt;100,RegimeExecucao="Global"),$O41&gt;$I41,$O41&lt;0)</formula>
    </cfRule>
    <cfRule type="expression" dxfId="98" priority="82" stopIfTrue="1">
      <formula>$A41=1</formula>
    </cfRule>
    <cfRule type="expression" dxfId="97" priority="83" stopIfTrue="1">
      <formula>$A41&lt;&gt;"S"</formula>
    </cfRule>
  </conditionalFormatting>
  <conditionalFormatting sqref="Q41:R41 AB41:AM41">
    <cfRule type="expression" dxfId="96" priority="84" stopIfTrue="1">
      <formula>$A41=1</formula>
    </cfRule>
    <cfRule type="expression" dxfId="95" priority="85" stopIfTrue="1">
      <formula>$A41&lt;&gt;"S"</formula>
    </cfRule>
  </conditionalFormatting>
  <conditionalFormatting sqref="D42:O42 T42:Z42">
    <cfRule type="expression" dxfId="94" priority="76" stopIfTrue="1">
      <formula>OR(ACOMPANHAMENTO="PLE",TIPOORCAMENTO="Proposto",$L42&lt;0,AND($L42&gt;100,RegimeExecucao="Global"),$O42&gt;$I42,$O42&lt;0)</formula>
    </cfRule>
    <cfRule type="expression" dxfId="93" priority="77" stopIfTrue="1">
      <formula>$A42=1</formula>
    </cfRule>
    <cfRule type="expression" dxfId="92" priority="78" stopIfTrue="1">
      <formula>$A42&lt;&gt;"S"</formula>
    </cfRule>
  </conditionalFormatting>
  <conditionalFormatting sqref="Q42:R42 AB42:AM42">
    <cfRule type="expression" dxfId="91" priority="79" stopIfTrue="1">
      <formula>$A42=1</formula>
    </cfRule>
    <cfRule type="expression" dxfId="90" priority="80" stopIfTrue="1">
      <formula>$A42&lt;&gt;"S"</formula>
    </cfRule>
  </conditionalFormatting>
  <conditionalFormatting sqref="D18:O18 T18:Z18">
    <cfRule type="expression" dxfId="89" priority="71" stopIfTrue="1">
      <formula>OR(ACOMPANHAMENTO="PLE",TIPOORCAMENTO="Proposto",$L18&lt;0,AND($L18&gt;100,RegimeExecucao="Global"),$O18&gt;$I18,$O18&lt;0)</formula>
    </cfRule>
    <cfRule type="expression" dxfId="88" priority="72" stopIfTrue="1">
      <formula>$A18=1</formula>
    </cfRule>
    <cfRule type="expression" dxfId="87" priority="73" stopIfTrue="1">
      <formula>$A18&lt;&gt;"S"</formula>
    </cfRule>
  </conditionalFormatting>
  <conditionalFormatting sqref="Q18:R18 AB18:AM18">
    <cfRule type="expression" dxfId="86" priority="74" stopIfTrue="1">
      <formula>$A18=1</formula>
    </cfRule>
    <cfRule type="expression" dxfId="85" priority="75" stopIfTrue="1">
      <formula>$A18&lt;&gt;"S"</formula>
    </cfRule>
  </conditionalFormatting>
  <conditionalFormatting sqref="D20:O28 T20:Z28">
    <cfRule type="expression" dxfId="84" priority="66" stopIfTrue="1">
      <formula>OR(ACOMPANHAMENTO="PLE",TIPOORCAMENTO="Proposto",$L20&lt;0,AND($L20&gt;100,RegimeExecucao="Global"),$O20&gt;$I20,$O20&lt;0)</formula>
    </cfRule>
    <cfRule type="expression" dxfId="83" priority="67" stopIfTrue="1">
      <formula>$A20=1</formula>
    </cfRule>
    <cfRule type="expression" dxfId="82" priority="68" stopIfTrue="1">
      <formula>$A20&lt;&gt;"S"</formula>
    </cfRule>
  </conditionalFormatting>
  <conditionalFormatting sqref="Q20:R28 AB20:AM28">
    <cfRule type="expression" dxfId="81" priority="69" stopIfTrue="1">
      <formula>$A20=1</formula>
    </cfRule>
    <cfRule type="expression" dxfId="80" priority="70" stopIfTrue="1">
      <formula>$A20&lt;&gt;"S"</formula>
    </cfRule>
  </conditionalFormatting>
  <conditionalFormatting sqref="D29:O37 T29:Z37">
    <cfRule type="expression" dxfId="79" priority="61" stopIfTrue="1">
      <formula>OR(ACOMPANHAMENTO="PLE",TIPOORCAMENTO="Proposto",$L29&lt;0,AND($L29&gt;100,RegimeExecucao="Global"),$O29&gt;$I29,$O29&lt;0)</formula>
    </cfRule>
    <cfRule type="expression" dxfId="78" priority="62" stopIfTrue="1">
      <formula>$A29=1</formula>
    </cfRule>
    <cfRule type="expression" dxfId="77" priority="63" stopIfTrue="1">
      <formula>$A29&lt;&gt;"S"</formula>
    </cfRule>
  </conditionalFormatting>
  <conditionalFormatting sqref="Q29:R37 AB29:AM37">
    <cfRule type="expression" dxfId="76" priority="64" stopIfTrue="1">
      <formula>$A29=1</formula>
    </cfRule>
    <cfRule type="expression" dxfId="75" priority="65" stopIfTrue="1">
      <formula>$A29&lt;&gt;"S"</formula>
    </cfRule>
  </conditionalFormatting>
  <conditionalFormatting sqref="D44:O52 T44:Z52">
    <cfRule type="expression" dxfId="74" priority="51" stopIfTrue="1">
      <formula>OR(ACOMPANHAMENTO="PLE",TIPOORCAMENTO="Proposto",$L44&lt;0,AND($L44&gt;100,RegimeExecucao="Global"),$O44&gt;$I44,$O44&lt;0)</formula>
    </cfRule>
    <cfRule type="expression" dxfId="73" priority="52" stopIfTrue="1">
      <formula>$A44=1</formula>
    </cfRule>
    <cfRule type="expression" dxfId="72" priority="53" stopIfTrue="1">
      <formula>$A44&lt;&gt;"S"</formula>
    </cfRule>
  </conditionalFormatting>
  <conditionalFormatting sqref="Q44:R52 AB44:AM52">
    <cfRule type="expression" dxfId="71" priority="54" stopIfTrue="1">
      <formula>$A44=1</formula>
    </cfRule>
    <cfRule type="expression" dxfId="70" priority="55" stopIfTrue="1">
      <formula>$A44&lt;&gt;"S"</formula>
    </cfRule>
  </conditionalFormatting>
  <conditionalFormatting sqref="D65:O73 T65:Z73">
    <cfRule type="expression" dxfId="69" priority="41" stopIfTrue="1">
      <formula>OR(ACOMPANHAMENTO="PLE",TIPOORCAMENTO="Proposto",$L65&lt;0,AND($L65&gt;100,RegimeExecucao="Global"),$O65&gt;$I65,$O65&lt;0)</formula>
    </cfRule>
    <cfRule type="expression" dxfId="68" priority="42" stopIfTrue="1">
      <formula>$A65=1</formula>
    </cfRule>
    <cfRule type="expression" dxfId="67" priority="43" stopIfTrue="1">
      <formula>$A65&lt;&gt;"S"</formula>
    </cfRule>
  </conditionalFormatting>
  <conditionalFormatting sqref="Q65:R73 AB65:AM73">
    <cfRule type="expression" dxfId="66" priority="44" stopIfTrue="1">
      <formula>$A65=1</formula>
    </cfRule>
    <cfRule type="expression" dxfId="65" priority="45" stopIfTrue="1">
      <formula>$A65&lt;&gt;"S"</formula>
    </cfRule>
  </conditionalFormatting>
  <conditionalFormatting sqref="T74:Z82 D74:O82">
    <cfRule type="expression" dxfId="64" priority="36" stopIfTrue="1">
      <formula>OR(ACOMPANHAMENTO="PLE",TIPOORCAMENTO="Proposto",$L74&lt;0,AND($L74&gt;100,RegimeExecucao="Global"),$O74&gt;$I74,$O74&lt;0)</formula>
    </cfRule>
    <cfRule type="expression" dxfId="63" priority="37" stopIfTrue="1">
      <formula>$A74=1</formula>
    </cfRule>
    <cfRule type="expression" dxfId="62" priority="38" stopIfTrue="1">
      <formula>$A74&lt;&gt;"S"</formula>
    </cfRule>
  </conditionalFormatting>
  <conditionalFormatting sqref="AB74:AM82 Q74:R82">
    <cfRule type="expression" dxfId="61" priority="39" stopIfTrue="1">
      <formula>$A74=1</formula>
    </cfRule>
    <cfRule type="expression" dxfId="60" priority="40" stopIfTrue="1">
      <formula>$A74&lt;&gt;"S"</formula>
    </cfRule>
  </conditionalFormatting>
  <conditionalFormatting sqref="D83:O84 T83:Z84">
    <cfRule type="expression" dxfId="59" priority="31" stopIfTrue="1">
      <formula>OR(ACOMPANHAMENTO="PLE",TIPOORCAMENTO="Proposto",$L83&lt;0,AND($L83&gt;100,RegimeExecucao="Global"),$O83&gt;$I83,$O83&lt;0)</formula>
    </cfRule>
    <cfRule type="expression" dxfId="58" priority="32" stopIfTrue="1">
      <formula>$A83=1</formula>
    </cfRule>
    <cfRule type="expression" dxfId="57" priority="33" stopIfTrue="1">
      <formula>$A83&lt;&gt;"S"</formula>
    </cfRule>
  </conditionalFormatting>
  <conditionalFormatting sqref="Q83:R84 AB83:AM84">
    <cfRule type="expression" dxfId="56" priority="34" stopIfTrue="1">
      <formula>$A83=1</formula>
    </cfRule>
    <cfRule type="expression" dxfId="55" priority="35" stopIfTrue="1">
      <formula>$A83&lt;&gt;"S"</formula>
    </cfRule>
  </conditionalFormatting>
  <conditionalFormatting sqref="D40:O40 T40:Z40">
    <cfRule type="expression" dxfId="54" priority="6" stopIfTrue="1">
      <formula>OR(ACOMPANHAMENTO="PLE",TIPOORCAMENTO="Proposto",$L40&lt;0,AND($L40&gt;100,RegimeExecucao="Global"),$O40&gt;$I40,$O40&lt;0)</formula>
    </cfRule>
    <cfRule type="expression" dxfId="53" priority="7" stopIfTrue="1">
      <formula>$A40=1</formula>
    </cfRule>
    <cfRule type="expression" dxfId="52" priority="8" stopIfTrue="1">
      <formula>$A40&lt;&gt;"S"</formula>
    </cfRule>
  </conditionalFormatting>
  <conditionalFormatting sqref="Q40:R40 AB40:AM40">
    <cfRule type="expression" dxfId="51" priority="9" stopIfTrue="1">
      <formula>$A40=1</formula>
    </cfRule>
    <cfRule type="expression" dxfId="50" priority="10" stopIfTrue="1">
      <formula>$A40&lt;&gt;"S"</formula>
    </cfRule>
  </conditionalFormatting>
  <conditionalFormatting sqref="D62:O62 T62:Z62">
    <cfRule type="expression" dxfId="49" priority="1" stopIfTrue="1">
      <formula>OR(ACOMPANHAMENTO="PLE",TIPOORCAMENTO="Proposto",$L62&lt;0,AND($L62&gt;100,RegimeExecucao="Global"),$O62&gt;$I62,$O62&lt;0)</formula>
    </cfRule>
    <cfRule type="expression" dxfId="48" priority="2" stopIfTrue="1">
      <formula>$A62=1</formula>
    </cfRule>
    <cfRule type="expression" dxfId="47" priority="3" stopIfTrue="1">
      <formula>$A62&lt;&gt;"S"</formula>
    </cfRule>
  </conditionalFormatting>
  <conditionalFormatting sqref="Q62:R62 AB62:AM62">
    <cfRule type="expression" dxfId="46" priority="4" stopIfTrue="1">
      <formula>$A62=1</formula>
    </cfRule>
    <cfRule type="expression" dxfId="45" priority="5" stopIfTrue="1">
      <formula>$A62&lt;&gt;"S"</formula>
    </cfRule>
  </conditionalFormatting>
  <dataValidations count="4">
    <dataValidation type="list" allowBlank="1" showErrorMessage="1" sqref="Z14 Z16:Z92"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92"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92"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0"/>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J16</f>
        <v>Repasse</v>
      </c>
      <c r="AD2" s="349">
        <f ca="1">AD6-AD4-AD3</f>
        <v>0</v>
      </c>
      <c r="AE2" s="349">
        <f ca="1">AE6-AE4-AE3</f>
        <v>0</v>
      </c>
    </row>
    <row r="3" spans="1:41" x14ac:dyDescent="0.2">
      <c r="E3" s="721" t="s">
        <v>652</v>
      </c>
      <c r="F3" s="721"/>
      <c r="G3" s="721"/>
      <c r="H3" s="721"/>
      <c r="I3" s="683" t="s">
        <v>650</v>
      </c>
      <c r="J3" s="683"/>
      <c r="K3" s="683"/>
      <c r="L3" s="87" t="s">
        <v>707</v>
      </c>
      <c r="M3" s="146"/>
      <c r="O3" s="350"/>
      <c r="P3" s="274" t="s">
        <v>715</v>
      </c>
      <c r="R3" s="146"/>
      <c r="S3" s="146"/>
      <c r="T3" s="146"/>
      <c r="U3" s="146"/>
      <c r="AC3" s="348" t="s">
        <v>456</v>
      </c>
      <c r="AD3" s="349">
        <f ca="1">SUM(T13:OFFSET(T15,-1,0))</f>
        <v>0</v>
      </c>
      <c r="AE3" s="349">
        <f ca="1">IF(OR($O$19&lt;$M$19,$M$17&gt;$AD$3),MIN($M$17,$L$17),MIN($AD$3,$N$19-$N$18+$M$17))</f>
        <v>0</v>
      </c>
    </row>
    <row r="4" spans="1:41" ht="12.75" customHeight="1" x14ac:dyDescent="0.2">
      <c r="E4" s="719" t="str">
        <f>Import.Proponente</f>
        <v>MINISTÉRIO DAS CIDADES</v>
      </c>
      <c r="F4" s="719"/>
      <c r="G4" s="719"/>
      <c r="H4" s="719"/>
      <c r="I4" s="680" t="str">
        <f>Import.CR</f>
        <v>1099388-52</v>
      </c>
      <c r="J4" s="680"/>
      <c r="K4" s="680"/>
      <c r="L4" s="56" t="str">
        <f>Import.TransfereGOV</f>
        <v>974020</v>
      </c>
      <c r="M4" s="829" t="s">
        <v>809</v>
      </c>
      <c r="N4" s="830"/>
      <c r="O4" s="831"/>
      <c r="P4" s="351" t="str">
        <f>import.recurso</f>
        <v>OGU</v>
      </c>
      <c r="R4" s="146"/>
      <c r="S4" s="146"/>
      <c r="T4" s="350"/>
      <c r="U4" s="350"/>
      <c r="AC4" s="348" t="s">
        <v>871</v>
      </c>
      <c r="AD4" s="349">
        <f ca="1">SUM(U13:OFFSET(U15,-1,0))</f>
        <v>0</v>
      </c>
      <c r="AE4" s="349">
        <f ca="1">IF(OR($O$19&lt;$M$19,$M$18&gt;$AD$4),MIN($M$18,$L$18),MIN($AD$4,$N$19+$M$18))</f>
        <v>0</v>
      </c>
    </row>
    <row r="5" spans="1:41" ht="5.0999999999999996" customHeight="1" x14ac:dyDescent="0.2">
      <c r="H5" s="277"/>
      <c r="I5" s="277"/>
      <c r="J5" s="277"/>
      <c r="K5" s="277"/>
      <c r="L5" s="277"/>
      <c r="M5" s="352"/>
      <c r="N5" s="265"/>
      <c r="O5" s="4"/>
      <c r="R5" s="146"/>
      <c r="S5" s="146"/>
      <c r="T5" s="146"/>
      <c r="U5" s="146"/>
    </row>
    <row r="6" spans="1:41" ht="12.75" customHeight="1" x14ac:dyDescent="0.2">
      <c r="E6" s="683" t="s">
        <v>708</v>
      </c>
      <c r="F6" s="683"/>
      <c r="G6" s="683"/>
      <c r="H6" s="683"/>
      <c r="I6" s="817" t="s">
        <v>808</v>
      </c>
      <c r="J6" s="817"/>
      <c r="K6" s="817"/>
      <c r="L6" s="817"/>
      <c r="M6" s="55" t="str">
        <f>IF(import.recurso="FGTS","FINANCIAMENTO","REPASSE")</f>
        <v>REPASSE</v>
      </c>
      <c r="N6" s="96" t="s">
        <v>810</v>
      </c>
      <c r="O6" s="55" t="s">
        <v>811</v>
      </c>
      <c r="P6" s="147" t="s">
        <v>872</v>
      </c>
      <c r="R6" s="146"/>
      <c r="S6" s="146"/>
      <c r="T6" s="146"/>
      <c r="U6" s="146"/>
      <c r="AC6" s="348" t="s">
        <v>873</v>
      </c>
      <c r="AD6" s="349">
        <f ca="1">$O$19</f>
        <v>0</v>
      </c>
      <c r="AE6" s="349">
        <f ca="1">AD6</f>
        <v>0</v>
      </c>
    </row>
    <row r="7" spans="1:41" ht="12.75" customHeight="1" x14ac:dyDescent="0.2">
      <c r="D7" s="709" t="s">
        <v>655</v>
      </c>
      <c r="E7" s="680" t="str">
        <f>Import.Apelido</f>
        <v>USINA DE TRIAGEM MECANIZADA</v>
      </c>
      <c r="F7" s="680"/>
      <c r="G7" s="680"/>
      <c r="H7" s="680"/>
      <c r="I7" s="818" t="str">
        <f>Import.Município</f>
        <v>BURITIZEIRO-MG</v>
      </c>
      <c r="J7" s="818"/>
      <c r="K7" s="818"/>
      <c r="L7" s="818"/>
      <c r="M7" s="353">
        <f>Import.Repasse</f>
        <v>21838620</v>
      </c>
      <c r="N7" s="354">
        <f>Import.Contrapartida</f>
        <v>0</v>
      </c>
      <c r="O7" s="353">
        <f>M7+N7</f>
        <v>21838620</v>
      </c>
      <c r="P7" s="423">
        <f>IF(ACOMPANHAMENTO="PLE",PLE.Medicao,BM.medicao)</f>
        <v>1</v>
      </c>
      <c r="R7" s="146"/>
      <c r="S7" s="146"/>
      <c r="T7" s="146"/>
      <c r="U7" s="146"/>
    </row>
    <row r="8" spans="1:41" x14ac:dyDescent="0.2">
      <c r="D8" s="709"/>
      <c r="E8" s="92"/>
      <c r="F8" s="92"/>
      <c r="G8" s="92"/>
      <c r="H8" s="92"/>
      <c r="I8" s="92"/>
      <c r="J8" s="92"/>
      <c r="K8" s="92"/>
      <c r="L8" s="92"/>
      <c r="M8" s="92"/>
      <c r="N8" s="92"/>
      <c r="O8" s="92"/>
      <c r="P8" s="92"/>
      <c r="R8" s="146"/>
      <c r="S8" s="146"/>
      <c r="T8" s="146"/>
      <c r="U8" s="146"/>
    </row>
    <row r="9" spans="1:41" ht="12.75" customHeight="1" x14ac:dyDescent="0.2">
      <c r="D9" s="709"/>
      <c r="G9" s="819" t="s">
        <v>874</v>
      </c>
      <c r="H9" s="819"/>
      <c r="I9" s="819" t="s">
        <v>875</v>
      </c>
      <c r="J9" s="819"/>
      <c r="K9" s="355"/>
      <c r="L9" s="820" t="s">
        <v>815</v>
      </c>
      <c r="M9" s="356" t="s">
        <v>818</v>
      </c>
      <c r="N9" s="278" t="s">
        <v>741</v>
      </c>
      <c r="P9" s="357"/>
      <c r="R9" s="146"/>
      <c r="S9" s="146"/>
      <c r="T9" s="146"/>
      <c r="U9" s="146"/>
      <c r="V9" s="7" t="s">
        <v>876</v>
      </c>
    </row>
    <row r="10" spans="1:41" ht="12.75" customHeight="1" x14ac:dyDescent="0.2">
      <c r="D10" s="709"/>
      <c r="G10" s="682" t="str">
        <f ca="1">IF(J10="-","-",IF($P$15&lt;J10,"Atrasada",IF($P$15&gt;J10,"Adiantada","Normal")))</f>
        <v>Normal</v>
      </c>
      <c r="H10" s="682"/>
      <c r="I10" s="358">
        <f>DATE(YEAR($L$26),MONTH($L$26),1)</f>
        <v>1</v>
      </c>
      <c r="J10" s="359">
        <f ca="1">IF($I$10&lt;DATE(YEAR(CRONO!$U$13),MONTH(CRONO!$U$13),1),0,IF($I$10&gt;OFFSET(CRONO!$AG$13,0,-1),1,INDEX(CRONO!$T$53:$AH$53,MATCH(RRE!$I$10,CRONO!$T$13:$AG$13,0))))</f>
        <v>0</v>
      </c>
      <c r="K10" s="355"/>
      <c r="L10" s="820"/>
      <c r="M10" s="360">
        <f ca="1">QCI!L10</f>
        <v>443758.71000000089</v>
      </c>
      <c r="N10" s="280">
        <f ca="1">QCI!M10</f>
        <v>0</v>
      </c>
      <c r="P10" s="357"/>
      <c r="R10" s="146"/>
      <c r="S10" s="146"/>
      <c r="T10" s="146"/>
      <c r="U10" s="146"/>
      <c r="AC10" s="821" t="s">
        <v>76</v>
      </c>
      <c r="AD10" s="821"/>
      <c r="AE10" s="821"/>
      <c r="AF10" s="821"/>
      <c r="AG10" s="821"/>
      <c r="AH10" s="821"/>
      <c r="AJ10" s="821" t="s">
        <v>78</v>
      </c>
      <c r="AK10" s="821"/>
      <c r="AL10" s="821"/>
      <c r="AM10" s="821"/>
      <c r="AN10" s="821"/>
      <c r="AO10" s="821"/>
    </row>
    <row r="11" spans="1:41" ht="20.100000000000001" customHeight="1" x14ac:dyDescent="0.2">
      <c r="D11" s="709"/>
      <c r="M11" s="451" t="str">
        <f>IF(CAIXA.Modo,"Valores Aferidos (R$)","Valores Medidos (R$)")</f>
        <v>Valores Medidos (R$)</v>
      </c>
      <c r="N11" s="451"/>
      <c r="O11" s="451"/>
      <c r="R11" s="361"/>
      <c r="S11" s="361"/>
      <c r="T11" s="451"/>
      <c r="U11" s="451"/>
      <c r="V11" s="448" t="s">
        <v>877</v>
      </c>
      <c r="Y11" s="822" t="str">
        <f>IF(CAIXA.Modo,"Valores Aferidos (R$)","Valores Medidos (R$)")</f>
        <v>Valores Medidos (R$)</v>
      </c>
      <c r="Z11" s="822"/>
      <c r="AC11" s="823" t="s">
        <v>878</v>
      </c>
      <c r="AD11" s="823"/>
      <c r="AE11" s="823"/>
      <c r="AF11" s="823" t="s">
        <v>879</v>
      </c>
      <c r="AG11" s="823"/>
      <c r="AH11" s="823"/>
      <c r="AJ11" s="823" t="s">
        <v>878</v>
      </c>
      <c r="AK11" s="823"/>
      <c r="AL11" s="823"/>
      <c r="AM11" s="823" t="s">
        <v>879</v>
      </c>
      <c r="AN11" s="823"/>
      <c r="AO11" s="823"/>
    </row>
    <row r="12" spans="1:41" ht="30" hidden="1" customHeight="1" x14ac:dyDescent="0.2">
      <c r="A12" t="e">
        <f ca="1">MATCH(E12,ORÇAMENTO!$E$15:$E$93,0)-1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#N/A</v>
      </c>
      <c r="AD12" s="183" t="e"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#N/A</v>
      </c>
      <c r="AE12" s="183" t="e">
        <f ca="1">ROUND(
            IF(ACOMPANHAMENTO&lt;&gt;"PLE",0,
                      SUMIF(OFFSET(CÁLCULO!$AX$15:$BH$15,$A12,0,$B12),"&lt;="&amp;(PLE.Medicao-1),OFFSET(CÁLCULO!$AB$15:$AL$15,$A12,0,$B12))
                      +IF(AdmLocal="Automática",
                              SUMIF(OFFSET(CÁLCULO!$M$15,$A12,0,$B12),1,OFFSET(ORÇAMENTO!$X$15,$A12,0,$B12))*(PLE!$AE$9-PLE!$Y$9),
                              0)),
            2)</f>
        <v>#N/A</v>
      </c>
      <c r="AF12" s="183" t="e"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#N/A</v>
      </c>
      <c r="AG12" s="183" t="e"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#N/A</v>
      </c>
      <c r="AH12" s="183" t="e">
        <f ca="1">ROUND(IF(ACOMPANHAMENTO&lt;&gt;"PLE",0,SUMIF(OFFSET(CÁLCULO!$AX$15:$BH$15,$A12,0,$B12),"&lt;="&amp;PLE.Medicao,OFFSET(CÁLCULO!$AB$15:$AL$15,$A12,0,$B12))+IF(AdmLocal="Automática",SUMIF(OFFSET(CÁLCULO!$M$15,$A12,0,$B12),1,OFFSET(ORÇAMENTO!$X$15,$A12,0,$B12))*PLE!$AE$9,0)),2)</f>
        <v>#N/A</v>
      </c>
      <c r="AJ12" s="183" cm="1">
        <f t="array" aca="1" ref="AJ12" ca="1">IF(ACOMPANHAMENTO&lt;&gt;"BM",0,SUMPRODUCT(OFFSET(BM!$M$15,$A12,0,$B12)*(OFFSET(BM!$A$15,$A12,0,$B12)="S")*OFFSET(ORÇAMENTO!AA$15,$A12,0,$B12)/(OFFSET(ORÇAMENTO!$X$15,$A12,0,$B12)+10^-12)))</f>
        <v>0</v>
      </c>
      <c r="AK12" s="183" cm="1">
        <f t="array" aca="1" ref="AK12" ca="1">IF(ACOMPANHAMENTO&lt;&gt;"BM",0,SUMPRODUCT(OFFSET(BM!$M$15,$A12,0,$B12)*(OFFSET(BM!$A$15,$A12,0,$B12)="S")*OFFSET(ORÇAMENTO!AB$15,$A12,0,$B12)/(OFFSET(ORÇAMENTO!$X$15,$A12,0,$B12)+10^-12)))</f>
        <v>0</v>
      </c>
      <c r="AL12" s="183">
        <f ca="1">IF(ACOMPANHAMENTO&lt;&gt;"BM",0,OFFSET(BM!$M$15,$A12,0))</f>
        <v>0</v>
      </c>
      <c r="AM12" s="183" cm="1">
        <f t="array" aca="1" ref="AM12" ca="1">IF(ACOMPANHAMENTO&lt;&gt;"BM",0,SUMPRODUCT(OFFSET(BM!$O$15,$A12,0,$B12)*(OFFSET(BM!$A$15,$A12,0,$B12)="S")*OFFSET(ORÇAMENTO!AA$15,$A12,0,$B12)/(OFFSET(ORÇAMENTO!$X$15,$A12,0,$B12)+10^-12)))</f>
        <v>0</v>
      </c>
      <c r="AN12" s="183" cm="1">
        <f t="array" aca="1" ref="AN12" ca="1">IF(ACOMPANHAMENTO&lt;&gt;"BM",0,SUMPRODUCT(OFFSET(BM!$O$15,$A12,0,$B12)*(OFFSET(BM!$A$15,$A12,0,$B12)="S")*OFFSET(ORÇAMENTO!AB$15,$A12,0,$B12)/(OFFSET(ORÇAMENTO!$X$15,$A12,0,$B12)+10^-12)))</f>
        <v>0</v>
      </c>
      <c r="AO12" s="183">
        <f ca="1">IF(ACOMPANHAMENTO&lt;&gt;"BM",0,OFFSET(BM!$O$15,$A12,0))</f>
        <v>0</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MATCH(E14,ORÇAMENTO!$E$15:$E$93,0)-1</f>
        <v>1</v>
      </c>
      <c r="B14">
        <f ca="1">IF(ISERROR($A14),NA(),OFFSET(ORÇAMENTO!$D$15,$A14,0))</f>
        <v>77</v>
      </c>
      <c r="C14" t="str">
        <f ca="1">QCI!B14</f>
        <v>Automático</v>
      </c>
      <c r="D14" t="str">
        <f t="shared" ref="D14" ca="1" si="0">IF(L14&gt;0,"F","")</f>
        <v>F</v>
      </c>
      <c r="E14" s="281">
        <f>QCI!D14</f>
        <v>1</v>
      </c>
      <c r="F14" s="362" t="str">
        <f ca="1">QCI!G14</f>
        <v>USINA DE TRIAGEM MECANIZADA - ARRANJO BURITIZEIRO/MG</v>
      </c>
      <c r="G14" s="363" t="str">
        <f>QCI!H14</f>
        <v>Em Análise</v>
      </c>
      <c r="H14" s="282">
        <f>QCI!I14</f>
        <v>1</v>
      </c>
      <c r="I14" s="282" t="str">
        <f ca="1">QCI!J14</f>
        <v>m²</v>
      </c>
      <c r="J14" s="364" t="str">
        <f ca="1">QCI!K14</f>
        <v>LOTE 1</v>
      </c>
      <c r="K14" s="365" cm="1">
        <f t="array" aca="1" ref="K14" ca="1">IF($C14="Automático",IF(ACOMPANHAMENTO="BM",BM.medicao,PLE.Medicao),IF(ISBLANK($X14),"",$X14))</f>
        <v>1</v>
      </c>
      <c r="L14" s="286">
        <f ca="1">QCI!$O14</f>
        <v>21394861.289999999</v>
      </c>
      <c r="M14" s="283">
        <f t="shared" ref="M14" ca="1" si="1">ROUND(IF(C14="Automático",AE14+AL14,Y14),2)</f>
        <v>0</v>
      </c>
      <c r="N14" s="284">
        <f t="shared" ref="N14" ca="1" si="2">O14-M14</f>
        <v>0</v>
      </c>
      <c r="O14" s="285">
        <f t="shared" ref="O14" ca="1" si="3">ROUND(IF(C14="Automático",AH14+AO14,Z14),2)</f>
        <v>0</v>
      </c>
      <c r="P14" s="367">
        <f t="shared" ref="P14"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12.95" customHeight="1" x14ac:dyDescent="0.2">
      <c r="D15" t="s">
        <v>536</v>
      </c>
      <c r="E15" s="1"/>
      <c r="F15" s="1"/>
      <c r="G15" s="1"/>
      <c r="H15" s="1"/>
      <c r="I15" s="2"/>
      <c r="J15" s="838" t="s">
        <v>889</v>
      </c>
      <c r="K15" s="839"/>
      <c r="L15" s="369">
        <f ca="1">IF(ISERROR(L19/$L19),0,ROUND(L19/$L19,4))</f>
        <v>1</v>
      </c>
      <c r="M15" s="371">
        <f ca="1">IF(ISERROR(M19/$L19),0,ROUND(M19/$L19,4))</f>
        <v>0</v>
      </c>
      <c r="N15" s="370">
        <f ca="1">IF(ISERROR(N19/$L19),0,ROUND(N19/$L19,4))</f>
        <v>0</v>
      </c>
      <c r="O15" s="372">
        <f ca="1">IF(ISERROR(O19/$L19),0,ROUND(O19/$L19,4))</f>
        <v>0</v>
      </c>
      <c r="P15" s="840">
        <f ca="1">O19/(L19+10^-12)</f>
        <v>0</v>
      </c>
      <c r="X15" s="302"/>
      <c r="Y15" s="304"/>
      <c r="Z15" s="305"/>
    </row>
    <row r="16" spans="1:41" ht="12.95" customHeight="1" x14ac:dyDescent="0.2">
      <c r="D16" t="s">
        <v>536</v>
      </c>
      <c r="I16" s="4"/>
      <c r="J16" s="841" t="str">
        <f>IF(import.recurso="FGTS","Financiamento","Repasse")</f>
        <v>Repasse</v>
      </c>
      <c r="K16" s="842"/>
      <c r="L16" s="286">
        <f ca="1">QCI!L15</f>
        <v>21394861.289999999</v>
      </c>
      <c r="M16" s="283">
        <f ca="1">M19-M18-M17</f>
        <v>0</v>
      </c>
      <c r="N16" s="284">
        <f ca="1">O16-M16</f>
        <v>0</v>
      </c>
      <c r="O16" s="285">
        <f ca="1">O19-O18-O17</f>
        <v>0</v>
      </c>
      <c r="P16" s="840"/>
      <c r="X16" s="373"/>
      <c r="Y16" s="374" t="s">
        <v>890</v>
      </c>
      <c r="Z16" s="375" t="s">
        <v>891</v>
      </c>
      <c r="AC16" s="376" t="s">
        <v>892</v>
      </c>
      <c r="AD16" s="376" t="s">
        <v>893</v>
      </c>
    </row>
    <row r="17" spans="4:30" ht="12.95" customHeight="1" x14ac:dyDescent="0.2">
      <c r="D17" t="s">
        <v>536</v>
      </c>
      <c r="I17" s="4"/>
      <c r="J17" s="843" t="s">
        <v>894</v>
      </c>
      <c r="K17" s="844"/>
      <c r="L17" s="377">
        <f ca="1">QCI!M15</f>
        <v>0</v>
      </c>
      <c r="M17" s="378">
        <f ca="1">ROUND(IF(OFFSET($X$17,0,1)&lt;&gt;"",OFFSET($X$17,0,1),SUM(R13:OFFSET(R15,-1,0))),2)</f>
        <v>0</v>
      </c>
      <c r="N17" s="379">
        <f ca="1">O17-M17</f>
        <v>0</v>
      </c>
      <c r="O17" s="380">
        <f ca="1">IF(OFFSET($X$17,0,2)&lt;&gt;"",OFFSET($X$17,0,2),$AE$3)</f>
        <v>0</v>
      </c>
      <c r="P17" s="840"/>
      <c r="X17" s="381" t="s">
        <v>456</v>
      </c>
      <c r="Y17" s="444"/>
      <c r="Z17" s="445"/>
      <c r="AC17" s="382">
        <f ca="1">MIN($L17,$O$19-OFFSET($X$18,0,1))</f>
        <v>0</v>
      </c>
      <c r="AD17" s="382">
        <f ca="1">MIN($L17,$O$19-OFFSET($X$18,0,2))</f>
        <v>0</v>
      </c>
    </row>
    <row r="18" spans="4:30" ht="12.95" customHeight="1" x14ac:dyDescent="0.2">
      <c r="D18" t="s">
        <v>536</v>
      </c>
      <c r="I18" s="4"/>
      <c r="J18" s="824" t="s">
        <v>871</v>
      </c>
      <c r="K18" s="825"/>
      <c r="L18" s="383">
        <f ca="1">QCI!N15</f>
        <v>0</v>
      </c>
      <c r="M18" s="384">
        <f ca="1">ROUND(IF(OFFSET($X$18,0,1)&lt;&gt;"",OFFSET($X$18,0,1),SUM(S13:OFFSET(S15,-1,0))),2)</f>
        <v>0</v>
      </c>
      <c r="N18" s="385">
        <f ca="1">O18-M18</f>
        <v>0</v>
      </c>
      <c r="O18" s="386">
        <f ca="1">IF(OFFSET($X$18,0,2)&lt;&gt;"",OFFSET($X$18,0,2),$AE$4)</f>
        <v>0</v>
      </c>
      <c r="P18" s="840"/>
      <c r="X18" s="387" t="s">
        <v>794</v>
      </c>
      <c r="Y18" s="446"/>
      <c r="Z18" s="447"/>
      <c r="AC18" s="382">
        <f ca="1">MIN($L18,$O$19-OFFSET($X$17,0,1))</f>
        <v>0</v>
      </c>
      <c r="AD18" s="382">
        <f ca="1">MIN($L18,$O$19-OFFSET($X$17,0,2))</f>
        <v>0</v>
      </c>
    </row>
    <row r="19" spans="4:30" ht="15" x14ac:dyDescent="0.2">
      <c r="D19" t="s">
        <v>536</v>
      </c>
      <c r="I19" s="4"/>
      <c r="J19" s="826" t="s">
        <v>873</v>
      </c>
      <c r="K19" s="827"/>
      <c r="L19" s="388">
        <f ca="1">SUM(L13:OFFSET(L15,-1,0))</f>
        <v>21394861.289999999</v>
      </c>
      <c r="M19" s="648">
        <f ca="1">ROUND(SUM(M13:OFFSET(M15,-1,0)),2)</f>
        <v>0</v>
      </c>
      <c r="N19" s="649">
        <f ca="1">O19-M19</f>
        <v>0</v>
      </c>
      <c r="O19" s="389">
        <f ca="1">SUM(O13:OFFSET(O15,-1,0))</f>
        <v>0</v>
      </c>
      <c r="P19" s="840"/>
      <c r="X19" s="314"/>
      <c r="Y19" s="316"/>
      <c r="Z19" s="317"/>
    </row>
    <row r="20" spans="4:30" x14ac:dyDescent="0.2">
      <c r="O20" s="828" t="str">
        <f ca="1">"Acumulado Anterior:  "&amp;TEXT($M$19/($L$19+10^-12),"0,00%")</f>
        <v>Acumulado Anterior:  0,00%</v>
      </c>
      <c r="P20" s="828"/>
    </row>
    <row r="21" spans="4:30" ht="14.25" x14ac:dyDescent="0.2">
      <c r="E21" s="135" t="s">
        <v>689</v>
      </c>
      <c r="P21" s="414"/>
    </row>
    <row r="22" spans="4:30" ht="12.75" customHeight="1" x14ac:dyDescent="0.2">
      <c r="E22" s="832"/>
      <c r="F22" s="833"/>
      <c r="G22" s="833"/>
      <c r="H22" s="833"/>
      <c r="I22" s="833"/>
      <c r="J22" s="833"/>
      <c r="K22" s="833"/>
      <c r="L22" s="833"/>
      <c r="M22" s="833"/>
      <c r="N22" s="833"/>
      <c r="O22" s="833"/>
      <c r="P22" s="834"/>
    </row>
    <row r="23" spans="4:30" ht="12.75" customHeight="1" x14ac:dyDescent="0.2">
      <c r="E23" s="832"/>
      <c r="F23" s="833"/>
      <c r="G23" s="833"/>
      <c r="H23" s="833"/>
      <c r="I23" s="833"/>
      <c r="J23" s="833"/>
      <c r="K23" s="833"/>
      <c r="L23" s="833"/>
      <c r="M23" s="833"/>
      <c r="N23" s="833"/>
      <c r="O23" s="833"/>
      <c r="P23" s="834"/>
      <c r="Y23" s="390"/>
      <c r="Z23" s="390"/>
    </row>
    <row r="24" spans="4:30" ht="12.75" customHeight="1" x14ac:dyDescent="0.2">
      <c r="E24" s="835"/>
      <c r="F24" s="836"/>
      <c r="G24" s="836"/>
      <c r="H24" s="836"/>
      <c r="I24" s="836"/>
      <c r="J24" s="836"/>
      <c r="K24" s="836"/>
      <c r="L24" s="836"/>
      <c r="M24" s="836"/>
      <c r="N24" s="836"/>
      <c r="O24" s="836"/>
      <c r="P24" s="837"/>
    </row>
    <row r="25" spans="4:30" x14ac:dyDescent="0.2">
      <c r="L25" s="571" t="str">
        <f>IF(L26=0,"Preencher a data de fechamento do RRE na aba DADOS (célula "&amp;ADDRESS(ROW(Import.DataFechaRRE),COLUMN(Import.DataFechaRRE),4)&amp;")","")</f>
        <v>Preencher a data de fechamento do RRE na aba DADOS (célula C48)</v>
      </c>
    </row>
    <row r="26" spans="4:30" ht="15" x14ac:dyDescent="0.2">
      <c r="E26" s="716" t="str">
        <f>Import.Município</f>
        <v>BURITIZEIRO-MG</v>
      </c>
      <c r="F26" s="716"/>
      <c r="G26" s="716"/>
      <c r="I26" s="391"/>
      <c r="K26" s="584"/>
      <c r="L26" s="769">
        <f>DADOS!$C$48</f>
        <v>0</v>
      </c>
      <c r="M26" s="769"/>
      <c r="N26" s="769"/>
      <c r="O26" s="769"/>
    </row>
    <row r="27" spans="4:30" x14ac:dyDescent="0.2">
      <c r="E27" s="9" t="s">
        <v>693</v>
      </c>
      <c r="L27" s="9" t="s">
        <v>694</v>
      </c>
    </row>
    <row r="29" spans="4:30" x14ac:dyDescent="0.2">
      <c r="E29" s="180"/>
      <c r="F29" s="180"/>
      <c r="G29" s="180"/>
      <c r="L29" s="180"/>
      <c r="M29" s="180"/>
      <c r="N29" s="180"/>
      <c r="O29" s="180"/>
    </row>
    <row r="30" spans="4:30" x14ac:dyDescent="0.2">
      <c r="E30" s="392" t="str">
        <f>IF(CAIXA.Modo,"Responsável Gerencial CAIXA","Representante Tomador")</f>
        <v>Representante Tomador</v>
      </c>
      <c r="F30" s="7"/>
      <c r="L30" s="392" t="str">
        <f>IF(CAIXA.Modo,"Responsável Técnico CAIXA","Responsável Técnico pela Fiscalização")</f>
        <v>Responsável Técnico pela Fiscalização</v>
      </c>
    </row>
    <row r="31" spans="4:30" x14ac:dyDescent="0.2">
      <c r="E31" s="77" t="s">
        <v>240</v>
      </c>
      <c r="F31" s="271" t="str">
        <f>IF(CAIXA.Modo,DADOS!C60,DADOS!C28)</f>
        <v>MIGUEL FELIPE FERREIRA DE OLIVEIRA</v>
      </c>
      <c r="L31" s="77" t="s">
        <v>240</v>
      </c>
      <c r="M31" s="815">
        <f>IF(CAIXA.Modo,BM!X105,DADOS!C51)</f>
        <v>0</v>
      </c>
      <c r="N31" s="815"/>
      <c r="O31" s="815"/>
    </row>
    <row r="32" spans="4:30" x14ac:dyDescent="0.2">
      <c r="E32" s="77" t="str">
        <f>IF(CAIXA.Modo,"Função:","Cargo:")</f>
        <v>Cargo:</v>
      </c>
      <c r="F32" s="271" t="str">
        <f>IF(CAIXA.Modo,DADOS!C61,DADOS!C29)</f>
        <v>PRESIDENTE</v>
      </c>
      <c r="L32" s="77" t="str">
        <f>IF(CAIXA.Modo,"Matrícula:","Profissão:")</f>
        <v>Profissão:</v>
      </c>
      <c r="M32" s="815">
        <f>IF(CAIXA.Modo,BM!X106,DADOS!C52)</f>
        <v>0</v>
      </c>
      <c r="N32" s="815"/>
      <c r="O32" s="815"/>
    </row>
    <row r="33" spans="5:15" x14ac:dyDescent="0.2">
      <c r="L33" s="77" t="s">
        <v>243</v>
      </c>
      <c r="M33" s="815">
        <f>IF(CAIXA.Modo,BM!X107,DADOS!C53)</f>
        <v>0</v>
      </c>
      <c r="N33" s="815"/>
      <c r="O33" s="815"/>
    </row>
    <row r="34" spans="5:15" x14ac:dyDescent="0.2">
      <c r="L34" s="77" t="str">
        <f>IF(CAIXA.Modo,"","ART/RRT:")</f>
        <v>ART/RRT:</v>
      </c>
      <c r="M34" s="12">
        <f>IF(CAIXA.Modo,"",DADOS!C54)</f>
        <v>0</v>
      </c>
    </row>
    <row r="36" spans="5:15" x14ac:dyDescent="0.2">
      <c r="E36" s="180"/>
      <c r="F36" s="180"/>
      <c r="G36" s="180"/>
      <c r="L36" s="180"/>
      <c r="M36" s="180"/>
      <c r="N36" s="180"/>
      <c r="O36" s="180"/>
    </row>
    <row r="37" spans="5:15" x14ac:dyDescent="0.2">
      <c r="E37" t="str">
        <f>IF(CAIXA.Modo,"Responsável Social CAIXA","Responsável Social")</f>
        <v>Responsável Social</v>
      </c>
      <c r="L37" t="str">
        <f>IF(CAIXA.Modo,"Responsável Operacional CAIXA","Responsável Financeiro")</f>
        <v>Responsável Financeiro</v>
      </c>
    </row>
    <row r="38" spans="5:15" x14ac:dyDescent="0.2">
      <c r="E38" s="77" t="s">
        <v>240</v>
      </c>
      <c r="F38" s="814"/>
      <c r="G38" s="814"/>
      <c r="L38" s="77" t="s">
        <v>240</v>
      </c>
      <c r="M38" s="814"/>
      <c r="N38" s="814"/>
      <c r="O38" s="814"/>
    </row>
    <row r="39" spans="5:15" x14ac:dyDescent="0.2">
      <c r="E39" s="77" t="str">
        <f>IF(CAIXA.Modo,"Função:","Cargo:")</f>
        <v>Cargo:</v>
      </c>
      <c r="F39" s="814"/>
      <c r="G39" s="814"/>
      <c r="L39" s="77" t="str">
        <f>IF(CAIXA.Modo,"Função:","Cargo:")</f>
        <v>Cargo:</v>
      </c>
      <c r="M39" s="814"/>
      <c r="N39" s="814"/>
      <c r="O39" s="814"/>
    </row>
    <row r="40" spans="5:15" x14ac:dyDescent="0.2">
      <c r="E40" s="77" t="str">
        <f>IF(CAIXA.Modo,"Matr:","")</f>
        <v/>
      </c>
      <c r="F40" s="814"/>
      <c r="G40" s="814"/>
      <c r="L40" s="77" t="str">
        <f>IF(CAIXA.Modo,"Matrícula:","")</f>
        <v/>
      </c>
      <c r="M40" s="814"/>
      <c r="N40" s="814"/>
      <c r="O40" s="814"/>
    </row>
  </sheetData>
  <sheetProtection algorithmName="SHA-512" hashValue="Copsg+YvZ9CD+Du6QC7T4hD1nLqlRQF59DMOSBZrkFjO/6UHNFoAB90hZjzrAFq90DcgNjYEW0dR0b210qyt5Q==" saltValue="EGHeiJ0P9Da3RXZrINa2Rw==" spinCount="100000" sheet="1" objects="1" scenarios="1" autoFilter="0"/>
  <autoFilter ref="D13:D21" xr:uid="{00000000-0009-0000-0000-00000C000000}"/>
  <mergeCells count="40">
    <mergeCell ref="M4:O4"/>
    <mergeCell ref="M40:O40"/>
    <mergeCell ref="E22:P24"/>
    <mergeCell ref="L26:O26"/>
    <mergeCell ref="M31:O31"/>
    <mergeCell ref="M32:O32"/>
    <mergeCell ref="M33:O33"/>
    <mergeCell ref="M38:O38"/>
    <mergeCell ref="F40:G40"/>
    <mergeCell ref="E26:G26"/>
    <mergeCell ref="F38:G38"/>
    <mergeCell ref="F39:G39"/>
    <mergeCell ref="J15:K15"/>
    <mergeCell ref="P15:P19"/>
    <mergeCell ref="J16:K16"/>
    <mergeCell ref="J17:K17"/>
    <mergeCell ref="J18:K18"/>
    <mergeCell ref="J19:K19"/>
    <mergeCell ref="O20:P20"/>
    <mergeCell ref="M39:O39"/>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44" priority="484" stopIfTrue="1">
      <formula>OR($C12="Automático",$C12="Branco")</formula>
    </cfRule>
  </conditionalFormatting>
  <conditionalFormatting sqref="F40:G40 M40:O40">
    <cfRule type="expression" dxfId="43" priority="485" stopIfTrue="1">
      <formula>CAIXA.Modo=FALSE</formula>
    </cfRule>
  </conditionalFormatting>
  <conditionalFormatting sqref="M12 M16:M19 O12 O16:O19">
    <cfRule type="cellIs" dxfId="42" priority="486" stopIfTrue="1" operator="notBetween">
      <formula>0</formula>
      <formula>$L12</formula>
    </cfRule>
  </conditionalFormatting>
  <conditionalFormatting sqref="M10:N10">
    <cfRule type="cellIs" dxfId="41" priority="487" stopIfTrue="1" operator="lessThan">
      <formula>0</formula>
    </cfRule>
  </conditionalFormatting>
  <conditionalFormatting sqref="X14:Z14">
    <cfRule type="expression" dxfId="40" priority="5" stopIfTrue="1">
      <formula>OR($C14="Automático",$C14="Branco")</formula>
    </cfRule>
  </conditionalFormatting>
  <conditionalFormatting sqref="M14 O14">
    <cfRule type="cellIs" dxfId="39" priority="6" stopIfTrue="1" operator="notBetween">
      <formula>0</formula>
      <formula>$L14</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17"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17"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18"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18" xr:uid="{00000000-0002-0000-0C00-000003000000}">
      <formula1>0</formula1>
      <formula2>RRE.MaxOUAcum</formula2>
    </dataValidation>
    <dataValidation type="decimal" allowBlank="1" showInputMessage="1" showErrorMessage="1" sqref="Y12:Z12 Y14:Z14"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48"/>
      <c r="C1" s="848"/>
      <c r="D1" s="49"/>
      <c r="E1" s="49"/>
      <c r="F1" s="49"/>
      <c r="G1" s="52" t="s">
        <v>644</v>
      </c>
    </row>
    <row r="2" spans="2:13" x14ac:dyDescent="0.2">
      <c r="B2" s="848"/>
      <c r="C2" s="848"/>
      <c r="D2" s="49"/>
      <c r="E2" s="49"/>
      <c r="F2" s="49"/>
      <c r="G2" s="11" t="s">
        <v>895</v>
      </c>
    </row>
    <row r="3" spans="2:13" ht="26.1" customHeight="1" x14ac:dyDescent="0.2">
      <c r="B3" s="848"/>
      <c r="C3" s="848"/>
      <c r="D3" s="49"/>
      <c r="E3" s="49"/>
      <c r="F3" s="49"/>
      <c r="G3" s="393"/>
    </row>
    <row r="4" spans="2:13" ht="12.75" customHeight="1" x14ac:dyDescent="0.2">
      <c r="B4" s="848"/>
      <c r="C4" s="848"/>
      <c r="D4" s="49"/>
      <c r="E4" s="49"/>
      <c r="F4" s="49"/>
      <c r="G4" s="49"/>
    </row>
    <row r="5" spans="2:13" x14ac:dyDescent="0.2">
      <c r="C5" s="571" t="str">
        <f>IF(Import.Ofício.Num=0,"Preencher o número do Ofício","")</f>
        <v>Preencher o número do Ofício</v>
      </c>
    </row>
    <row r="6" spans="2:13" x14ac:dyDescent="0.2">
      <c r="B6" s="394" t="s">
        <v>896</v>
      </c>
      <c r="C6" s="845"/>
      <c r="D6" s="845"/>
      <c r="E6" s="394"/>
      <c r="F6" s="394"/>
      <c r="G6" s="49"/>
      <c r="J6" s="9"/>
    </row>
    <row r="7" spans="2:13" x14ac:dyDescent="0.2">
      <c r="B7" s="49"/>
      <c r="C7" s="49"/>
      <c r="D7" s="49"/>
      <c r="E7" s="49"/>
      <c r="F7" s="49"/>
      <c r="G7" s="49"/>
    </row>
    <row r="8" spans="2:13" x14ac:dyDescent="0.2">
      <c r="B8" s="846" t="str">
        <f>CONCATENATE(RRE!$E$26,", ",TEXT(RRE!$L$26,"dd"" de ""mmmm"" de ""aaaa"))</f>
        <v>BURITIZEIRO-MG, 00 de janeiro de 1900</v>
      </c>
      <c r="C8" s="846"/>
      <c r="D8" s="846"/>
      <c r="E8" s="846"/>
      <c r="F8" s="846"/>
      <c r="G8" s="846"/>
      <c r="H8" s="395"/>
      <c r="J8" s="395"/>
      <c r="K8" s="395"/>
      <c r="L8" s="395"/>
      <c r="M8" s="395"/>
    </row>
    <row r="9" spans="2:13" x14ac:dyDescent="0.2">
      <c r="B9" s="396" t="s">
        <v>897</v>
      </c>
      <c r="C9" s="49"/>
      <c r="D9" s="49"/>
      <c r="G9" s="49"/>
      <c r="H9" s="395"/>
      <c r="J9" s="395"/>
      <c r="K9" s="395"/>
      <c r="L9" s="395"/>
      <c r="M9" s="395"/>
    </row>
    <row r="10" spans="2:13" x14ac:dyDescent="0.2">
      <c r="B10" s="847" t="s">
        <v>898</v>
      </c>
      <c r="C10" s="847"/>
      <c r="D10" s="847"/>
      <c r="G10" s="49"/>
      <c r="H10" s="395"/>
      <c r="J10" s="395"/>
      <c r="K10" s="395"/>
      <c r="L10" s="395"/>
      <c r="M10" s="395"/>
    </row>
    <row r="11" spans="2:13" x14ac:dyDescent="0.2">
      <c r="B11" s="397" t="s">
        <v>899</v>
      </c>
      <c r="C11" s="814"/>
      <c r="D11" s="814"/>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47" t="str" cm="1">
        <f t="array" aca="1" ref="C14" ca="1">CONCATENATE(RRE.Numero,"ª"," Solicitação de ",IF(import.recurso="OGU","Desbloqueio","Desembolso")," de Recursos.")</f>
        <v>1ª Solicitação de Desbloqueio de Recursos.</v>
      </c>
      <c r="D14" s="847"/>
      <c r="E14" s="847"/>
      <c r="F14" s="847"/>
      <c r="G14" s="847"/>
    </row>
    <row r="15" spans="2:13" ht="12.75" customHeight="1" x14ac:dyDescent="0.2">
      <c r="B15" s="396" t="s">
        <v>901</v>
      </c>
      <c r="C15" s="853" t="str">
        <f>CONCATENATE("Contrato de ",IF(import.recurso="OGU","Repasse","Financiamento")," - Operação nº ",Import.CR,IF(Import.TransfereGOV="","",CONCATENATE(" - TransfereGOV nº ",Import.TransfereGOV)))</f>
        <v>Contrato de Repasse - Operação nº 1099388-52 - TransfereGOV nº 974020</v>
      </c>
      <c r="D15" s="853"/>
      <c r="E15" s="853"/>
      <c r="F15" s="853"/>
      <c r="G15" s="853"/>
    </row>
    <row r="16" spans="2:13" x14ac:dyDescent="0.2">
      <c r="B16" s="396"/>
      <c r="C16" s="853"/>
      <c r="D16" s="853"/>
      <c r="E16" s="853"/>
      <c r="F16" s="853"/>
      <c r="G16" s="853"/>
    </row>
    <row r="17" spans="2:7" x14ac:dyDescent="0.2">
      <c r="B17" s="49"/>
      <c r="C17" s="49"/>
      <c r="D17" s="49"/>
      <c r="E17" s="49"/>
      <c r="F17" s="49"/>
      <c r="G17" s="49"/>
    </row>
    <row r="18" spans="2:7" ht="12.75" customHeight="1" x14ac:dyDescent="0.2">
      <c r="B18" s="271" t="s">
        <v>902</v>
      </c>
      <c r="C18" s="849" t="str">
        <f>Import.DescLote</f>
        <v>Implantação de uma Usina de Triagem Mecanizada de Resíduos Sólidos em Buritizeiro/MG, que atenderá também as cidades de Várzea da Palma/MG, Lassance/MG e Jequitaí/MG.</v>
      </c>
      <c r="D18" s="849"/>
      <c r="E18" s="849"/>
      <c r="F18" s="849"/>
      <c r="G18" s="849"/>
    </row>
    <row r="19" spans="2:7" ht="12.75" customHeight="1" x14ac:dyDescent="0.2">
      <c r="B19" s="851" t="s">
        <v>903</v>
      </c>
      <c r="C19" s="852" t="str">
        <f>Import.Proponente</f>
        <v>MINISTÉRIO DAS CIDADES</v>
      </c>
      <c r="D19" s="852"/>
      <c r="E19" s="852"/>
      <c r="F19" s="852"/>
      <c r="G19" s="852"/>
    </row>
    <row r="20" spans="2:7" x14ac:dyDescent="0.2">
      <c r="B20" s="851"/>
      <c r="C20" s="852"/>
      <c r="D20" s="852"/>
      <c r="E20" s="852"/>
      <c r="F20" s="852"/>
      <c r="G20" s="852"/>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49"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49"/>
      <c r="D24" s="849"/>
      <c r="E24" s="849"/>
      <c r="F24" s="849"/>
      <c r="G24" s="849"/>
    </row>
    <row r="25" spans="2:7" x14ac:dyDescent="0.2">
      <c r="B25" s="849"/>
      <c r="C25" s="849"/>
      <c r="D25" s="849"/>
      <c r="E25" s="849"/>
      <c r="F25" s="849"/>
      <c r="G25" s="849"/>
    </row>
    <row r="26" spans="2:7" x14ac:dyDescent="0.2">
      <c r="B26" s="849"/>
      <c r="C26" s="849"/>
      <c r="D26" s="849"/>
      <c r="E26" s="849"/>
      <c r="F26" s="849"/>
      <c r="G26" s="849"/>
    </row>
    <row r="27" spans="2:7" x14ac:dyDescent="0.2">
      <c r="B27" s="49"/>
      <c r="C27" s="49"/>
      <c r="D27" s="49"/>
      <c r="E27" s="49"/>
      <c r="F27" s="49"/>
      <c r="G27" s="49"/>
    </row>
    <row r="28" spans="2:7" ht="12.75" customHeight="1" x14ac:dyDescent="0.2">
      <c r="B28" s="850"/>
      <c r="C28" s="850"/>
      <c r="D28" s="854" t="s">
        <v>904</v>
      </c>
      <c r="E28" s="854" t="str" cm="1">
        <f t="array" aca="1" ref="E28" ca="1">"Evolução da "&amp;RRE.Numero&amp;"ª Medição"</f>
        <v>Evolução da 1ª Medição</v>
      </c>
      <c r="F28" s="855" t="s">
        <v>905</v>
      </c>
      <c r="G28" s="855"/>
    </row>
    <row r="29" spans="2:7" x14ac:dyDescent="0.2">
      <c r="B29" s="850"/>
      <c r="C29" s="850"/>
      <c r="D29" s="854"/>
      <c r="E29" s="854"/>
      <c r="F29" s="855"/>
      <c r="G29" s="855"/>
    </row>
    <row r="30" spans="2:7" x14ac:dyDescent="0.2">
      <c r="B30" s="856" t="str">
        <f>IF(import.recurso="FGTS","Financiamento:","Repasse:")</f>
        <v>Repasse:</v>
      </c>
      <c r="C30" s="856"/>
      <c r="D30" s="399">
        <f ca="1">RRE!L16</f>
        <v>21394861.289999999</v>
      </c>
      <c r="E30" s="399">
        <f ca="1">RRE!N16</f>
        <v>0</v>
      </c>
      <c r="F30" s="857">
        <f ca="1">RRE!O16</f>
        <v>0</v>
      </c>
      <c r="G30" s="857"/>
    </row>
    <row r="31" spans="2:7" x14ac:dyDescent="0.2">
      <c r="B31" s="856" t="s">
        <v>906</v>
      </c>
      <c r="C31" s="856"/>
      <c r="D31" s="399">
        <f ca="1">RRE!L17</f>
        <v>0</v>
      </c>
      <c r="E31" s="399">
        <f ca="1">RRE!N17</f>
        <v>0</v>
      </c>
      <c r="F31" s="857">
        <f ca="1">RRE!O17</f>
        <v>0</v>
      </c>
      <c r="G31" s="857"/>
    </row>
    <row r="32" spans="2:7" x14ac:dyDescent="0.2">
      <c r="B32" s="856" t="s">
        <v>801</v>
      </c>
      <c r="C32" s="856"/>
      <c r="D32" s="399">
        <f ca="1">RRE!L18</f>
        <v>0</v>
      </c>
      <c r="E32" s="399">
        <f ca="1">RRE!N18</f>
        <v>0</v>
      </c>
      <c r="F32" s="857">
        <f ca="1">RRE!O18</f>
        <v>0</v>
      </c>
      <c r="G32" s="857"/>
    </row>
    <row r="33" spans="2:7" x14ac:dyDescent="0.2">
      <c r="B33" s="856" t="s">
        <v>802</v>
      </c>
      <c r="C33" s="856"/>
      <c r="D33" s="399">
        <f ca="1">RRE!L19</f>
        <v>21394861.289999999</v>
      </c>
      <c r="E33" s="399">
        <f ca="1">RRE!N19</f>
        <v>0</v>
      </c>
      <c r="F33" s="857">
        <f ca="1">RRE!O19</f>
        <v>0</v>
      </c>
      <c r="G33" s="857"/>
    </row>
    <row r="34" spans="2:7" x14ac:dyDescent="0.2">
      <c r="B34" s="860" t="s">
        <v>907</v>
      </c>
      <c r="C34" s="860"/>
      <c r="D34" s="400" t="s">
        <v>688</v>
      </c>
      <c r="E34" s="401">
        <f ca="1">RRE!$N$19/(RRE!$L$19+10^-12)</f>
        <v>0</v>
      </c>
      <c r="F34" s="861">
        <f ca="1">RRE!P15</f>
        <v>0</v>
      </c>
      <c r="G34" s="861"/>
    </row>
    <row r="35" spans="2:7" x14ac:dyDescent="0.2">
      <c r="B35" s="181"/>
      <c r="C35" s="49"/>
      <c r="D35" s="49"/>
      <c r="E35" s="49"/>
      <c r="F35" s="49"/>
      <c r="G35" s="49"/>
    </row>
    <row r="36" spans="2:7" x14ac:dyDescent="0.2">
      <c r="B36" s="181"/>
      <c r="C36" s="181"/>
      <c r="D36" s="181"/>
      <c r="E36" s="181"/>
      <c r="F36" s="181"/>
      <c r="G36" s="49"/>
    </row>
    <row r="37" spans="2:7" x14ac:dyDescent="0.2">
      <c r="B37" s="862" t="str" cm="1">
        <f t="array" aca="1" ref="B37" ca="1">IF(RRE.Numero&gt;1,"2. Encaminhamos ainda a documentação relativa à prestação de contas da etapa físico-financeira anterior.","")</f>
        <v/>
      </c>
      <c r="C37" s="862"/>
      <c r="D37" s="862"/>
      <c r="E37" s="862"/>
      <c r="F37" s="862"/>
      <c r="G37" s="862"/>
    </row>
    <row r="38" spans="2:7" x14ac:dyDescent="0.2">
      <c r="B38" s="862"/>
      <c r="C38" s="862"/>
      <c r="D38" s="862"/>
      <c r="E38" s="862"/>
      <c r="F38" s="862"/>
      <c r="G38" s="862"/>
    </row>
    <row r="39" spans="2:7" ht="12.75" customHeight="1" x14ac:dyDescent="0.2">
      <c r="B39" s="862" t="str" cm="1">
        <f t="array" aca="1" ref="B39" ca="1">IF(AND(RRE.Numero&gt;1,NOT(ISBLANK(Import.TransfereGOV))),"3. Na oportunidade, informamos que a execução financeira da parcela anterior está devidamente comprovada no TransfereGOV.","")</f>
        <v/>
      </c>
      <c r="C39" s="862"/>
      <c r="D39" s="862"/>
      <c r="E39" s="862"/>
      <c r="F39" s="862"/>
      <c r="G39" s="862"/>
    </row>
    <row r="40" spans="2:7" x14ac:dyDescent="0.2">
      <c r="B40" s="862"/>
      <c r="C40" s="862"/>
      <c r="D40" s="862"/>
      <c r="E40" s="862"/>
      <c r="F40" s="862"/>
      <c r="G40" s="862"/>
    </row>
    <row r="41" spans="2:7" x14ac:dyDescent="0.2">
      <c r="B41" s="402"/>
      <c r="C41" s="397"/>
      <c r="D41" s="397"/>
      <c r="E41" s="397"/>
      <c r="F41" s="397"/>
      <c r="G41" s="397"/>
    </row>
    <row r="42" spans="2:7" ht="12.75" customHeight="1" x14ac:dyDescent="0.2">
      <c r="B42" s="862"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62"/>
      <c r="D42" s="862"/>
      <c r="E42" s="862"/>
      <c r="F42" s="862"/>
      <c r="G42" s="862"/>
    </row>
    <row r="43" spans="2:7" x14ac:dyDescent="0.2">
      <c r="B43" s="862"/>
      <c r="C43" s="862"/>
      <c r="D43" s="862"/>
      <c r="E43" s="862"/>
      <c r="F43" s="862"/>
      <c r="G43" s="862"/>
    </row>
    <row r="44" spans="2:7" x14ac:dyDescent="0.2">
      <c r="B44" s="862"/>
      <c r="C44" s="862"/>
      <c r="D44" s="862"/>
      <c r="E44" s="862"/>
      <c r="F44" s="862"/>
      <c r="G44" s="862"/>
    </row>
    <row r="45" spans="2:7" x14ac:dyDescent="0.2">
      <c r="B45" s="862"/>
      <c r="C45" s="862"/>
      <c r="D45" s="862"/>
      <c r="E45" s="862"/>
      <c r="F45" s="862"/>
      <c r="G45" s="862"/>
    </row>
    <row r="46" spans="2:7" x14ac:dyDescent="0.2">
      <c r="B46" s="862"/>
      <c r="C46" s="862"/>
      <c r="D46" s="862"/>
      <c r="E46" s="862"/>
      <c r="F46" s="862"/>
      <c r="G46" s="862"/>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58" t="str">
        <f>DADOS!$C$28</f>
        <v>MIGUEL FELIPE FERREIRA DE OLIVEIRA</v>
      </c>
      <c r="C54" s="858"/>
      <c r="D54" s="858"/>
      <c r="E54" s="858"/>
      <c r="F54" s="858"/>
      <c r="G54" s="858"/>
    </row>
    <row r="55" spans="2:7" x14ac:dyDescent="0.2">
      <c r="B55" s="858" t="str">
        <f>DADOS!$C$29</f>
        <v>PRESIDENTE</v>
      </c>
      <c r="C55" s="858"/>
      <c r="D55" s="858"/>
      <c r="E55" s="858"/>
      <c r="F55" s="858"/>
      <c r="G55" s="858"/>
    </row>
    <row r="56" spans="2:7" x14ac:dyDescent="0.2">
      <c r="B56" s="859"/>
      <c r="C56" s="859"/>
      <c r="D56" s="859"/>
      <c r="E56" s="859"/>
      <c r="F56" s="859"/>
      <c r="G56" s="859"/>
    </row>
  </sheetData>
  <sheetProtection algorithmName="SHA-512" hashValue="c2LM/5ENtrAjUUezrZv4hvekDeq3CcXWj2QQ3EMHJTFzk6sa96TP1+pcBt+nhw8W7aKGaGqMirHEOBdDVI/g+w==" saltValue="3FpTR7Mwo04mB5pJwwoIfw=="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7"/>
      <c r="B2" s="668"/>
      <c r="C2" s="667"/>
      <c r="D2" s="667"/>
      <c r="E2" s="667"/>
      <c r="F2" s="669"/>
      <c r="G2" s="667"/>
      <c r="H2" s="670"/>
      <c r="I2" s="670"/>
      <c r="J2" s="671"/>
      <c r="K2" s="672"/>
      <c r="L2" s="673"/>
      <c r="M2" s="667"/>
      <c r="N2" s="674"/>
      <c r="O2" s="667"/>
      <c r="P2" s="674"/>
      <c r="Q2" s="667"/>
      <c r="R2" s="675"/>
      <c r="S2" s="672"/>
    </row>
  </sheetData>
  <conditionalFormatting sqref="A2:S2">
    <cfRule type="expression" dxfId="37" priority="85">
      <formula>$A2="Macrosserviço"</formula>
    </cfRule>
  </conditionalFormatting>
  <conditionalFormatting sqref="E2">
    <cfRule type="expression" dxfId="36" priority="91">
      <formula>IF($A2="Macrosserviço",LEN($E2)&gt;100,LEN($E2)&gt;500)</formula>
    </cfRule>
  </conditionalFormatting>
  <conditionalFormatting sqref="M2">
    <cfRule type="expression" dxfId="35" priority="86">
      <formula>IF($A2="Serviço",LEN(M2)&gt;500,M2&lt;&gt;"")</formula>
    </cfRule>
  </conditionalFormatting>
  <conditionalFormatting sqref="A2">
    <cfRule type="expression" dxfId="34" priority="78">
      <formula>AND(A2&lt;&gt;"Macrosserviço",A2&lt;&gt;"Serviço",A2&lt;&gt;"")</formula>
    </cfRule>
  </conditionalFormatting>
  <conditionalFormatting sqref="C2">
    <cfRule type="expression" dxfId="33" priority="77">
      <formula>IF($A2="Serviço",AND(C2&lt;&gt;"Composição",C2&lt;&gt;"Cotação",C2&lt;&gt;"SINAPI",C2&lt;&gt;"Outros"),C2&lt;&gt;"")</formula>
    </cfRule>
  </conditionalFormatting>
  <conditionalFormatting sqref="D2">
    <cfRule type="expression" dxfId="32" priority="76">
      <formula>IF($A2="Serviço",OR(D2="",LEN($D2)&gt;13),D2&lt;&gt;"")</formula>
    </cfRule>
  </conditionalFormatting>
  <conditionalFormatting sqref="H2">
    <cfRule type="expression" dxfId="31" priority="75">
      <formula>IF(A2="Serviço",OR(NOT(ISNUMBER(H2)),H2&lt;&gt;ROUND(H2,2),AND(C2&lt;&gt;"SINAPI",H2=0),H2&lt;0,H2&gt;9999999999.99),H2&lt;&gt;"")</formula>
    </cfRule>
  </conditionalFormatting>
  <conditionalFormatting sqref="I2">
    <cfRule type="expression" dxfId="30" priority="74">
      <formula>IF($A2="Serviço",OR(NOT(ISNUMBER(I2)),I2&lt;&gt;ROUND(I2,2),I2&lt;=0,I2&gt;9999999999.99,AND(I2&gt;H2,H2&gt;0)),I2&lt;&gt;"")</formula>
    </cfRule>
  </conditionalFormatting>
  <conditionalFormatting sqref="J2">
    <cfRule type="expression" dxfId="29" priority="73">
      <formula>IF($A2="Serviço",OR(NOT(ISNUMBER(VALUE(J2))),VALUE(J2)&lt;&gt;ROUND(VALUE(J2),4),VALUE(J2)&lt;=0,VALUE(J2)&gt;100%),J2&lt;&gt;"")</formula>
    </cfRule>
  </conditionalFormatting>
  <conditionalFormatting sqref="N2">
    <cfRule type="expression" dxfId="28" priority="72">
      <formula>IF($A2="Serviço",OR(NOT(ISNUMBER(N2)),N2&lt;&gt;ROUND(N2,0),N2&lt;1,N2&gt;999),N2&lt;&gt;"")</formula>
    </cfRule>
  </conditionalFormatting>
  <conditionalFormatting sqref="O2">
    <cfRule type="expression" dxfId="27" priority="71">
      <formula>IF($A2="Serviço",OR(O2="",LEN(O2)&gt;100),O2&lt;&gt;"")</formula>
    </cfRule>
  </conditionalFormatting>
  <conditionalFormatting sqref="P2">
    <cfRule type="expression" dxfId="26" priority="70">
      <formula>IF($A2="Macrosserviço",P2&lt;&gt;"",OR(NOT(ISNUMBER(P2)),P2&lt;&gt;ROUND(P2,0),P2&lt;1,P2&gt;999))</formula>
    </cfRule>
  </conditionalFormatting>
  <conditionalFormatting sqref="Q2">
    <cfRule type="expression" dxfId="25" priority="69">
      <formula>IF($A2="Macrosserviço",Q2&lt;&gt;"",OR(Q2="",LEN(Q2)&gt;100))</formula>
    </cfRule>
  </conditionalFormatting>
  <conditionalFormatting sqref="R2">
    <cfRule type="expression" dxfId="24" priority="60">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57"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66"/>
      <c r="B2" s="666"/>
      <c r="C2" s="666"/>
      <c r="D2" s="666"/>
      <c r="E2" s="666"/>
    </row>
  </sheetData>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Nádia Souza</cp:lastModifiedBy>
  <cp:revision>5</cp:revision>
  <cp:lastPrinted>2026-06-10T15:40:11Z</cp:lastPrinted>
  <dcterms:created xsi:type="dcterms:W3CDTF">1997-01-10T22:22:50Z</dcterms:created>
  <dcterms:modified xsi:type="dcterms:W3CDTF">2026-08-21T14:49:55Z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