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6B1CDB95-824E-4749-9DBC-E73B6BF7D609}" xr6:coauthVersionLast="47" xr6:coauthVersionMax="47" xr10:uidLastSave="{00000000-0000-0000-0000-000000000000}"/>
  <bookViews>
    <workbookView xWindow="-120" yWindow="-120" windowWidth="29040" windowHeight="15720" tabRatio="947" firstSheet="47" activeTab="55" xr2:uid="{00000000-000D-0000-FFFF-FFFF00000000}"/>
  </bookViews>
  <sheets>
    <sheet name="ORÇAMENTO GERAL" sheetId="12" r:id="rId1"/>
    <sheet name="RESUMO" sheetId="69" r:id="rId2"/>
    <sheet name="E. S." sheetId="26" r:id="rId3"/>
    <sheet name="BDI " sheetId="25" r:id="rId4"/>
    <sheet name="1.1 COLETA RSU" sheetId="62" r:id="rId5"/>
    <sheet name="1.2 MAO DE OBRA" sheetId="63" r:id="rId6"/>
    <sheet name="1.3 EQUIP. VEICULOS" sheetId="64" r:id="rId7"/>
    <sheet name="1.4 DIM COLETA RSU" sheetId="80" r:id="rId8"/>
    <sheet name="2.1 COLETA SELETIVA" sheetId="59" r:id="rId9"/>
    <sheet name="2.2 MAO DE OBRA" sheetId="60" r:id="rId10"/>
    <sheet name="2.3 EQUIP. VEICULOS" sheetId="61" r:id="rId11"/>
    <sheet name="2.4 DIM SELETIVA" sheetId="81" r:id="rId12"/>
    <sheet name="3.1 COLETA INERTES" sheetId="56" r:id="rId13"/>
    <sheet name="3.2 MAO DE OBRA" sheetId="57" r:id="rId14"/>
    <sheet name="3.3 EQUIP. VEICULOS" sheetId="58" r:id="rId15"/>
    <sheet name="3.4 DIM ENTULHO" sheetId="82" r:id="rId16"/>
    <sheet name="4.1  Varrição Manual" sheetId="52" r:id="rId17"/>
    <sheet name="4.2 CPU MO" sheetId="53" r:id="rId18"/>
    <sheet name="4.3 EQUIP VEICULOS (2)" sheetId="54" r:id="rId19"/>
    <sheet name="4.4 DIM VARR MAN" sheetId="55" r:id="rId20"/>
    <sheet name="5.1 VARR MECANIZADA" sheetId="48" r:id="rId21"/>
    <sheet name="5.2 MAO DE OBRA" sheetId="49" r:id="rId22"/>
    <sheet name="5.3 EQUIP VEICULOS " sheetId="50" r:id="rId23"/>
    <sheet name="5.4 DIM VARR MEC" sheetId="51" r:id="rId24"/>
    <sheet name="6.1  Varrição PRACAS" sheetId="65" r:id="rId25"/>
    <sheet name="6.2 CPU MO" sheetId="66" r:id="rId26"/>
    <sheet name="6.3 EQUIP VEICULOS" sheetId="67" r:id="rId27"/>
    <sheet name="6.4 DIM VARR MAN" sheetId="68" r:id="rId28"/>
    <sheet name="7.1 CAPINA" sheetId="70" r:id="rId29"/>
    <sheet name="7.2 MAO DE OBRA" sheetId="71" r:id="rId30"/>
    <sheet name="7.3 EQUIP. VEICULOS" sheetId="72" r:id="rId31"/>
    <sheet name="7.4 DIM CAPINA" sheetId="84" r:id="rId32"/>
    <sheet name="8.1 CAPINA ELETRICA" sheetId="86" r:id="rId33"/>
    <sheet name="8.2 MAO DE OBRA " sheetId="97" r:id="rId34"/>
    <sheet name="8.3 EQUIP VEICULOS" sheetId="98" r:id="rId35"/>
    <sheet name="8.4 DIM CAPINA ELETRICA" sheetId="87" r:id="rId36"/>
    <sheet name="9.1 ROÇADA" sheetId="73" r:id="rId37"/>
    <sheet name="9.2 MAO DE OBRA" sheetId="74" r:id="rId38"/>
    <sheet name="9.3 EQUIP. VEICULOS" sheetId="75" r:id="rId39"/>
    <sheet name="9.4 DIM ROÇADA" sheetId="85" r:id="rId40"/>
    <sheet name="10.1 PODA" sheetId="88" r:id="rId41"/>
    <sheet name="10.2 MAO DE OBRA" sheetId="89" r:id="rId42"/>
    <sheet name="10.3 EQUIP. VEICULOS " sheetId="90" r:id="rId43"/>
    <sheet name="10.4 DIM PODA" sheetId="91" r:id="rId44"/>
    <sheet name="SINAPI" sheetId="96" state="hidden" r:id="rId45"/>
    <sheet name="SICRO" sheetId="93" state="hidden" r:id="rId46"/>
    <sheet name="11 PINTURA MEIOFIO" sheetId="76" r:id="rId47"/>
    <sheet name="11.2 MAO DE OBRA" sheetId="77" r:id="rId48"/>
    <sheet name="11.3 EQUIP. VEICULOS" sheetId="78" r:id="rId49"/>
    <sheet name="12 ADM LOCAL" sheetId="46" r:id="rId50"/>
    <sheet name="12 CPU MO" sheetId="47" r:id="rId51"/>
    <sheet name="12 EQUIP. VEICULOS" sheetId="45" r:id="rId52"/>
    <sheet name="1.1 SALÁRIOS" sheetId="19" r:id="rId53"/>
    <sheet name="1.1 REF EQUIPAMENTOS E DIV" sheetId="21" r:id="rId54"/>
    <sheet name="1.1 CUSTO FERRAME-UNIFORME-EPI" sheetId="20" r:id="rId55"/>
    <sheet name="MAPA DE COTACOES" sheetId="95" r:id="rId56"/>
    <sheet name="Planilha1" sheetId="99" r:id="rId57"/>
  </sheets>
  <definedNames>
    <definedName name="__xlfn_SINGLE">#N/A</definedName>
    <definedName name="_xlnm._FilterDatabase" localSheetId="53" hidden="1">'1.1 REF EQUIPAMENTOS E DIV'!$A$2:$E$39</definedName>
    <definedName name="_xlnm._FilterDatabase" localSheetId="55" hidden="1">'MAPA DE COTACOES'!$A$5:$H$142</definedName>
    <definedName name="_xlnm._FilterDatabase" localSheetId="45" hidden="1">SICRO!$A$1:$K$542</definedName>
    <definedName name="_xlnm._FilterDatabase" localSheetId="44" hidden="1">SINAPI!$A$10:$G$4903</definedName>
    <definedName name="aaa">#REF!</definedName>
    <definedName name="AccessDatabase" hidden="1">"C:\Meus documentos\COMERCIAL 2002_JANEIRO.mdb"</definedName>
    <definedName name="_xlnm.Print_Area" localSheetId="4">'1.1 COLETA RSU'!$A$1:$F$50</definedName>
    <definedName name="_xlnm.Print_Area" localSheetId="52">'1.1 SALÁRIOS'!$B$1:$F$47</definedName>
    <definedName name="_xlnm.Print_Area" localSheetId="5">'1.2 MAO DE OBRA'!$A$1:$G$277</definedName>
    <definedName name="_xlnm.Print_Area" localSheetId="6">'1.3 EQUIP. VEICULOS'!$A$1:$E$115</definedName>
    <definedName name="_xlnm.Print_Area" localSheetId="7">'1.4 DIM COLETA RSU'!$A$1:$E$123</definedName>
    <definedName name="_xlnm.Print_Area" localSheetId="40">'10.1 PODA'!$A$2:$F$33</definedName>
    <definedName name="_xlnm.Print_Area" localSheetId="41">'10.2 MAO DE OBRA'!$A$1:$G$179</definedName>
    <definedName name="_xlnm.Print_Area" localSheetId="42">'10.3 EQUIP. VEICULOS '!$A$1:$F$43</definedName>
    <definedName name="_xlnm.Print_Area" localSheetId="43">'10.4 DIM PODA'!$A$1:$D$24</definedName>
    <definedName name="_xlnm.Print_Area" localSheetId="46">'11 PINTURA MEIOFIO'!$A$2:$F$28</definedName>
    <definedName name="_xlnm.Print_Area" localSheetId="47">'11.2 MAO DE OBRA'!$A$1:$G$110</definedName>
    <definedName name="_xlnm.Print_Area" localSheetId="48">'11.3 EQUIP. VEICULOS'!$B$1:$D$43</definedName>
    <definedName name="_xlnm.Print_Area" localSheetId="49">'12 ADM LOCAL'!$A$1:$F$34</definedName>
    <definedName name="_xlnm.Print_Area" localSheetId="50">'12 CPU MO'!$A$1:$G$196</definedName>
    <definedName name="_xlnm.Print_Area" localSheetId="51">'12 EQUIP. VEICULOS'!$A$1:$D$42</definedName>
    <definedName name="_xlnm.Print_Area" localSheetId="8">'2.1 COLETA SELETIVA'!$A$1:$F$26</definedName>
    <definedName name="_xlnm.Print_Area" localSheetId="9">'2.2 MAO DE OBRA'!$A$1:$G$75</definedName>
    <definedName name="_xlnm.Print_Area" localSheetId="10">'2.3 EQUIP. VEICULOS'!$A$1:$E$40</definedName>
    <definedName name="_xlnm.Print_Area" localSheetId="11">'2.4 DIM SELETIVA'!$A$1:$E$80</definedName>
    <definedName name="_xlnm.Print_Area" localSheetId="12">'3.1 COLETA INERTES'!$A$2:$F$49</definedName>
    <definedName name="_xlnm.Print_Area" localSheetId="13">'3.2 MAO DE OBRA'!$A$1:$G$207</definedName>
    <definedName name="_xlnm.Print_Area" localSheetId="14">'3.3 EQUIP. VEICULOS'!$A$1:$G$43</definedName>
    <definedName name="_xlnm.Print_Area" localSheetId="15">'3.4 DIM ENTULHO'!$A$1:$E$62</definedName>
    <definedName name="_xlnm.Print_Area" localSheetId="16">'4.1  Varrição Manual'!$A$1:$F$23</definedName>
    <definedName name="_xlnm.Print_Area" localSheetId="17">'4.2 CPU MO'!$A$1:$J$110</definedName>
    <definedName name="_xlnm.Print_Area" localSheetId="20">'5.1 VARR MECANIZADA'!$A$1:$F$26</definedName>
    <definedName name="_xlnm.Print_Area" localSheetId="21">'5.2 MAO DE OBRA'!$A$1:$G$73</definedName>
    <definedName name="_xlnm.Print_Area" localSheetId="22">'5.3 EQUIP VEICULOS '!$A$1:$D$45</definedName>
    <definedName name="_xlnm.Print_Area" localSheetId="23">'5.4 DIM VARR MEC'!$A$1:$F$16</definedName>
    <definedName name="_xlnm.Print_Area" localSheetId="24">'6.1  Varrição PRACAS'!$A$1:$F$23</definedName>
    <definedName name="_xlnm.Print_Area" localSheetId="25">'6.2 CPU MO'!$A$1:$J$110</definedName>
    <definedName name="_xlnm.Print_Area" localSheetId="27">'6.4 DIM VARR MAN'!$A$1:$H$20</definedName>
    <definedName name="_xlnm.Print_Area" localSheetId="28">'7.1 CAPINA'!$A$2:$F$33</definedName>
    <definedName name="_xlnm.Print_Area" localSheetId="29">'7.2 MAO DE OBRA'!$A$1:$G$180</definedName>
    <definedName name="_xlnm.Print_Area" localSheetId="30">'7.3 EQUIP. VEICULOS'!$A$1:$D$43</definedName>
    <definedName name="_xlnm.Print_Area" localSheetId="31">'7.4 DIM CAPINA'!$B$1:$H$31</definedName>
    <definedName name="_xlnm.Print_Area" localSheetId="32">'8.1 CAPINA ELETRICA'!$A$2:$F$20</definedName>
    <definedName name="_xlnm.Print_Area" localSheetId="33">'8.2 MAO DE OBRA '!$A$1:$G$78</definedName>
    <definedName name="_xlnm.Print_Area" localSheetId="34">'8.3 EQUIP VEICULOS'!$A$1:$D$45</definedName>
    <definedName name="_xlnm.Print_Area" localSheetId="36">'9.1 ROÇADA'!$A$2:$F$33</definedName>
    <definedName name="_xlnm.Print_Area" localSheetId="37">'9.2 MAO DE OBRA'!$A$1:$G$178</definedName>
    <definedName name="_xlnm.Print_Area" localSheetId="38">'9.3 EQUIP. VEICULOS'!$A$1:$E$43</definedName>
    <definedName name="_xlnm.Print_Area" localSheetId="39">'9.4 DIM ROÇADA'!$A$1:$J$31</definedName>
    <definedName name="_xlnm.Print_Area" localSheetId="2">'E. S.'!$A$1:$C$39</definedName>
    <definedName name="_xlnm.Print_Area" localSheetId="55">'MAPA DE COTACOES'!$A$1:$H$142</definedName>
    <definedName name="_xlnm.Print_Area" localSheetId="0">'ORÇAMENTO GERAL'!$A$1:$H$28</definedName>
    <definedName name="_xlnm.Print_Area" localSheetId="1">RESUMO!$B$2:$G$62</definedName>
    <definedName name="BDI">#REF!</definedName>
    <definedName name="BDI_2">#REF!</definedName>
    <definedName name="Button_15">"COMERCIAL_2002_JANEIRO_consultas_Lista"</definedName>
    <definedName name="CGC">#REF!</definedName>
    <definedName name="CLIENTES">#REF!</definedName>
    <definedName name="Excel_BuiltIn_Print_Area" localSheetId="4">'1.1 COLETA RSU'!$A$1:$F$36</definedName>
    <definedName name="Excel_BuiltIn_Print_Area" localSheetId="40">'10.1 PODA'!$A$2:$F$32</definedName>
    <definedName name="Excel_BuiltIn_Print_Area" localSheetId="46">'11 PINTURA MEIOFIO'!$A$2:$F$27</definedName>
    <definedName name="Excel_BuiltIn_Print_Area" localSheetId="49">'12 ADM LOCAL'!$A$1:$F$34</definedName>
    <definedName name="Excel_BuiltIn_Print_Area" localSheetId="8">'2.1 COLETA SELETIVA'!$A$1:$F$26</definedName>
    <definedName name="Excel_BuiltIn_Print_Area" localSheetId="12">'3.1 COLETA INERTES'!$A$2:$F$34</definedName>
    <definedName name="Excel_BuiltIn_Print_Area" localSheetId="28">'7.1 CAPINA'!$A$2:$F$32</definedName>
    <definedName name="Excel_BuiltIn_Print_Area" localSheetId="32">'8.1 CAPINA ELETRICA'!$A$2:$F$19</definedName>
    <definedName name="Excel_BuiltIn_Print_Area" localSheetId="36">'9.1 ROÇADA'!$A$2:$F$32</definedName>
    <definedName name="Excel_BuiltIn_Print_Titles" localSheetId="4">'1.1 COLETA RSU'!$1:$5</definedName>
    <definedName name="Excel_BuiltIn_Print_Titles" localSheetId="40">'10.1 PODA'!$A$1:$ID$5</definedName>
    <definedName name="Excel_BuiltIn_Print_Titles" localSheetId="46">'11 PINTURA MEIOFIO'!$A$1:$ID$5</definedName>
    <definedName name="Excel_BuiltIn_Print_Titles" localSheetId="49">'12 ADM LOCAL'!$1:$5</definedName>
    <definedName name="Excel_BuiltIn_Print_Titles" localSheetId="8">'2.1 COLETA SELETIVA'!$1:$5</definedName>
    <definedName name="Excel_BuiltIn_Print_Titles" localSheetId="12">'3.1 COLETA INERTES'!$A$1:$ID$5</definedName>
    <definedName name="Excel_BuiltIn_Print_Titles" localSheetId="28">'7.1 CAPINA'!$A$1:$ID$5</definedName>
    <definedName name="Excel_BuiltIn_Print_Titles" localSheetId="32">'8.1 CAPINA ELETRICA'!$A$1:$ID$5</definedName>
    <definedName name="Excel_BuiltIn_Print_Titles" localSheetId="36">'9.1 ROÇADA'!$A$1:$ID$5</definedName>
    <definedName name="FILIAIS">#REF!</definedName>
    <definedName name="jopjiopjkop">#REF!</definedName>
    <definedName name="JORNADAS">#REF!</definedName>
    <definedName name="MO">#REF!</definedName>
    <definedName name="nome_cliente">#REF!</definedName>
    <definedName name="PLANILHAS_COM_REAJUSTADAS__ARACAJU__SEBRAE_Lista">#REF!</definedName>
    <definedName name="STATUS">#REF!</definedName>
    <definedName name="_xlnm.Print_Titles" localSheetId="4">'1.1 COLETA RSU'!$1:$3</definedName>
    <definedName name="_xlnm.Print_Titles" localSheetId="40">'10.1 PODA'!$1:$3</definedName>
    <definedName name="_xlnm.Print_Titles" localSheetId="46">'11 PINTURA MEIOFIO'!$1:$3</definedName>
    <definedName name="_xlnm.Print_Titles" localSheetId="49">'12 ADM LOCAL'!$1:$3</definedName>
    <definedName name="_xlnm.Print_Titles" localSheetId="8">'2.1 COLETA SELETIVA'!$1:$3</definedName>
    <definedName name="_xlnm.Print_Titles" localSheetId="12">'3.1 COLETA INERTES'!$1:$3</definedName>
    <definedName name="_xlnm.Print_Titles" localSheetId="28">'7.1 CAPINA'!$1:$3</definedName>
    <definedName name="_xlnm.Print_Titles" localSheetId="32">'8.1 CAPINA ELETRICA'!$1:$3</definedName>
    <definedName name="_xlnm.Print_Titles" localSheetId="36">'9.1 ROÇADA'!$1:$3</definedName>
    <definedName name="VAL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59" l="1"/>
  <c r="D16" i="12"/>
  <c r="D14" i="12"/>
  <c r="D13" i="12" l="1"/>
  <c r="D9" i="88" l="1"/>
  <c r="D10" i="88"/>
  <c r="G40" i="69"/>
  <c r="G39" i="69"/>
  <c r="F39" i="69"/>
  <c r="F40" i="69"/>
  <c r="E11" i="86"/>
  <c r="E12" i="86"/>
  <c r="F76" i="97"/>
  <c r="F12" i="86"/>
  <c r="E8" i="86"/>
  <c r="F11" i="86" l="1"/>
  <c r="F13" i="86" s="1"/>
  <c r="D46" i="97" l="1"/>
  <c r="F46" i="97" s="1"/>
  <c r="D47" i="97"/>
  <c r="F47" i="97" s="1"/>
  <c r="E53" i="97"/>
  <c r="D56" i="97"/>
  <c r="F56" i="97" s="1"/>
  <c r="D57" i="97"/>
  <c r="F57" i="97"/>
  <c r="D58" i="97"/>
  <c r="E58" i="97"/>
  <c r="F58" i="97" s="1"/>
  <c r="D59" i="97"/>
  <c r="F59" i="97"/>
  <c r="D60" i="97"/>
  <c r="F60" i="97" s="1"/>
  <c r="D61" i="97"/>
  <c r="F61" i="97"/>
  <c r="D64" i="97"/>
  <c r="F64" i="97" s="1"/>
  <c r="F74" i="97" s="1"/>
  <c r="D65" i="97"/>
  <c r="F65" i="97" s="1"/>
  <c r="D66" i="97"/>
  <c r="F66" i="97" s="1"/>
  <c r="D67" i="97"/>
  <c r="F67" i="97" s="1"/>
  <c r="D68" i="97"/>
  <c r="F68" i="97" s="1"/>
  <c r="D69" i="97"/>
  <c r="F69" i="97" s="1"/>
  <c r="D70" i="97"/>
  <c r="F70" i="97"/>
  <c r="D71" i="97"/>
  <c r="F71" i="97"/>
  <c r="D72" i="97"/>
  <c r="F72" i="97" s="1"/>
  <c r="D73" i="97"/>
  <c r="F73" i="97" s="1"/>
  <c r="D33" i="69"/>
  <c r="D43" i="69"/>
  <c r="F52" i="97" l="1"/>
  <c r="D53" i="97" s="1"/>
  <c r="F53" i="97" s="1"/>
  <c r="F54" i="97" s="1"/>
  <c r="F62" i="97"/>
  <c r="E43" i="69"/>
  <c r="F43" i="69"/>
  <c r="G43" i="69"/>
  <c r="D44" i="69"/>
  <c r="E44" i="69"/>
  <c r="F44" i="69"/>
  <c r="G44" i="69"/>
  <c r="F45" i="69"/>
  <c r="G45" i="69"/>
  <c r="G5" i="87"/>
  <c r="G7" i="87" s="1"/>
  <c r="C24" i="98" l="1"/>
  <c r="C26" i="98" s="1"/>
  <c r="C20" i="98" s="1"/>
  <c r="C30" i="98" s="1"/>
  <c r="C27" i="98" s="1"/>
  <c r="C22" i="98"/>
  <c r="C21" i="98"/>
  <c r="C9" i="98"/>
  <c r="C15" i="98" s="1"/>
  <c r="D34" i="97"/>
  <c r="F34" i="97" s="1"/>
  <c r="D33" i="97"/>
  <c r="F33" i="97" s="1"/>
  <c r="D32" i="97"/>
  <c r="F32" i="97" s="1"/>
  <c r="D26" i="97"/>
  <c r="F26" i="97" s="1"/>
  <c r="D25" i="97"/>
  <c r="F25" i="97" s="1"/>
  <c r="D24" i="97"/>
  <c r="F24" i="97" s="1"/>
  <c r="E23" i="97"/>
  <c r="D23" i="97"/>
  <c r="D22" i="97"/>
  <c r="F22" i="97" s="1"/>
  <c r="D21" i="97"/>
  <c r="D12" i="97"/>
  <c r="F12" i="97" s="1"/>
  <c r="D11" i="97"/>
  <c r="F11" i="97" s="1"/>
  <c r="D23" i="45"/>
  <c r="D21" i="45"/>
  <c r="C23" i="45"/>
  <c r="C21" i="45"/>
  <c r="D21" i="78"/>
  <c r="E21" i="90"/>
  <c r="F21" i="90"/>
  <c r="E21" i="75"/>
  <c r="C21" i="75"/>
  <c r="D21" i="72"/>
  <c r="C21" i="72"/>
  <c r="C21" i="67"/>
  <c r="C21" i="50"/>
  <c r="C21" i="54"/>
  <c r="C22" i="50"/>
  <c r="G21" i="58"/>
  <c r="C21" i="58"/>
  <c r="F21" i="58"/>
  <c r="E21" i="58"/>
  <c r="D21" i="58"/>
  <c r="C54" i="64"/>
  <c r="E54" i="64"/>
  <c r="C56" i="64"/>
  <c r="C17" i="61"/>
  <c r="C17" i="64"/>
  <c r="F23" i="97" l="1"/>
  <c r="F17" i="97"/>
  <c r="C11" i="98"/>
  <c r="C8" i="98" s="1"/>
  <c r="C33" i="98" s="1"/>
  <c r="C38" i="98" s="1"/>
  <c r="C32" i="98" s="1"/>
  <c r="F21" i="97"/>
  <c r="F27" i="97" s="1"/>
  <c r="D18" i="97"/>
  <c r="H17" i="64"/>
  <c r="C9" i="50"/>
  <c r="D8" i="12"/>
  <c r="C17" i="98" l="1"/>
  <c r="C13" i="98" s="1"/>
  <c r="D9" i="62"/>
  <c r="E5" i="69" s="1"/>
  <c r="F5" i="69"/>
  <c r="F6" i="69"/>
  <c r="F7" i="69"/>
  <c r="F8" i="69"/>
  <c r="F9" i="69"/>
  <c r="F4" i="69"/>
  <c r="C19" i="64" l="1"/>
  <c r="E6" i="80"/>
  <c r="E5" i="80"/>
  <c r="D4" i="80"/>
  <c r="D5" i="80"/>
  <c r="I6" i="84"/>
  <c r="I5" i="84"/>
  <c r="H139" i="95"/>
  <c r="E37" i="21" s="1"/>
  <c r="E37" i="56" s="1"/>
  <c r="H73" i="95"/>
  <c r="E36" i="21" s="1"/>
  <c r="H67" i="95"/>
  <c r="H7" i="95"/>
  <c r="E11" i="21" s="1"/>
  <c r="B3" i="95"/>
  <c r="A4" i="46"/>
  <c r="F24" i="76"/>
  <c r="D18" i="76" s="1"/>
  <c r="A4" i="76"/>
  <c r="C9" i="90"/>
  <c r="A4" i="88"/>
  <c r="A4" i="73"/>
  <c r="A4" i="86"/>
  <c r="A4" i="70"/>
  <c r="A2" i="65"/>
  <c r="A2" i="48"/>
  <c r="A2" i="52"/>
  <c r="A4" i="56"/>
  <c r="F49" i="69"/>
  <c r="F50" i="69"/>
  <c r="F51" i="69"/>
  <c r="F52" i="69"/>
  <c r="F48" i="69"/>
  <c r="D49" i="69"/>
  <c r="D50" i="69"/>
  <c r="D51" i="69"/>
  <c r="D48" i="69"/>
  <c r="C18" i="91"/>
  <c r="D15" i="88" s="1"/>
  <c r="F55" i="96"/>
  <c r="F56" i="96"/>
  <c r="F78" i="96"/>
  <c r="F79" i="96"/>
  <c r="F80" i="96"/>
  <c r="F153" i="96"/>
  <c r="F168" i="96"/>
  <c r="F169" i="96"/>
  <c r="F170" i="96"/>
  <c r="F171" i="96"/>
  <c r="F172" i="96"/>
  <c r="F173" i="96"/>
  <c r="F186" i="96"/>
  <c r="F189" i="96"/>
  <c r="F222" i="96"/>
  <c r="F256" i="96"/>
  <c r="F265" i="96"/>
  <c r="F308" i="96"/>
  <c r="F338" i="96"/>
  <c r="F339" i="96"/>
  <c r="F340" i="96"/>
  <c r="F341" i="96"/>
  <c r="F342" i="96"/>
  <c r="F343" i="96"/>
  <c r="F344" i="96"/>
  <c r="F345" i="96"/>
  <c r="F346" i="96"/>
  <c r="F347" i="96"/>
  <c r="F348" i="96"/>
  <c r="F349" i="96"/>
  <c r="F358" i="96"/>
  <c r="F369" i="96"/>
  <c r="F370" i="96"/>
  <c r="F425" i="96"/>
  <c r="F426" i="96"/>
  <c r="F445" i="96"/>
  <c r="F446" i="96"/>
  <c r="F447" i="96"/>
  <c r="F448" i="96"/>
  <c r="F449" i="96"/>
  <c r="F450" i="96"/>
  <c r="F451" i="96"/>
  <c r="F452" i="96"/>
  <c r="F453" i="96"/>
  <c r="F454" i="96"/>
  <c r="F455" i="96"/>
  <c r="F459" i="96"/>
  <c r="F461" i="96"/>
  <c r="F467" i="96"/>
  <c r="F527" i="96"/>
  <c r="F596" i="96"/>
  <c r="F609" i="96"/>
  <c r="F610" i="96"/>
  <c r="F611" i="96"/>
  <c r="F612" i="96"/>
  <c r="F613" i="96"/>
  <c r="F614" i="96"/>
  <c r="F692" i="96"/>
  <c r="F693" i="96"/>
  <c r="F694" i="96"/>
  <c r="F695" i="96"/>
  <c r="F696" i="96"/>
  <c r="F1004" i="96"/>
  <c r="F1022" i="96"/>
  <c r="F1023" i="96"/>
  <c r="F1054" i="96"/>
  <c r="F1055" i="96"/>
  <c r="F1056" i="96"/>
  <c r="F1057" i="96"/>
  <c r="F1058" i="96"/>
  <c r="F1059" i="96"/>
  <c r="F1060" i="96"/>
  <c r="F1121" i="96"/>
  <c r="F1122" i="96"/>
  <c r="F1123" i="96"/>
  <c r="F1178" i="96"/>
  <c r="F1179" i="96"/>
  <c r="F1182" i="96"/>
  <c r="F1211" i="96"/>
  <c r="F1213" i="96"/>
  <c r="F1214" i="96"/>
  <c r="F1215" i="96"/>
  <c r="F1216" i="96"/>
  <c r="F1217" i="96"/>
  <c r="F1218" i="96"/>
  <c r="F1219" i="96"/>
  <c r="F1317" i="96"/>
  <c r="F1318" i="96"/>
  <c r="F1319" i="96"/>
  <c r="F1320" i="96"/>
  <c r="F1321" i="96"/>
  <c r="F1322" i="96"/>
  <c r="F1325" i="96"/>
  <c r="F1326" i="96"/>
  <c r="F1327" i="96"/>
  <c r="F1328" i="96"/>
  <c r="F1380" i="96"/>
  <c r="F1381" i="96"/>
  <c r="F1382" i="96"/>
  <c r="F1383" i="96"/>
  <c r="F1384" i="96"/>
  <c r="F1385" i="96"/>
  <c r="F1386" i="96"/>
  <c r="F1387" i="96"/>
  <c r="F1388" i="96"/>
  <c r="F1389" i="96"/>
  <c r="F1390" i="96"/>
  <c r="F1396" i="96"/>
  <c r="F1397" i="96"/>
  <c r="F1398" i="96"/>
  <c r="F1428" i="96"/>
  <c r="F1429" i="96"/>
  <c r="F1444" i="96"/>
  <c r="F1445" i="96"/>
  <c r="F1446" i="96"/>
  <c r="F1447" i="96"/>
  <c r="F1448" i="96"/>
  <c r="F1468" i="96"/>
  <c r="F1469" i="96"/>
  <c r="F1470" i="96"/>
  <c r="F1471" i="96"/>
  <c r="F1472" i="96"/>
  <c r="F1473" i="96"/>
  <c r="F1474" i="96"/>
  <c r="F1475" i="96"/>
  <c r="F1476" i="96"/>
  <c r="F1477" i="96"/>
  <c r="F1478" i="96"/>
  <c r="F1479" i="96"/>
  <c r="F1480" i="96"/>
  <c r="F1481" i="96"/>
  <c r="F1482" i="96"/>
  <c r="F1483" i="96"/>
  <c r="F1484" i="96"/>
  <c r="F1537" i="96"/>
  <c r="F1538" i="96"/>
  <c r="F1539" i="96"/>
  <c r="F1540" i="96"/>
  <c r="F1541" i="96"/>
  <c r="F1542" i="96"/>
  <c r="F1543" i="96"/>
  <c r="F1561" i="96"/>
  <c r="F1562" i="96"/>
  <c r="F1563" i="96"/>
  <c r="F1564" i="96"/>
  <c r="F1565" i="96"/>
  <c r="F1566" i="96"/>
  <c r="F1567" i="96"/>
  <c r="F1568" i="96"/>
  <c r="F1572" i="96"/>
  <c r="F1573" i="96"/>
  <c r="F1574" i="96"/>
  <c r="F1604" i="96"/>
  <c r="F1605" i="96"/>
  <c r="F1606" i="96"/>
  <c r="F1607" i="96"/>
  <c r="F1608" i="96"/>
  <c r="F1609" i="96"/>
  <c r="F1610" i="96"/>
  <c r="F1611" i="96"/>
  <c r="F1621" i="96"/>
  <c r="F1622" i="96"/>
  <c r="F1623" i="96"/>
  <c r="F1657" i="96"/>
  <c r="F1658" i="96"/>
  <c r="F1659" i="96"/>
  <c r="F1669" i="96"/>
  <c r="F1670" i="96"/>
  <c r="F1695" i="96"/>
  <c r="F1781" i="96"/>
  <c r="F1782" i="96"/>
  <c r="F1783" i="96"/>
  <c r="F1784" i="96"/>
  <c r="F1785" i="96"/>
  <c r="F1786" i="96"/>
  <c r="F1787" i="96"/>
  <c r="F1788" i="96"/>
  <c r="F1789" i="96"/>
  <c r="F1790" i="96"/>
  <c r="F1879" i="96"/>
  <c r="F1880" i="96"/>
  <c r="F1883" i="96"/>
  <c r="F1884" i="96"/>
  <c r="F1885" i="96"/>
  <c r="F1886" i="96"/>
  <c r="F1887" i="96"/>
  <c r="F1888" i="96"/>
  <c r="F1931" i="96"/>
  <c r="F1961" i="96"/>
  <c r="F1962" i="96"/>
  <c r="F1976" i="96"/>
  <c r="F1980" i="96"/>
  <c r="F1986" i="96"/>
  <c r="F1987" i="96"/>
  <c r="F1988" i="96"/>
  <c r="F1991" i="96"/>
  <c r="F2125" i="96"/>
  <c r="F2126" i="96"/>
  <c r="F2127" i="96"/>
  <c r="F2139" i="96"/>
  <c r="F2140" i="96"/>
  <c r="F2146" i="96"/>
  <c r="F2147" i="96"/>
  <c r="F2148" i="96"/>
  <c r="F2149" i="96"/>
  <c r="F2150" i="96"/>
  <c r="F2151" i="96"/>
  <c r="F2152" i="96"/>
  <c r="F2153" i="96"/>
  <c r="F2179" i="96"/>
  <c r="F2198" i="96"/>
  <c r="F2199" i="96"/>
  <c r="F2214" i="96"/>
  <c r="F2215" i="96"/>
  <c r="F2216" i="96"/>
  <c r="F2217" i="96"/>
  <c r="F2228" i="96"/>
  <c r="F2229" i="96"/>
  <c r="F2230" i="96"/>
  <c r="F2257" i="96"/>
  <c r="F2258" i="96"/>
  <c r="F2259" i="96"/>
  <c r="F2260" i="96"/>
  <c r="F2261" i="96"/>
  <c r="F2262" i="96"/>
  <c r="F2263" i="96"/>
  <c r="F2264" i="96"/>
  <c r="F2265" i="96"/>
  <c r="F2266" i="96"/>
  <c r="F2278" i="96"/>
  <c r="F2279" i="96"/>
  <c r="F2280" i="96"/>
  <c r="F2281" i="96"/>
  <c r="F2282" i="96"/>
  <c r="F2283" i="96"/>
  <c r="F2332" i="96"/>
  <c r="F2339" i="96"/>
  <c r="F2349" i="96"/>
  <c r="F2379" i="96"/>
  <c r="F2380" i="96"/>
  <c r="F2381" i="96"/>
  <c r="F2382" i="96"/>
  <c r="F2383" i="96"/>
  <c r="F2384" i="96"/>
  <c r="F2385" i="96"/>
  <c r="F2386" i="96"/>
  <c r="F2387" i="96"/>
  <c r="F2388" i="96"/>
  <c r="F2389" i="96"/>
  <c r="F2390" i="96"/>
  <c r="F2391" i="96"/>
  <c r="F2392" i="96"/>
  <c r="F2393" i="96"/>
  <c r="F2394" i="96"/>
  <c r="F2395" i="96"/>
  <c r="F2452" i="96"/>
  <c r="F2453" i="96"/>
  <c r="F2454" i="96"/>
  <c r="F2455" i="96"/>
  <c r="F2456" i="96"/>
  <c r="F2457" i="96"/>
  <c r="F2458" i="96"/>
  <c r="F2459" i="96"/>
  <c r="F2460" i="96"/>
  <c r="F2461" i="96"/>
  <c r="F2462" i="96"/>
  <c r="F2463" i="96"/>
  <c r="F2464" i="96"/>
  <c r="F2465" i="96"/>
  <c r="F2466" i="96"/>
  <c r="F2467" i="96"/>
  <c r="F2468" i="96"/>
  <c r="F2469" i="96"/>
  <c r="F2470" i="96"/>
  <c r="F2497" i="96"/>
  <c r="F2498" i="96"/>
  <c r="F2499" i="96"/>
  <c r="F2500" i="96"/>
  <c r="F2501" i="96"/>
  <c r="F2502" i="96"/>
  <c r="F2503" i="96"/>
  <c r="F2513" i="96"/>
  <c r="F2514" i="96"/>
  <c r="F2515" i="96"/>
  <c r="F2516" i="96"/>
  <c r="F2517" i="96"/>
  <c r="F2518" i="96"/>
  <c r="F2575" i="96"/>
  <c r="F2576" i="96"/>
  <c r="F2577" i="96"/>
  <c r="F2578" i="96"/>
  <c r="F2585" i="96"/>
  <c r="F2614" i="96"/>
  <c r="F2615" i="96"/>
  <c r="F2624" i="96"/>
  <c r="F2625" i="96"/>
  <c r="F2626" i="96"/>
  <c r="F2627" i="96"/>
  <c r="F2628" i="96"/>
  <c r="F2633" i="96"/>
  <c r="F2634" i="96"/>
  <c r="F2635" i="96"/>
  <c r="F2637" i="96"/>
  <c r="F2638" i="96"/>
  <c r="F2639" i="96"/>
  <c r="F2640" i="96"/>
  <c r="F2651" i="96"/>
  <c r="F2652" i="96"/>
  <c r="F2653" i="96"/>
  <c r="F2654" i="96"/>
  <c r="F2655" i="96"/>
  <c r="F2656" i="96"/>
  <c r="F2657" i="96"/>
  <c r="F2658" i="96"/>
  <c r="F2659" i="96"/>
  <c r="F2730" i="96"/>
  <c r="F2731" i="96"/>
  <c r="F2732" i="96"/>
  <c r="F2733" i="96"/>
  <c r="F2734" i="96"/>
  <c r="F2735" i="96"/>
  <c r="F2736" i="96"/>
  <c r="F2749" i="96"/>
  <c r="F2750" i="96"/>
  <c r="F2751" i="96"/>
  <c r="F2752" i="96"/>
  <c r="F2753" i="96"/>
  <c r="F2754" i="96"/>
  <c r="F2755" i="96"/>
  <c r="F2756" i="96"/>
  <c r="F2776" i="96"/>
  <c r="F2777" i="96"/>
  <c r="F2778" i="96"/>
  <c r="F2779" i="96"/>
  <c r="F2780" i="96"/>
  <c r="F2781" i="96"/>
  <c r="F2782" i="96"/>
  <c r="F2797" i="96"/>
  <c r="F2798" i="96"/>
  <c r="F2799" i="96"/>
  <c r="F2800" i="96"/>
  <c r="F2801" i="96"/>
  <c r="F2802" i="96"/>
  <c r="F2803" i="96"/>
  <c r="F2804" i="96"/>
  <c r="F2805" i="96"/>
  <c r="F2829" i="96"/>
  <c r="F2830" i="96"/>
  <c r="F2831" i="96"/>
  <c r="F2832" i="96"/>
  <c r="F2833" i="96"/>
  <c r="F2834" i="96"/>
  <c r="F2835" i="96"/>
  <c r="F2836" i="96"/>
  <c r="F2837" i="96"/>
  <c r="F2838" i="96"/>
  <c r="F2839" i="96"/>
  <c r="F2840" i="96"/>
  <c r="F2841" i="96"/>
  <c r="F2842" i="96"/>
  <c r="F2843" i="96"/>
  <c r="F2844" i="96"/>
  <c r="F2845" i="96"/>
  <c r="F2846" i="96"/>
  <c r="F2847" i="96"/>
  <c r="F2848" i="96"/>
  <c r="F2849" i="96"/>
  <c r="F2889" i="96"/>
  <c r="F2890" i="96"/>
  <c r="F2907" i="96"/>
  <c r="F2908" i="96"/>
  <c r="F2909" i="96"/>
  <c r="F2910" i="96"/>
  <c r="F2911" i="96"/>
  <c r="F2912" i="96"/>
  <c r="F2913" i="96"/>
  <c r="F2914" i="96"/>
  <c r="F2915" i="96"/>
  <c r="F2916" i="96"/>
  <c r="F2917" i="96"/>
  <c r="F2918" i="96"/>
  <c r="F2919" i="96"/>
  <c r="F2920" i="96"/>
  <c r="F2927" i="96"/>
  <c r="F2928" i="96"/>
  <c r="F2929" i="96"/>
  <c r="F2930" i="96"/>
  <c r="F2931" i="96"/>
  <c r="F3003" i="96"/>
  <c r="F3056" i="96"/>
  <c r="F3057" i="96"/>
  <c r="F3058" i="96"/>
  <c r="F3059" i="96"/>
  <c r="F3086" i="96"/>
  <c r="F3114" i="96"/>
  <c r="F3115" i="96"/>
  <c r="F3116" i="96"/>
  <c r="F3117" i="96"/>
  <c r="F3118" i="96"/>
  <c r="F3119" i="96"/>
  <c r="F3120" i="96"/>
  <c r="F3215" i="96"/>
  <c r="F3216" i="96"/>
  <c r="F3223" i="96"/>
  <c r="F3224" i="96"/>
  <c r="F3225" i="96"/>
  <c r="F3226" i="96"/>
  <c r="F3227" i="96"/>
  <c r="F3228" i="96"/>
  <c r="F3229" i="96"/>
  <c r="F3230" i="96"/>
  <c r="F3231" i="96"/>
  <c r="F3232" i="96"/>
  <c r="F3266" i="96"/>
  <c r="F3282" i="96"/>
  <c r="F3283" i="96"/>
  <c r="F3284" i="96"/>
  <c r="F3291" i="96"/>
  <c r="F3292" i="96"/>
  <c r="F3293" i="96"/>
  <c r="F3294" i="96"/>
  <c r="F3295" i="96"/>
  <c r="F3306" i="96"/>
  <c r="F3307" i="96"/>
  <c r="F3308" i="96"/>
  <c r="F3309" i="96"/>
  <c r="F3310" i="96"/>
  <c r="F3311" i="96"/>
  <c r="F3312" i="96"/>
  <c r="F3316" i="96"/>
  <c r="F3366" i="96"/>
  <c r="F3367" i="96"/>
  <c r="F3422" i="96"/>
  <c r="F3423" i="96"/>
  <c r="F3424" i="96"/>
  <c r="F3440" i="96"/>
  <c r="F3459" i="96"/>
  <c r="F3465" i="96"/>
  <c r="F3471" i="96"/>
  <c r="F3472" i="96"/>
  <c r="F3495" i="96"/>
  <c r="F3496" i="96"/>
  <c r="F3497" i="96"/>
  <c r="F3498" i="96"/>
  <c r="F3499" i="96"/>
  <c r="F3522" i="96"/>
  <c r="F3531" i="96"/>
  <c r="F3532" i="96"/>
  <c r="F3533" i="96"/>
  <c r="F3534" i="96"/>
  <c r="F3535" i="96"/>
  <c r="F3536" i="96"/>
  <c r="F3537" i="96"/>
  <c r="F3538" i="96"/>
  <c r="F3589" i="96"/>
  <c r="F3624" i="96"/>
  <c r="F3704" i="96"/>
  <c r="F3757" i="96"/>
  <c r="F3758" i="96"/>
  <c r="F3761" i="96"/>
  <c r="F3766" i="96"/>
  <c r="F3783" i="96"/>
  <c r="F3785" i="96"/>
  <c r="F3796" i="96"/>
  <c r="F3797" i="96"/>
  <c r="F3798" i="96"/>
  <c r="F3799" i="96"/>
  <c r="F3800" i="96"/>
  <c r="F3801" i="96"/>
  <c r="F3802" i="96"/>
  <c r="F3803" i="96"/>
  <c r="F3804" i="96"/>
  <c r="F3805" i="96"/>
  <c r="F3811" i="96"/>
  <c r="F3812" i="96"/>
  <c r="F3823" i="96"/>
  <c r="F3824" i="96"/>
  <c r="F3825" i="96"/>
  <c r="F3826" i="96"/>
  <c r="F3849" i="96"/>
  <c r="F3850" i="96"/>
  <c r="F3851" i="96"/>
  <c r="F3852" i="96"/>
  <c r="F3853" i="96"/>
  <c r="F3873" i="96"/>
  <c r="F3874" i="96"/>
  <c r="F3875" i="96"/>
  <c r="F3879" i="96"/>
  <c r="F3880" i="96"/>
  <c r="F3891" i="96"/>
  <c r="F3907" i="96"/>
  <c r="F3912" i="96"/>
  <c r="F3913" i="96"/>
  <c r="F3917" i="96"/>
  <c r="F3924" i="96"/>
  <c r="F3925" i="96"/>
  <c r="F3926" i="96"/>
  <c r="F3930" i="96"/>
  <c r="F3956" i="96"/>
  <c r="F3957" i="96"/>
  <c r="F3977" i="96"/>
  <c r="F3978" i="96"/>
  <c r="F3979" i="96"/>
  <c r="F3980" i="96"/>
  <c r="F3981" i="96"/>
  <c r="F3982" i="96"/>
  <c r="F3983" i="96"/>
  <c r="F3984" i="96"/>
  <c r="F4003" i="96"/>
  <c r="F4004" i="96"/>
  <c r="F4005" i="96"/>
  <c r="F4006" i="96"/>
  <c r="F4007" i="96"/>
  <c r="F4008" i="96"/>
  <c r="F4009" i="96"/>
  <c r="F4010" i="96"/>
  <c r="F4020" i="96"/>
  <c r="F4021" i="96"/>
  <c r="F4022" i="96"/>
  <c r="F4023" i="96"/>
  <c r="F4024" i="96"/>
  <c r="F4025" i="96"/>
  <c r="F4026" i="96"/>
  <c r="F4027" i="96"/>
  <c r="F4028" i="96"/>
  <c r="F4087" i="96"/>
  <c r="F4088" i="96"/>
  <c r="F4089" i="96"/>
  <c r="F4090" i="96"/>
  <c r="F4091" i="96"/>
  <c r="F4092" i="96"/>
  <c r="F4093" i="96"/>
  <c r="F4094" i="96"/>
  <c r="F4095" i="96"/>
  <c r="F4098" i="96"/>
  <c r="F4099" i="96"/>
  <c r="F4100" i="96"/>
  <c r="F4101" i="96"/>
  <c r="F4102" i="96"/>
  <c r="F4103" i="96"/>
  <c r="F4104" i="96"/>
  <c r="F4108" i="96"/>
  <c r="F4109" i="96"/>
  <c r="F4110" i="96"/>
  <c r="F4111" i="96"/>
  <c r="F4112" i="96"/>
  <c r="F4113" i="96"/>
  <c r="F4114" i="96"/>
  <c r="F4115" i="96"/>
  <c r="F4116" i="96"/>
  <c r="F4117" i="96"/>
  <c r="F4118" i="96"/>
  <c r="F4133" i="96"/>
  <c r="F4134" i="96"/>
  <c r="F4135" i="96"/>
  <c r="F4136" i="96"/>
  <c r="F4137" i="96"/>
  <c r="F4138" i="96"/>
  <c r="F4154" i="96"/>
  <c r="F4155" i="96"/>
  <c r="F4156" i="96"/>
  <c r="F4157" i="96"/>
  <c r="F4382" i="96"/>
  <c r="F4383" i="96"/>
  <c r="F4384" i="96"/>
  <c r="F4385" i="96"/>
  <c r="F4386" i="96"/>
  <c r="F4387" i="96"/>
  <c r="F4388" i="96"/>
  <c r="F4389" i="96"/>
  <c r="F4390" i="96"/>
  <c r="F4391" i="96"/>
  <c r="F4392" i="96"/>
  <c r="F4393" i="96"/>
  <c r="F4422" i="96"/>
  <c r="F4423" i="96"/>
  <c r="F4424" i="96"/>
  <c r="F4425" i="96"/>
  <c r="F4433" i="96"/>
  <c r="F4434" i="96"/>
  <c r="F4435" i="96"/>
  <c r="F4436" i="96"/>
  <c r="F4437" i="96"/>
  <c r="F4438" i="96"/>
  <c r="F4439" i="96"/>
  <c r="F4440" i="96"/>
  <c r="F4441" i="96"/>
  <c r="F4442" i="96"/>
  <c r="F4443" i="96"/>
  <c r="F4444" i="96"/>
  <c r="F4445" i="96"/>
  <c r="F4446" i="96"/>
  <c r="F4447" i="96"/>
  <c r="F4448" i="96"/>
  <c r="F4449" i="96"/>
  <c r="F4450" i="96"/>
  <c r="F4451" i="96"/>
  <c r="F4452" i="96"/>
  <c r="F4453" i="96"/>
  <c r="F4454" i="96"/>
  <c r="F4512" i="96"/>
  <c r="F4513" i="96"/>
  <c r="F4514" i="96"/>
  <c r="F4515" i="96"/>
  <c r="F4516" i="96"/>
  <c r="F4517" i="96"/>
  <c r="F4518" i="96"/>
  <c r="F4519" i="96"/>
  <c r="F4520" i="96"/>
  <c r="F4521" i="96"/>
  <c r="F4522" i="96"/>
  <c r="F4523" i="96"/>
  <c r="F4524" i="96"/>
  <c r="F4525" i="96"/>
  <c r="F4526" i="96"/>
  <c r="F4527" i="96"/>
  <c r="F4528" i="96"/>
  <c r="F4529" i="96"/>
  <c r="F4530" i="96"/>
  <c r="F4531" i="96"/>
  <c r="F4532" i="96"/>
  <c r="F4533" i="96"/>
  <c r="F4534" i="96"/>
  <c r="F4535" i="96"/>
  <c r="F4536" i="96"/>
  <c r="F4619" i="96"/>
  <c r="F4620" i="96"/>
  <c r="F4621" i="96"/>
  <c r="F4622" i="96"/>
  <c r="F4623" i="96"/>
  <c r="F4624" i="96"/>
  <c r="F4625" i="96"/>
  <c r="F4626" i="96"/>
  <c r="F4627" i="96"/>
  <c r="F4628" i="96"/>
  <c r="F4629" i="96"/>
  <c r="F4630" i="96"/>
  <c r="F4631" i="96"/>
  <c r="F4632" i="96"/>
  <c r="F4633" i="96"/>
  <c r="F4636" i="96"/>
  <c r="F4637" i="96"/>
  <c r="F4638" i="96"/>
  <c r="F4639" i="96"/>
  <c r="F4640" i="96"/>
  <c r="F4641" i="96"/>
  <c r="F4642" i="96"/>
  <c r="F4643" i="96"/>
  <c r="F4644" i="96"/>
  <c r="F4645" i="96"/>
  <c r="F4646" i="96"/>
  <c r="F4647" i="96"/>
  <c r="F4648" i="96"/>
  <c r="F4649" i="96"/>
  <c r="F4650" i="96"/>
  <c r="F4651" i="96"/>
  <c r="F4652" i="96"/>
  <c r="F4653" i="96"/>
  <c r="F4654" i="96"/>
  <c r="F4655" i="96"/>
  <c r="F4656" i="96"/>
  <c r="F4657" i="96"/>
  <c r="F4658" i="96"/>
  <c r="F4659" i="96"/>
  <c r="F4660" i="96"/>
  <c r="F4661" i="96"/>
  <c r="F4662" i="96"/>
  <c r="F4663" i="96"/>
  <c r="F4664" i="96"/>
  <c r="F4665" i="96"/>
  <c r="F4666" i="96"/>
  <c r="F4667" i="96"/>
  <c r="F4668" i="96"/>
  <c r="F4669" i="96"/>
  <c r="F4670" i="96"/>
  <c r="F4671" i="96"/>
  <c r="F4672" i="96"/>
  <c r="F4673" i="96"/>
  <c r="F4680" i="96"/>
  <c r="F4681" i="96"/>
  <c r="F4682" i="96"/>
  <c r="F4683" i="96"/>
  <c r="F4740" i="96"/>
  <c r="F4752" i="96"/>
  <c r="F4753" i="96"/>
  <c r="F4780" i="96"/>
  <c r="F4781" i="96"/>
  <c r="F4782" i="96"/>
  <c r="F4783" i="96"/>
  <c r="F4784" i="96"/>
  <c r="F4785" i="96"/>
  <c r="F4786" i="96"/>
  <c r="F4787" i="96"/>
  <c r="F4788" i="96"/>
  <c r="F4789" i="96"/>
  <c r="F4790" i="96"/>
  <c r="F4845" i="96"/>
  <c r="F4853" i="96"/>
  <c r="F4854" i="96"/>
  <c r="F4855" i="96"/>
  <c r="F4856" i="96"/>
  <c r="F4857" i="96"/>
  <c r="F4858" i="96"/>
  <c r="F4859" i="96"/>
  <c r="F4860" i="96"/>
  <c r="F4861" i="96"/>
  <c r="F4862" i="96"/>
  <c r="F4863" i="96"/>
  <c r="F4897" i="96"/>
  <c r="C9" i="64" l="1"/>
  <c r="C10" i="64" s="1"/>
  <c r="C8" i="64" s="1"/>
  <c r="C28" i="64" s="1"/>
  <c r="C33" i="64" s="1"/>
  <c r="C27" i="64" s="1"/>
  <c r="H9" i="64"/>
  <c r="C21" i="64"/>
  <c r="C16" i="64" s="1"/>
  <c r="C25" i="64" s="1"/>
  <c r="C22" i="64" s="1"/>
  <c r="H133" i="95"/>
  <c r="C34" i="20" s="1"/>
  <c r="H127" i="95"/>
  <c r="C32" i="20" s="1"/>
  <c r="H121" i="95"/>
  <c r="C31" i="20" s="1"/>
  <c r="H115" i="95"/>
  <c r="C30" i="20" s="1"/>
  <c r="H109" i="95"/>
  <c r="C26" i="20" s="1"/>
  <c r="H103" i="95"/>
  <c r="C18" i="20" s="1"/>
  <c r="H97" i="95"/>
  <c r="C13" i="20" s="1"/>
  <c r="H91" i="95"/>
  <c r="C11" i="20" s="1"/>
  <c r="H85" i="95"/>
  <c r="C10" i="20" s="1"/>
  <c r="H79" i="95"/>
  <c r="C7" i="20" s="1"/>
  <c r="C6" i="20"/>
  <c r="H61" i="95"/>
  <c r="E35" i="21" s="1"/>
  <c r="H55" i="95"/>
  <c r="E34" i="21" s="1"/>
  <c r="H49" i="95"/>
  <c r="E33" i="21" s="1"/>
  <c r="H43" i="95"/>
  <c r="E32" i="21" s="1"/>
  <c r="H37" i="95"/>
  <c r="E31" i="21" s="1"/>
  <c r="H31" i="95"/>
  <c r="E25" i="21" s="1"/>
  <c r="H25" i="95"/>
  <c r="E14" i="21" s="1"/>
  <c r="H19" i="95"/>
  <c r="E13" i="21" s="1"/>
  <c r="H13" i="95"/>
  <c r="E12" i="21" s="1"/>
  <c r="D30" i="97" l="1"/>
  <c r="F30" i="97" s="1"/>
  <c r="D36" i="97"/>
  <c r="F36" i="97" s="1"/>
  <c r="C34" i="64"/>
  <c r="C39" i="98"/>
  <c r="C40" i="98" s="1"/>
  <c r="D31" i="97"/>
  <c r="F31" i="97" s="1"/>
  <c r="D35" i="97"/>
  <c r="F35" i="97" s="1"/>
  <c r="D29" i="97"/>
  <c r="F29" i="97" s="1"/>
  <c r="F37" i="97" s="1"/>
  <c r="F39" i="97" s="1"/>
  <c r="C13" i="64"/>
  <c r="C14" i="64"/>
  <c r="C12" i="64" s="1"/>
  <c r="C35" i="64" s="1"/>
  <c r="E38" i="62"/>
  <c r="D44" i="89"/>
  <c r="F44" i="89" s="1"/>
  <c r="D116" i="89"/>
  <c r="E9" i="90"/>
  <c r="E11" i="90" s="1"/>
  <c r="D23" i="90"/>
  <c r="F23" i="90"/>
  <c r="D21" i="90"/>
  <c r="C21" i="90"/>
  <c r="C15" i="90"/>
  <c r="D8" i="88"/>
  <c r="E48" i="69" s="1"/>
  <c r="C6" i="90"/>
  <c r="D4" i="82"/>
  <c r="D176" i="89"/>
  <c r="F176" i="89" s="1"/>
  <c r="D175" i="89"/>
  <c r="F175" i="89" s="1"/>
  <c r="D174" i="89"/>
  <c r="F174" i="89" s="1"/>
  <c r="C173" i="89"/>
  <c r="D173" i="89" s="1"/>
  <c r="F173" i="89" s="1"/>
  <c r="D172" i="89"/>
  <c r="F172" i="89" s="1"/>
  <c r="D171" i="89"/>
  <c r="F171" i="89" s="1"/>
  <c r="D170" i="89"/>
  <c r="F170" i="89" s="1"/>
  <c r="D169" i="89"/>
  <c r="F169" i="89" s="1"/>
  <c r="D168" i="89"/>
  <c r="F168" i="89" s="1"/>
  <c r="D167" i="89"/>
  <c r="F167" i="89" s="1"/>
  <c r="D163" i="89"/>
  <c r="F163" i="89" s="1"/>
  <c r="D162" i="89"/>
  <c r="F162" i="89" s="1"/>
  <c r="E161" i="89"/>
  <c r="D161" i="89"/>
  <c r="D160" i="89"/>
  <c r="F160" i="89" s="1"/>
  <c r="D159" i="89"/>
  <c r="D150" i="89"/>
  <c r="F150" i="89" s="1"/>
  <c r="D149" i="89"/>
  <c r="F149" i="89" s="1"/>
  <c r="F155" i="89" s="1"/>
  <c r="D9" i="90"/>
  <c r="D15" i="90" s="1"/>
  <c r="D38" i="90"/>
  <c r="C20" i="91"/>
  <c r="D17" i="88" s="1"/>
  <c r="C19" i="91"/>
  <c r="D16" i="88" s="1"/>
  <c r="G50" i="69" s="1"/>
  <c r="F38" i="90"/>
  <c r="E38" i="90"/>
  <c r="C38" i="90"/>
  <c r="D140" i="89"/>
  <c r="F140" i="89" s="1"/>
  <c r="D139" i="89"/>
  <c r="F139" i="89" s="1"/>
  <c r="D138" i="89"/>
  <c r="F138" i="89" s="1"/>
  <c r="D137" i="89"/>
  <c r="F137" i="89" s="1"/>
  <c r="D136" i="89"/>
  <c r="F136" i="89" s="1"/>
  <c r="D135" i="89"/>
  <c r="F135" i="89" s="1"/>
  <c r="D134" i="89"/>
  <c r="F134" i="89" s="1"/>
  <c r="D130" i="89"/>
  <c r="F130" i="89" s="1"/>
  <c r="D129" i="89"/>
  <c r="F129" i="89" s="1"/>
  <c r="E128" i="89"/>
  <c r="D128" i="89"/>
  <c r="D127" i="89"/>
  <c r="F127" i="89" s="1"/>
  <c r="D126" i="89"/>
  <c r="D117" i="89"/>
  <c r="F117" i="89" s="1"/>
  <c r="D106" i="89"/>
  <c r="F106" i="89" s="1"/>
  <c r="D105" i="89"/>
  <c r="F105" i="89" s="1"/>
  <c r="D104" i="89"/>
  <c r="F104" i="89" s="1"/>
  <c r="D103" i="89"/>
  <c r="F103" i="89" s="1"/>
  <c r="D102" i="89"/>
  <c r="F102" i="89" s="1"/>
  <c r="D101" i="89"/>
  <c r="F101" i="89" s="1"/>
  <c r="D100" i="89"/>
  <c r="F100" i="89" s="1"/>
  <c r="D99" i="89"/>
  <c r="F99" i="89" s="1"/>
  <c r="D98" i="89"/>
  <c r="F98" i="89" s="1"/>
  <c r="D97" i="89"/>
  <c r="F97" i="89" s="1"/>
  <c r="D93" i="89"/>
  <c r="F93" i="89" s="1"/>
  <c r="D92" i="89"/>
  <c r="F92" i="89" s="1"/>
  <c r="E91" i="89"/>
  <c r="D91" i="89"/>
  <c r="D90" i="89"/>
  <c r="F90" i="89" s="1"/>
  <c r="D89" i="89"/>
  <c r="D80" i="89"/>
  <c r="F80" i="89" s="1"/>
  <c r="D79" i="89"/>
  <c r="F79" i="89" s="1"/>
  <c r="D69" i="89"/>
  <c r="F69" i="89" s="1"/>
  <c r="D68" i="89"/>
  <c r="F68" i="89" s="1"/>
  <c r="D67" i="89"/>
  <c r="F67" i="89" s="1"/>
  <c r="D66" i="89"/>
  <c r="F66" i="89" s="1"/>
  <c r="D65" i="89"/>
  <c r="F65" i="89" s="1"/>
  <c r="D64" i="89"/>
  <c r="F64" i="89" s="1"/>
  <c r="D63" i="89"/>
  <c r="F63" i="89" s="1"/>
  <c r="D62" i="89"/>
  <c r="F62" i="89" s="1"/>
  <c r="D58" i="89"/>
  <c r="F58" i="89" s="1"/>
  <c r="D57" i="89"/>
  <c r="F57" i="89" s="1"/>
  <c r="E56" i="89"/>
  <c r="D56" i="89"/>
  <c r="D55" i="89"/>
  <c r="F55" i="89" s="1"/>
  <c r="D54" i="89"/>
  <c r="D45" i="89"/>
  <c r="F45" i="89" s="1"/>
  <c r="D34" i="89"/>
  <c r="F34" i="89" s="1"/>
  <c r="D33" i="89"/>
  <c r="F33" i="89" s="1"/>
  <c r="D32" i="89"/>
  <c r="F32" i="89" s="1"/>
  <c r="D31" i="89"/>
  <c r="F31" i="89" s="1"/>
  <c r="D30" i="89"/>
  <c r="F30" i="89" s="1"/>
  <c r="D29" i="89"/>
  <c r="F29" i="89" s="1"/>
  <c r="D28" i="89"/>
  <c r="F28" i="89" s="1"/>
  <c r="D27" i="89"/>
  <c r="F27" i="89" s="1"/>
  <c r="D23" i="89"/>
  <c r="F23" i="89" s="1"/>
  <c r="D22" i="89"/>
  <c r="F22" i="89" s="1"/>
  <c r="E21" i="89"/>
  <c r="D21" i="89"/>
  <c r="F21" i="89" s="1"/>
  <c r="D20" i="89"/>
  <c r="F20" i="89" s="1"/>
  <c r="D19" i="89"/>
  <c r="F10" i="89"/>
  <c r="D9" i="89"/>
  <c r="F9" i="89" s="1"/>
  <c r="F15" i="89" s="1"/>
  <c r="E25" i="88"/>
  <c r="F25" i="88" s="1"/>
  <c r="E24" i="88"/>
  <c r="F24" i="88" s="1"/>
  <c r="E23" i="88"/>
  <c r="F23" i="88" s="1"/>
  <c r="E22" i="88"/>
  <c r="F22" i="88" s="1"/>
  <c r="D14" i="88"/>
  <c r="G48" i="69" s="1"/>
  <c r="D11" i="88"/>
  <c r="E51" i="69" s="1"/>
  <c r="E50" i="69"/>
  <c r="E49" i="69"/>
  <c r="D7" i="87"/>
  <c r="G11" i="87"/>
  <c r="G12" i="87" s="1"/>
  <c r="E29" i="85"/>
  <c r="E27" i="84"/>
  <c r="D14" i="70" s="1"/>
  <c r="G35" i="69" s="1"/>
  <c r="D58" i="69"/>
  <c r="E58" i="69"/>
  <c r="F58" i="69"/>
  <c r="G58" i="69"/>
  <c r="F59" i="69"/>
  <c r="G59" i="69"/>
  <c r="F60" i="69"/>
  <c r="G60" i="69"/>
  <c r="F61" i="69"/>
  <c r="G61" i="69"/>
  <c r="F62" i="69"/>
  <c r="G62" i="69"/>
  <c r="G57" i="69"/>
  <c r="F57" i="69"/>
  <c r="E57" i="69"/>
  <c r="D57" i="69"/>
  <c r="F55" i="69"/>
  <c r="F54" i="69"/>
  <c r="E54" i="69"/>
  <c r="D54" i="69"/>
  <c r="F46" i="69"/>
  <c r="F34" i="69"/>
  <c r="F35" i="69"/>
  <c r="F36" i="69"/>
  <c r="F37" i="69"/>
  <c r="F33" i="69"/>
  <c r="D34" i="69"/>
  <c r="F30" i="69"/>
  <c r="F31" i="69"/>
  <c r="G31" i="69"/>
  <c r="G29" i="69"/>
  <c r="F29" i="69"/>
  <c r="E29" i="69"/>
  <c r="D29" i="69"/>
  <c r="F27" i="69"/>
  <c r="F26" i="69"/>
  <c r="D26" i="69"/>
  <c r="F23" i="69"/>
  <c r="F24" i="69"/>
  <c r="F22" i="69"/>
  <c r="E22" i="69"/>
  <c r="D22" i="69"/>
  <c r="F16" i="69"/>
  <c r="F17" i="69"/>
  <c r="F18" i="69"/>
  <c r="F19" i="69"/>
  <c r="F20" i="69"/>
  <c r="F15" i="69"/>
  <c r="D16" i="69"/>
  <c r="D17" i="69"/>
  <c r="D18" i="69"/>
  <c r="D19" i="69"/>
  <c r="D15" i="69"/>
  <c r="E13" i="69"/>
  <c r="E12" i="69"/>
  <c r="D12" i="76"/>
  <c r="D13" i="76" s="1"/>
  <c r="G55" i="69" s="1"/>
  <c r="D32" i="76"/>
  <c r="D31" i="76"/>
  <c r="F59" i="80"/>
  <c r="F60" i="80" s="1"/>
  <c r="F54" i="80"/>
  <c r="D14" i="73"/>
  <c r="D9" i="73"/>
  <c r="D8" i="73"/>
  <c r="E28" i="85"/>
  <c r="D16" i="70"/>
  <c r="G37" i="69" s="1"/>
  <c r="D9" i="70"/>
  <c r="E34" i="69" s="1"/>
  <c r="D8" i="70"/>
  <c r="E33" i="69" s="1"/>
  <c r="E29" i="84"/>
  <c r="E28" i="84"/>
  <c r="D15" i="70" s="1"/>
  <c r="G36" i="69" s="1"/>
  <c r="I5" i="85"/>
  <c r="D5" i="85"/>
  <c r="D5" i="84"/>
  <c r="H5" i="84" s="1"/>
  <c r="K5" i="84" s="1"/>
  <c r="F159" i="89" l="1"/>
  <c r="G54" i="69"/>
  <c r="F89" i="89"/>
  <c r="G51" i="69"/>
  <c r="C21" i="91"/>
  <c r="D18" i="88" s="1"/>
  <c r="F56" i="89"/>
  <c r="F161" i="89"/>
  <c r="E8" i="62"/>
  <c r="E9" i="62"/>
  <c r="F9" i="62" s="1"/>
  <c r="F26" i="88"/>
  <c r="F54" i="89"/>
  <c r="F9" i="90"/>
  <c r="F11" i="90" s="1"/>
  <c r="C23" i="90"/>
  <c r="C25" i="90" s="1"/>
  <c r="C20" i="90" s="1"/>
  <c r="C29" i="90" s="1"/>
  <c r="C26" i="90" s="1"/>
  <c r="E23" i="90"/>
  <c r="E25" i="90" s="1"/>
  <c r="E20" i="90" s="1"/>
  <c r="E29" i="90" s="1"/>
  <c r="E26" i="90" s="1"/>
  <c r="D25" i="90"/>
  <c r="D156" i="89"/>
  <c r="F177" i="89"/>
  <c r="F91" i="89"/>
  <c r="F126" i="89"/>
  <c r="F50" i="89"/>
  <c r="D51" i="89" s="1"/>
  <c r="F141" i="89"/>
  <c r="F116" i="89"/>
  <c r="F122" i="89" s="1"/>
  <c r="D123" i="89" s="1"/>
  <c r="F128" i="89"/>
  <c r="F85" i="89"/>
  <c r="D86" i="89" s="1"/>
  <c r="F19" i="89"/>
  <c r="F25" i="90"/>
  <c r="F20" i="90" s="1"/>
  <c r="F29" i="90" s="1"/>
  <c r="F26" i="90" s="1"/>
  <c r="D11" i="90"/>
  <c r="E15" i="90"/>
  <c r="F107" i="89"/>
  <c r="F35" i="89"/>
  <c r="F70" i="89"/>
  <c r="D16" i="89"/>
  <c r="C11" i="90"/>
  <c r="C8" i="90" s="1"/>
  <c r="E8" i="90"/>
  <c r="E32" i="90" s="1"/>
  <c r="E37" i="90" s="1"/>
  <c r="E31" i="90" s="1"/>
  <c r="E17" i="90"/>
  <c r="E13" i="90" s="1"/>
  <c r="G10" i="68"/>
  <c r="G5" i="68"/>
  <c r="M4" i="68"/>
  <c r="M5" i="68" s="1"/>
  <c r="G7" i="68"/>
  <c r="E7" i="68"/>
  <c r="G11" i="68" l="1"/>
  <c r="G12" i="68" s="1"/>
  <c r="D20" i="90"/>
  <c r="D29" i="90" s="1"/>
  <c r="D26" i="90" s="1"/>
  <c r="F17" i="90"/>
  <c r="F13" i="90" s="1"/>
  <c r="F15" i="90"/>
  <c r="F8" i="90"/>
  <c r="F32" i="90" s="1"/>
  <c r="F37" i="90" s="1"/>
  <c r="F31" i="90" s="1"/>
  <c r="D17" i="90"/>
  <c r="D13" i="90" s="1"/>
  <c r="D8" i="90"/>
  <c r="D32" i="90" s="1"/>
  <c r="D37" i="90" s="1"/>
  <c r="D31" i="90" s="1"/>
  <c r="E39" i="90"/>
  <c r="E11" i="88" s="1"/>
  <c r="F11" i="88" s="1"/>
  <c r="G49" i="69"/>
  <c r="G52" i="69"/>
  <c r="C32" i="90"/>
  <c r="C37" i="90" s="1"/>
  <c r="C31" i="90" s="1"/>
  <c r="C17" i="90"/>
  <c r="C13" i="90" s="1"/>
  <c r="F8" i="86"/>
  <c r="F15" i="86" s="1"/>
  <c r="G15" i="68"/>
  <c r="G16" i="68" s="1"/>
  <c r="G18" i="68" s="1"/>
  <c r="F39" i="90" l="1"/>
  <c r="E9" i="88" s="1"/>
  <c r="F9" i="88" s="1"/>
  <c r="D39" i="90"/>
  <c r="E10" i="88" s="1"/>
  <c r="F10" i="88" s="1"/>
  <c r="C39" i="90"/>
  <c r="E8" i="88" s="1"/>
  <c r="F8" i="88" s="1"/>
  <c r="F17" i="86"/>
  <c r="E8" i="85"/>
  <c r="I8" i="85"/>
  <c r="I11" i="85" s="1"/>
  <c r="I12" i="85" s="1"/>
  <c r="I15" i="85" s="1"/>
  <c r="I16" i="85" s="1"/>
  <c r="C173" i="71"/>
  <c r="D173" i="71" s="1"/>
  <c r="F173" i="71" s="1"/>
  <c r="C172" i="71"/>
  <c r="D172" i="71" s="1"/>
  <c r="F172" i="71" s="1"/>
  <c r="D171" i="71"/>
  <c r="F171" i="71" s="1"/>
  <c r="C170" i="71"/>
  <c r="D170" i="71" s="1"/>
  <c r="F170" i="71" s="1"/>
  <c r="D169" i="71"/>
  <c r="F169" i="71" s="1"/>
  <c r="C168" i="71"/>
  <c r="D168" i="71" s="1"/>
  <c r="F168" i="71" s="1"/>
  <c r="C167" i="71"/>
  <c r="D167" i="71" s="1"/>
  <c r="F167" i="71" s="1"/>
  <c r="D163" i="71"/>
  <c r="F163" i="71" s="1"/>
  <c r="D162" i="71"/>
  <c r="F162" i="71" s="1"/>
  <c r="E161" i="71"/>
  <c r="D161" i="71"/>
  <c r="D160" i="71"/>
  <c r="F160" i="71" s="1"/>
  <c r="D159" i="71"/>
  <c r="D150" i="71"/>
  <c r="F150" i="71" s="1"/>
  <c r="D149" i="71"/>
  <c r="F149" i="71" s="1"/>
  <c r="E7" i="84"/>
  <c r="F161" i="71" l="1"/>
  <c r="F12" i="88"/>
  <c r="F174" i="71"/>
  <c r="F159" i="71"/>
  <c r="F155" i="71"/>
  <c r="D156" i="71" s="1"/>
  <c r="E27" i="85"/>
  <c r="D13" i="73" s="1"/>
  <c r="F29" i="73"/>
  <c r="H7" i="84"/>
  <c r="H11" i="84" s="1"/>
  <c r="C9" i="58"/>
  <c r="C30" i="82"/>
  <c r="C31" i="82" s="1"/>
  <c r="C35" i="82" s="1"/>
  <c r="D18" i="82"/>
  <c r="C61" i="82"/>
  <c r="C60" i="82"/>
  <c r="D18" i="56" s="1"/>
  <c r="G18" i="69" s="1"/>
  <c r="C58" i="82"/>
  <c r="D16" i="56" s="1"/>
  <c r="G16" i="69" s="1"/>
  <c r="D19" i="56"/>
  <c r="G19" i="69" s="1"/>
  <c r="D15" i="56"/>
  <c r="G15" i="69" s="1"/>
  <c r="D9" i="56"/>
  <c r="E16" i="69" s="1"/>
  <c r="D10" i="56"/>
  <c r="E17" i="69" s="1"/>
  <c r="D11" i="56"/>
  <c r="E18" i="69" s="1"/>
  <c r="D12" i="56"/>
  <c r="E19" i="69" s="1"/>
  <c r="D22" i="82"/>
  <c r="D17" i="82"/>
  <c r="E4" i="82"/>
  <c r="E6" i="82" s="1"/>
  <c r="D6" i="82"/>
  <c r="C31" i="81"/>
  <c r="C32" i="81" s="1"/>
  <c r="D4" i="81"/>
  <c r="C80" i="81"/>
  <c r="C79" i="81"/>
  <c r="C78" i="81"/>
  <c r="C37" i="81"/>
  <c r="C44" i="81" s="1"/>
  <c r="D23" i="81"/>
  <c r="D17" i="81"/>
  <c r="D19" i="81" s="1"/>
  <c r="D20" i="81" s="1"/>
  <c r="D22" i="81" s="1"/>
  <c r="E4" i="81"/>
  <c r="G9" i="69"/>
  <c r="D13" i="62"/>
  <c r="E10" i="69" s="1"/>
  <c r="D10" i="62"/>
  <c r="E6" i="69" s="1"/>
  <c r="E4" i="69"/>
  <c r="E4" i="80"/>
  <c r="C6" i="80"/>
  <c r="D6" i="80" s="1"/>
  <c r="D19" i="80"/>
  <c r="D21" i="80" s="1"/>
  <c r="D22" i="80" s="1"/>
  <c r="D23" i="80" s="1"/>
  <c r="D24" i="80"/>
  <c r="C33" i="80"/>
  <c r="C34" i="80" s="1"/>
  <c r="C45" i="80" s="1"/>
  <c r="C39" i="80"/>
  <c r="C46" i="80" s="1"/>
  <c r="C64" i="80"/>
  <c r="C65" i="80" s="1"/>
  <c r="C70" i="80"/>
  <c r="C77" i="80" s="1"/>
  <c r="C93" i="80"/>
  <c r="C95" i="80" s="1"/>
  <c r="C94" i="80"/>
  <c r="C121" i="80"/>
  <c r="D11" i="62" s="1"/>
  <c r="E7" i="69" s="1"/>
  <c r="C122" i="80"/>
  <c r="D12" i="62"/>
  <c r="E9" i="69" s="1"/>
  <c r="H12" i="84" l="1"/>
  <c r="H15" i="84" s="1"/>
  <c r="H16" i="84" s="1"/>
  <c r="H18" i="84" s="1"/>
  <c r="F29" i="70"/>
  <c r="C96" i="80"/>
  <c r="C109" i="80"/>
  <c r="D20" i="62"/>
  <c r="G8" i="69" s="1"/>
  <c r="F32" i="62"/>
  <c r="D38" i="62"/>
  <c r="F38" i="62" s="1"/>
  <c r="F39" i="62" s="1"/>
  <c r="F41" i="62" s="1"/>
  <c r="F42" i="62"/>
  <c r="C51" i="80"/>
  <c r="D15" i="73"/>
  <c r="G10" i="69"/>
  <c r="I18" i="85"/>
  <c r="E26" i="85" s="1"/>
  <c r="D12" i="73" s="1"/>
  <c r="D19" i="82"/>
  <c r="D20" i="82" s="1"/>
  <c r="D7" i="82"/>
  <c r="D8" i="82" s="1"/>
  <c r="D13" i="82"/>
  <c r="D14" i="82"/>
  <c r="D24" i="81"/>
  <c r="D25" i="81" s="1"/>
  <c r="C39" i="81" s="1"/>
  <c r="E6" i="81"/>
  <c r="C43" i="81"/>
  <c r="C49" i="81"/>
  <c r="D6" i="81"/>
  <c r="D25" i="80"/>
  <c r="D26" i="80" s="1"/>
  <c r="C41" i="80" s="1"/>
  <c r="D8" i="80"/>
  <c r="D15" i="80" s="1"/>
  <c r="C44" i="80" s="1"/>
  <c r="C76" i="80"/>
  <c r="C82" i="80"/>
  <c r="E8" i="80"/>
  <c r="G46" i="69" l="1"/>
  <c r="D23" i="73"/>
  <c r="E26" i="84"/>
  <c r="D13" i="70" s="1"/>
  <c r="G34" i="69" s="1"/>
  <c r="D21" i="82"/>
  <c r="E8" i="82"/>
  <c r="D7" i="81"/>
  <c r="E8" i="81" s="1"/>
  <c r="D13" i="81"/>
  <c r="C42" i="81" s="1"/>
  <c r="C45" i="81" s="1"/>
  <c r="C48" i="81" s="1"/>
  <c r="C47" i="81"/>
  <c r="D14" i="81"/>
  <c r="D27" i="80"/>
  <c r="C72" i="80" s="1"/>
  <c r="C80" i="80" s="1"/>
  <c r="D16" i="80"/>
  <c r="C75" i="80" s="1"/>
  <c r="D9" i="80"/>
  <c r="C47" i="80"/>
  <c r="C49" i="80"/>
  <c r="F41" i="56" l="1"/>
  <c r="D37" i="56"/>
  <c r="F37" i="56" s="1"/>
  <c r="F38" i="56" s="1"/>
  <c r="F40" i="56" s="1"/>
  <c r="C50" i="80"/>
  <c r="C52" i="80" s="1"/>
  <c r="C53" i="80" s="1"/>
  <c r="C54" i="80" s="1"/>
  <c r="E47" i="80"/>
  <c r="F47" i="80" s="1"/>
  <c r="D10" i="80"/>
  <c r="F50" i="80"/>
  <c r="E25" i="84"/>
  <c r="D12" i="70" s="1"/>
  <c r="G33" i="69" s="1"/>
  <c r="D23" i="82"/>
  <c r="D24" i="82" s="1"/>
  <c r="C33" i="82" s="1"/>
  <c r="C36" i="82" s="1"/>
  <c r="C37" i="82" s="1"/>
  <c r="C44" i="82" s="1"/>
  <c r="F31" i="56"/>
  <c r="D8" i="81"/>
  <c r="C50" i="81"/>
  <c r="C51" i="81" s="1"/>
  <c r="C53" i="81" s="1"/>
  <c r="E10" i="80"/>
  <c r="C78" i="80"/>
  <c r="C81" i="80" l="1"/>
  <c r="C83" i="80" s="1"/>
  <c r="C84" i="80" s="1"/>
  <c r="C86" i="80" s="1"/>
  <c r="C108" i="80" s="1"/>
  <c r="E48" i="80"/>
  <c r="F48" i="80" s="1"/>
  <c r="F49" i="80" s="1"/>
  <c r="F51" i="80" s="1"/>
  <c r="F52" i="80" s="1"/>
  <c r="C59" i="82"/>
  <c r="D17" i="56" s="1"/>
  <c r="G17" i="69" s="1"/>
  <c r="D8" i="56"/>
  <c r="E15" i="69" s="1"/>
  <c r="C62" i="82"/>
  <c r="G20" i="69" s="1"/>
  <c r="C52" i="81"/>
  <c r="C54" i="81"/>
  <c r="C56" i="80"/>
  <c r="C55" i="80"/>
  <c r="C58" i="80" l="1"/>
  <c r="C107" i="80" s="1"/>
  <c r="D18" i="62" s="1"/>
  <c r="G6" i="69" s="1"/>
  <c r="C105" i="80"/>
  <c r="D16" i="62" s="1"/>
  <c r="G4" i="69" s="1"/>
  <c r="C85" i="80"/>
  <c r="C106" i="80" s="1"/>
  <c r="D17" i="62" s="1"/>
  <c r="G5" i="69" s="1"/>
  <c r="C56" i="81"/>
  <c r="C65" i="81" s="1"/>
  <c r="D13" i="59" s="1"/>
  <c r="G13" i="69" s="1"/>
  <c r="C55" i="81"/>
  <c r="C63" i="81" s="1"/>
  <c r="D12" i="59" s="1"/>
  <c r="G12" i="69" s="1"/>
  <c r="D19" i="62"/>
  <c r="G7" i="69" s="1"/>
  <c r="F7" i="55" l="1"/>
  <c r="D38" i="75"/>
  <c r="D18" i="12"/>
  <c r="D17" i="12"/>
  <c r="D15" i="12"/>
  <c r="D12" i="12"/>
  <c r="D9" i="12"/>
  <c r="D7" i="12"/>
  <c r="D9" i="78"/>
  <c r="D20" i="76" l="1"/>
  <c r="D17" i="76"/>
  <c r="D19" i="76"/>
  <c r="B18" i="76"/>
  <c r="E18" i="76" s="1"/>
  <c r="D15" i="78"/>
  <c r="D38" i="78"/>
  <c r="D23" i="78"/>
  <c r="D25" i="78" s="1"/>
  <c r="D106" i="77"/>
  <c r="F106" i="77" s="1"/>
  <c r="D105" i="77"/>
  <c r="F105" i="77" s="1"/>
  <c r="D104" i="77"/>
  <c r="F104" i="77" s="1"/>
  <c r="D103" i="77"/>
  <c r="F103" i="77" s="1"/>
  <c r="D102" i="77"/>
  <c r="F102" i="77" s="1"/>
  <c r="D101" i="77"/>
  <c r="F101" i="77" s="1"/>
  <c r="D100" i="77"/>
  <c r="F100" i="77" s="1"/>
  <c r="D99" i="77"/>
  <c r="F99" i="77" s="1"/>
  <c r="D98" i="77"/>
  <c r="F98" i="77" s="1"/>
  <c r="D97" i="77"/>
  <c r="F97" i="77" s="1"/>
  <c r="D93" i="77"/>
  <c r="F93" i="77" s="1"/>
  <c r="D92" i="77"/>
  <c r="F92" i="77" s="1"/>
  <c r="E91" i="77"/>
  <c r="D91" i="77"/>
  <c r="D90" i="77"/>
  <c r="F90" i="77" s="1"/>
  <c r="D89" i="77"/>
  <c r="D80" i="77"/>
  <c r="F80" i="77" s="1"/>
  <c r="D79" i="77"/>
  <c r="F79" i="77" s="1"/>
  <c r="D69" i="77"/>
  <c r="F69" i="77" s="1"/>
  <c r="D68" i="77"/>
  <c r="F68" i="77" s="1"/>
  <c r="D67" i="77"/>
  <c r="F67" i="77" s="1"/>
  <c r="D66" i="77"/>
  <c r="F66" i="77" s="1"/>
  <c r="D65" i="77"/>
  <c r="F65" i="77" s="1"/>
  <c r="D64" i="77"/>
  <c r="F64" i="77" s="1"/>
  <c r="D63" i="77"/>
  <c r="F63" i="77" s="1"/>
  <c r="D62" i="77"/>
  <c r="F62" i="77" s="1"/>
  <c r="D58" i="77"/>
  <c r="F58" i="77" s="1"/>
  <c r="D57" i="77"/>
  <c r="F57" i="77" s="1"/>
  <c r="E56" i="77"/>
  <c r="D56" i="77"/>
  <c r="D55" i="77"/>
  <c r="F55" i="77" s="1"/>
  <c r="D54" i="77"/>
  <c r="D45" i="77"/>
  <c r="F45" i="77" s="1"/>
  <c r="D44" i="77"/>
  <c r="F44" i="77" s="1"/>
  <c r="D34" i="77"/>
  <c r="F34" i="77" s="1"/>
  <c r="D33" i="77"/>
  <c r="F33" i="77" s="1"/>
  <c r="D32" i="77"/>
  <c r="F32" i="77" s="1"/>
  <c r="D31" i="77"/>
  <c r="F31" i="77" s="1"/>
  <c r="D30" i="77"/>
  <c r="F30" i="77" s="1"/>
  <c r="D29" i="77"/>
  <c r="F29" i="77" s="1"/>
  <c r="D28" i="77"/>
  <c r="F28" i="77" s="1"/>
  <c r="D27" i="77"/>
  <c r="F27" i="77" s="1"/>
  <c r="D23" i="77"/>
  <c r="F23" i="77" s="1"/>
  <c r="D22" i="77"/>
  <c r="F22" i="77" s="1"/>
  <c r="E21" i="77"/>
  <c r="D21" i="77"/>
  <c r="D20" i="77"/>
  <c r="F20" i="77" s="1"/>
  <c r="D19" i="77"/>
  <c r="D10" i="77"/>
  <c r="F10" i="77" s="1"/>
  <c r="D9" i="77"/>
  <c r="F9" i="77" s="1"/>
  <c r="E20" i="76"/>
  <c r="E19" i="76"/>
  <c r="E17" i="76"/>
  <c r="D23" i="75"/>
  <c r="D9" i="75"/>
  <c r="D21" i="75"/>
  <c r="D25" i="75" l="1"/>
  <c r="F50" i="77"/>
  <c r="D51" i="77" s="1"/>
  <c r="D20" i="75"/>
  <c r="D29" i="75" s="1"/>
  <c r="D26" i="75" s="1"/>
  <c r="F21" i="77"/>
  <c r="F89" i="77"/>
  <c r="F54" i="77"/>
  <c r="F17" i="76"/>
  <c r="D20" i="78"/>
  <c r="D29" i="78" s="1"/>
  <c r="D26" i="78" s="1"/>
  <c r="F18" i="76"/>
  <c r="F19" i="76"/>
  <c r="D11" i="78"/>
  <c r="D8" i="78" s="1"/>
  <c r="D32" i="78" s="1"/>
  <c r="D37" i="78" s="1"/>
  <c r="D31" i="78" s="1"/>
  <c r="F56" i="77"/>
  <c r="F85" i="77"/>
  <c r="D86" i="77" s="1"/>
  <c r="F91" i="77"/>
  <c r="F19" i="77"/>
  <c r="F107" i="77"/>
  <c r="F35" i="77"/>
  <c r="F20" i="76"/>
  <c r="F15" i="77"/>
  <c r="F70" i="77"/>
  <c r="D15" i="75"/>
  <c r="D11" i="75"/>
  <c r="D8" i="75" s="1"/>
  <c r="D32" i="75" s="1"/>
  <c r="D37" i="75" s="1"/>
  <c r="D31" i="75" s="1"/>
  <c r="F21" i="76" l="1"/>
  <c r="D17" i="78"/>
  <c r="D13" i="78" s="1"/>
  <c r="D39" i="78" s="1"/>
  <c r="E8" i="76" s="1"/>
  <c r="F8" i="76" s="1"/>
  <c r="F10" i="76" s="1"/>
  <c r="D16" i="77"/>
  <c r="D17" i="75"/>
  <c r="D13" i="75" s="1"/>
  <c r="D39" i="75" s="1"/>
  <c r="D173" i="74" l="1"/>
  <c r="F173" i="74" s="1"/>
  <c r="D174" i="74"/>
  <c r="F174" i="74" s="1"/>
  <c r="D175" i="74"/>
  <c r="F175" i="74" s="1"/>
  <c r="D148" i="74"/>
  <c r="F148" i="74" s="1"/>
  <c r="C172" i="74"/>
  <c r="D172" i="74" s="1"/>
  <c r="F172" i="74" s="1"/>
  <c r="D171" i="74"/>
  <c r="F171" i="74" s="1"/>
  <c r="D170" i="74"/>
  <c r="F170" i="74" s="1"/>
  <c r="D169" i="74"/>
  <c r="F169" i="74" s="1"/>
  <c r="D168" i="74"/>
  <c r="F168" i="74" s="1"/>
  <c r="D167" i="74"/>
  <c r="F167" i="74" s="1"/>
  <c r="D166" i="74"/>
  <c r="F166" i="74" s="1"/>
  <c r="D162" i="74"/>
  <c r="F162" i="74" s="1"/>
  <c r="D161" i="74"/>
  <c r="F161" i="74" s="1"/>
  <c r="E160" i="74"/>
  <c r="D160" i="74"/>
  <c r="D159" i="74"/>
  <c r="F159" i="74" s="1"/>
  <c r="D158" i="74"/>
  <c r="D149" i="74"/>
  <c r="F149" i="74" s="1"/>
  <c r="D25" i="73"/>
  <c r="D21" i="73"/>
  <c r="D20" i="73"/>
  <c r="D19" i="73"/>
  <c r="E9" i="75"/>
  <c r="E15" i="75" s="1"/>
  <c r="E38" i="75"/>
  <c r="C38" i="75"/>
  <c r="E23" i="75"/>
  <c r="C23" i="75"/>
  <c r="C9" i="75"/>
  <c r="C15" i="75" s="1"/>
  <c r="D140" i="74"/>
  <c r="F140" i="74" s="1"/>
  <c r="C139" i="74"/>
  <c r="D139" i="74" s="1"/>
  <c r="F139" i="74" s="1"/>
  <c r="D138" i="74"/>
  <c r="F138" i="74" s="1"/>
  <c r="D137" i="74"/>
  <c r="F137" i="74" s="1"/>
  <c r="D136" i="74"/>
  <c r="F136" i="74" s="1"/>
  <c r="D135" i="74"/>
  <c r="F135" i="74" s="1"/>
  <c r="D134" i="74"/>
  <c r="F134" i="74" s="1"/>
  <c r="D133" i="74"/>
  <c r="F133" i="74" s="1"/>
  <c r="D129" i="74"/>
  <c r="F129" i="74" s="1"/>
  <c r="D128" i="74"/>
  <c r="F128" i="74" s="1"/>
  <c r="E127" i="74"/>
  <c r="D127" i="74"/>
  <c r="D126" i="74"/>
  <c r="F126" i="74" s="1"/>
  <c r="D125" i="74"/>
  <c r="D116" i="74"/>
  <c r="F116" i="74" s="1"/>
  <c r="D115" i="74"/>
  <c r="F115" i="74" s="1"/>
  <c r="D106" i="74"/>
  <c r="F106" i="74" s="1"/>
  <c r="D105" i="74"/>
  <c r="F105" i="74" s="1"/>
  <c r="D104" i="74"/>
  <c r="F104" i="74" s="1"/>
  <c r="D103" i="74"/>
  <c r="F103" i="74" s="1"/>
  <c r="D102" i="74"/>
  <c r="F102" i="74" s="1"/>
  <c r="D101" i="74"/>
  <c r="F101" i="74" s="1"/>
  <c r="D100" i="74"/>
  <c r="F100" i="74" s="1"/>
  <c r="D99" i="74"/>
  <c r="F99" i="74" s="1"/>
  <c r="D98" i="74"/>
  <c r="F98" i="74" s="1"/>
  <c r="D97" i="74"/>
  <c r="F97" i="74" s="1"/>
  <c r="D93" i="74"/>
  <c r="F93" i="74" s="1"/>
  <c r="D92" i="74"/>
  <c r="F92" i="74" s="1"/>
  <c r="E91" i="74"/>
  <c r="D91" i="74"/>
  <c r="D90" i="74"/>
  <c r="F90" i="74" s="1"/>
  <c r="D89" i="74"/>
  <c r="D80" i="74"/>
  <c r="F80" i="74" s="1"/>
  <c r="D79" i="74"/>
  <c r="F79" i="74" s="1"/>
  <c r="D69" i="74"/>
  <c r="F69" i="74" s="1"/>
  <c r="D68" i="74"/>
  <c r="F68" i="74" s="1"/>
  <c r="D67" i="74"/>
  <c r="F67" i="74" s="1"/>
  <c r="D66" i="74"/>
  <c r="F66" i="74" s="1"/>
  <c r="D65" i="74"/>
  <c r="F65" i="74" s="1"/>
  <c r="D64" i="74"/>
  <c r="F64" i="74" s="1"/>
  <c r="D63" i="74"/>
  <c r="F63" i="74" s="1"/>
  <c r="D62" i="74"/>
  <c r="F62" i="74" s="1"/>
  <c r="D58" i="74"/>
  <c r="F58" i="74" s="1"/>
  <c r="D57" i="74"/>
  <c r="F57" i="74" s="1"/>
  <c r="E56" i="74"/>
  <c r="D56" i="74"/>
  <c r="F56" i="74" s="1"/>
  <c r="D55" i="74"/>
  <c r="F55" i="74" s="1"/>
  <c r="D54" i="74"/>
  <c r="D45" i="74"/>
  <c r="F45" i="74" s="1"/>
  <c r="D44" i="74"/>
  <c r="F44" i="74" s="1"/>
  <c r="D34" i="74"/>
  <c r="F34" i="74" s="1"/>
  <c r="D33" i="74"/>
  <c r="F33" i="74" s="1"/>
  <c r="D32" i="74"/>
  <c r="F32" i="74" s="1"/>
  <c r="D31" i="74"/>
  <c r="F31" i="74" s="1"/>
  <c r="D30" i="74"/>
  <c r="F30" i="74" s="1"/>
  <c r="D29" i="74"/>
  <c r="F29" i="74" s="1"/>
  <c r="D28" i="74"/>
  <c r="F28" i="74" s="1"/>
  <c r="D27" i="74"/>
  <c r="F27" i="74" s="1"/>
  <c r="D23" i="74"/>
  <c r="F23" i="74" s="1"/>
  <c r="D22" i="74"/>
  <c r="F22" i="74" s="1"/>
  <c r="E21" i="74"/>
  <c r="D21" i="74"/>
  <c r="D20" i="74"/>
  <c r="F20" i="74" s="1"/>
  <c r="D19" i="74"/>
  <c r="D10" i="74"/>
  <c r="F10" i="74" s="1"/>
  <c r="D9" i="74"/>
  <c r="F19" i="74" s="1"/>
  <c r="E24" i="73"/>
  <c r="D24" i="73"/>
  <c r="E23" i="73"/>
  <c r="E22" i="73"/>
  <c r="E21" i="73"/>
  <c r="E20" i="73"/>
  <c r="E19" i="73"/>
  <c r="D22" i="73"/>
  <c r="D25" i="70"/>
  <c r="D21" i="70"/>
  <c r="E24" i="70"/>
  <c r="E25" i="70"/>
  <c r="D22" i="70"/>
  <c r="D24" i="70"/>
  <c r="D20" i="70"/>
  <c r="D10" i="71"/>
  <c r="F10" i="71" s="1"/>
  <c r="D116" i="71"/>
  <c r="C140" i="71"/>
  <c r="D140" i="71" s="1"/>
  <c r="F140" i="71" s="1"/>
  <c r="F160" i="74" l="1"/>
  <c r="F89" i="74"/>
  <c r="F154" i="74"/>
  <c r="D155" i="74" s="1"/>
  <c r="F121" i="74"/>
  <c r="F54" i="74"/>
  <c r="F176" i="74"/>
  <c r="F24" i="70"/>
  <c r="F25" i="70"/>
  <c r="C25" i="75"/>
  <c r="F20" i="73"/>
  <c r="E25" i="75"/>
  <c r="C11" i="75"/>
  <c r="C17" i="75" s="1"/>
  <c r="C13" i="75" s="1"/>
  <c r="F21" i="74"/>
  <c r="F91" i="74"/>
  <c r="F125" i="74"/>
  <c r="F141" i="74"/>
  <c r="F127" i="74"/>
  <c r="F158" i="74"/>
  <c r="F24" i="73"/>
  <c r="F22" i="73"/>
  <c r="F23" i="73"/>
  <c r="F19" i="73"/>
  <c r="F21" i="73"/>
  <c r="E11" i="75"/>
  <c r="E8" i="75" s="1"/>
  <c r="E32" i="75" s="1"/>
  <c r="E37" i="75" s="1"/>
  <c r="E31" i="75" s="1"/>
  <c r="F35" i="74"/>
  <c r="F107" i="74"/>
  <c r="F70" i="74"/>
  <c r="F50" i="74"/>
  <c r="F85" i="74"/>
  <c r="D122" i="74"/>
  <c r="F9" i="74"/>
  <c r="F15" i="74" s="1"/>
  <c r="E20" i="75" l="1"/>
  <c r="E29" i="75" s="1"/>
  <c r="E26" i="75" s="1"/>
  <c r="C20" i="75"/>
  <c r="C29" i="75" s="1"/>
  <c r="C26" i="75" s="1"/>
  <c r="C8" i="75"/>
  <c r="C32" i="75" s="1"/>
  <c r="C37" i="75" s="1"/>
  <c r="C31" i="75" s="1"/>
  <c r="E17" i="75"/>
  <c r="E13" i="75" s="1"/>
  <c r="D16" i="74"/>
  <c r="D51" i="74"/>
  <c r="D86" i="74"/>
  <c r="C39" i="75" l="1"/>
  <c r="E8" i="73" s="1"/>
  <c r="F8" i="73" s="1"/>
  <c r="E39" i="75"/>
  <c r="E9" i="73" s="1"/>
  <c r="F9" i="73" s="1"/>
  <c r="F10" i="73" l="1"/>
  <c r="D23" i="70"/>
  <c r="D9" i="72"/>
  <c r="D15" i="72" s="1"/>
  <c r="C38" i="72"/>
  <c r="C23" i="72"/>
  <c r="C9" i="72"/>
  <c r="D38" i="72"/>
  <c r="D23" i="72"/>
  <c r="D141" i="71"/>
  <c r="F141" i="71" s="1"/>
  <c r="D139" i="71"/>
  <c r="F139" i="71" s="1"/>
  <c r="D138" i="71"/>
  <c r="F138" i="71" s="1"/>
  <c r="D137" i="71"/>
  <c r="F137" i="71" s="1"/>
  <c r="D136" i="71"/>
  <c r="F136" i="71" s="1"/>
  <c r="D135" i="71"/>
  <c r="F135" i="71" s="1"/>
  <c r="D134" i="71"/>
  <c r="F134" i="71" s="1"/>
  <c r="D130" i="71"/>
  <c r="F130" i="71" s="1"/>
  <c r="D129" i="71"/>
  <c r="F129" i="71" s="1"/>
  <c r="E128" i="71"/>
  <c r="D128" i="71"/>
  <c r="F128" i="71" s="1"/>
  <c r="D127" i="71"/>
  <c r="F127" i="71" s="1"/>
  <c r="D126" i="71"/>
  <c r="D117" i="71"/>
  <c r="F117" i="71" s="1"/>
  <c r="F116" i="71"/>
  <c r="D106" i="71"/>
  <c r="F106" i="71" s="1"/>
  <c r="D105" i="71"/>
  <c r="F105" i="71" s="1"/>
  <c r="D104" i="71"/>
  <c r="F104" i="71" s="1"/>
  <c r="D103" i="71"/>
  <c r="F103" i="71" s="1"/>
  <c r="D102" i="71"/>
  <c r="F102" i="71" s="1"/>
  <c r="D101" i="71"/>
  <c r="F101" i="71" s="1"/>
  <c r="D100" i="71"/>
  <c r="F100" i="71" s="1"/>
  <c r="D99" i="71"/>
  <c r="F99" i="71" s="1"/>
  <c r="D98" i="71"/>
  <c r="F98" i="71" s="1"/>
  <c r="D97" i="71"/>
  <c r="F97" i="71" s="1"/>
  <c r="D93" i="71"/>
  <c r="F93" i="71" s="1"/>
  <c r="D92" i="71"/>
  <c r="F92" i="71" s="1"/>
  <c r="E91" i="71"/>
  <c r="D91" i="71"/>
  <c r="F91" i="71" s="1"/>
  <c r="D90" i="71"/>
  <c r="F90" i="71" s="1"/>
  <c r="D89" i="71"/>
  <c r="D80" i="71"/>
  <c r="F80" i="71" s="1"/>
  <c r="D79" i="71"/>
  <c r="F79" i="71" s="1"/>
  <c r="D69" i="71"/>
  <c r="F69" i="71" s="1"/>
  <c r="D68" i="71"/>
  <c r="F68" i="71" s="1"/>
  <c r="D67" i="71"/>
  <c r="F67" i="71" s="1"/>
  <c r="D66" i="71"/>
  <c r="F66" i="71" s="1"/>
  <c r="D65" i="71"/>
  <c r="F65" i="71" s="1"/>
  <c r="D64" i="71"/>
  <c r="F64" i="71" s="1"/>
  <c r="D63" i="71"/>
  <c r="F63" i="71" s="1"/>
  <c r="D62" i="71"/>
  <c r="F62" i="71" s="1"/>
  <c r="D58" i="71"/>
  <c r="F58" i="71" s="1"/>
  <c r="D57" i="71"/>
  <c r="F57" i="71" s="1"/>
  <c r="E56" i="71"/>
  <c r="D56" i="71"/>
  <c r="D55" i="71"/>
  <c r="F55" i="71" s="1"/>
  <c r="D54" i="71"/>
  <c r="D45" i="71"/>
  <c r="F45" i="71" s="1"/>
  <c r="D44" i="71"/>
  <c r="F44" i="71" s="1"/>
  <c r="D34" i="71"/>
  <c r="F34" i="71" s="1"/>
  <c r="D33" i="71"/>
  <c r="F33" i="71" s="1"/>
  <c r="D32" i="71"/>
  <c r="F32" i="71" s="1"/>
  <c r="D31" i="71"/>
  <c r="F31" i="71" s="1"/>
  <c r="D30" i="71"/>
  <c r="F30" i="71" s="1"/>
  <c r="D29" i="71"/>
  <c r="F29" i="71" s="1"/>
  <c r="D28" i="71"/>
  <c r="F28" i="71" s="1"/>
  <c r="D27" i="71"/>
  <c r="F27" i="71" s="1"/>
  <c r="D23" i="71"/>
  <c r="F23" i="71" s="1"/>
  <c r="D22" i="71"/>
  <c r="F22" i="71" s="1"/>
  <c r="E21" i="71"/>
  <c r="D21" i="71"/>
  <c r="D20" i="71"/>
  <c r="F20" i="71" s="1"/>
  <c r="D19" i="71"/>
  <c r="D9" i="71"/>
  <c r="F9" i="71" s="1"/>
  <c r="E23" i="70"/>
  <c r="F23" i="70" s="1"/>
  <c r="E22" i="70"/>
  <c r="F22" i="70" s="1"/>
  <c r="E21" i="70"/>
  <c r="F21" i="70" s="1"/>
  <c r="E20" i="70"/>
  <c r="F20" i="70" s="1"/>
  <c r="D16" i="65"/>
  <c r="D15" i="65"/>
  <c r="C38" i="67"/>
  <c r="C23" i="67"/>
  <c r="C25" i="67" s="1"/>
  <c r="D9" i="67"/>
  <c r="D15" i="67" s="1"/>
  <c r="C9" i="67"/>
  <c r="C11" i="67" s="1"/>
  <c r="G107" i="66"/>
  <c r="I107" i="66" s="1"/>
  <c r="D107" i="66"/>
  <c r="F107" i="66" s="1"/>
  <c r="D106" i="66"/>
  <c r="F106" i="66" s="1"/>
  <c r="G105" i="66"/>
  <c r="I105" i="66" s="1"/>
  <c r="G104" i="66"/>
  <c r="I104" i="66" s="1"/>
  <c r="D104" i="66"/>
  <c r="F104" i="66" s="1"/>
  <c r="G103" i="66"/>
  <c r="I103" i="66" s="1"/>
  <c r="D103" i="66"/>
  <c r="F103" i="66" s="1"/>
  <c r="G102" i="66"/>
  <c r="I102" i="66" s="1"/>
  <c r="D102" i="66"/>
  <c r="F102" i="66" s="1"/>
  <c r="G101" i="66"/>
  <c r="I101" i="66" s="1"/>
  <c r="D101" i="66"/>
  <c r="F101" i="66" s="1"/>
  <c r="G100" i="66"/>
  <c r="I100" i="66" s="1"/>
  <c r="D100" i="66"/>
  <c r="F100" i="66" s="1"/>
  <c r="G99" i="66"/>
  <c r="I99" i="66" s="1"/>
  <c r="D99" i="66"/>
  <c r="F99" i="66" s="1"/>
  <c r="G98" i="66"/>
  <c r="I98" i="66" s="1"/>
  <c r="D98" i="66"/>
  <c r="F98" i="66" s="1"/>
  <c r="G97" i="66"/>
  <c r="I97" i="66" s="1"/>
  <c r="D97" i="66"/>
  <c r="F97" i="66" s="1"/>
  <c r="G93" i="66"/>
  <c r="I93" i="66" s="1"/>
  <c r="D93" i="66"/>
  <c r="F93" i="66" s="1"/>
  <c r="G92" i="66"/>
  <c r="I92" i="66" s="1"/>
  <c r="D92" i="66"/>
  <c r="F92" i="66" s="1"/>
  <c r="H91" i="66"/>
  <c r="G91" i="66"/>
  <c r="E91" i="66"/>
  <c r="F91" i="66" s="1"/>
  <c r="D91" i="66"/>
  <c r="G90" i="66"/>
  <c r="I90" i="66" s="1"/>
  <c r="D90" i="66"/>
  <c r="F90" i="66" s="1"/>
  <c r="G89" i="66"/>
  <c r="D89" i="66"/>
  <c r="G80" i="66"/>
  <c r="I80" i="66" s="1"/>
  <c r="D80" i="66"/>
  <c r="F80" i="66" s="1"/>
  <c r="G79" i="66"/>
  <c r="I79" i="66" s="1"/>
  <c r="D79" i="66"/>
  <c r="F79" i="66" s="1"/>
  <c r="G69" i="66"/>
  <c r="I69" i="66" s="1"/>
  <c r="D69" i="66"/>
  <c r="F69" i="66" s="1"/>
  <c r="G68" i="66"/>
  <c r="I68" i="66" s="1"/>
  <c r="D68" i="66"/>
  <c r="F68" i="66" s="1"/>
  <c r="G67" i="66"/>
  <c r="I67" i="66" s="1"/>
  <c r="D67" i="66"/>
  <c r="F67" i="66" s="1"/>
  <c r="G66" i="66"/>
  <c r="I66" i="66" s="1"/>
  <c r="D66" i="66"/>
  <c r="F66" i="66" s="1"/>
  <c r="G65" i="66"/>
  <c r="I65" i="66" s="1"/>
  <c r="D65" i="66"/>
  <c r="F65" i="66" s="1"/>
  <c r="G64" i="66"/>
  <c r="I64" i="66" s="1"/>
  <c r="D64" i="66"/>
  <c r="F64" i="66" s="1"/>
  <c r="G63" i="66"/>
  <c r="I63" i="66" s="1"/>
  <c r="D63" i="66"/>
  <c r="F63" i="66" s="1"/>
  <c r="G62" i="66"/>
  <c r="I62" i="66" s="1"/>
  <c r="D62" i="66"/>
  <c r="F62" i="66" s="1"/>
  <c r="G58" i="66"/>
  <c r="I58" i="66" s="1"/>
  <c r="D58" i="66"/>
  <c r="F58" i="66" s="1"/>
  <c r="G57" i="66"/>
  <c r="I57" i="66" s="1"/>
  <c r="D57" i="66"/>
  <c r="F57" i="66" s="1"/>
  <c r="H56" i="66"/>
  <c r="G56" i="66"/>
  <c r="E56" i="66"/>
  <c r="D56" i="66"/>
  <c r="F56" i="66" s="1"/>
  <c r="G55" i="66"/>
  <c r="I55" i="66" s="1"/>
  <c r="D55" i="66"/>
  <c r="F55" i="66" s="1"/>
  <c r="G54" i="66"/>
  <c r="I54" i="66" s="1"/>
  <c r="D54" i="66"/>
  <c r="G45" i="66"/>
  <c r="I45" i="66" s="1"/>
  <c r="D45" i="66"/>
  <c r="F45" i="66" s="1"/>
  <c r="G44" i="66"/>
  <c r="I44" i="66" s="1"/>
  <c r="D44" i="66"/>
  <c r="F44" i="66" s="1"/>
  <c r="G34" i="66"/>
  <c r="I34" i="66" s="1"/>
  <c r="D34" i="66"/>
  <c r="F34" i="66" s="1"/>
  <c r="G33" i="66"/>
  <c r="I33" i="66" s="1"/>
  <c r="D33" i="66"/>
  <c r="F33" i="66" s="1"/>
  <c r="G32" i="66"/>
  <c r="I32" i="66" s="1"/>
  <c r="D32" i="66"/>
  <c r="F32" i="66" s="1"/>
  <c r="G31" i="66"/>
  <c r="I31" i="66" s="1"/>
  <c r="D31" i="66"/>
  <c r="F31" i="66" s="1"/>
  <c r="G30" i="66"/>
  <c r="I30" i="66" s="1"/>
  <c r="D30" i="66"/>
  <c r="F30" i="66" s="1"/>
  <c r="G29" i="66"/>
  <c r="I29" i="66" s="1"/>
  <c r="D29" i="66"/>
  <c r="F29" i="66" s="1"/>
  <c r="G28" i="66"/>
  <c r="I28" i="66" s="1"/>
  <c r="D28" i="66"/>
  <c r="F28" i="66" s="1"/>
  <c r="G27" i="66"/>
  <c r="I27" i="66" s="1"/>
  <c r="D27" i="66"/>
  <c r="F27" i="66" s="1"/>
  <c r="G23" i="66"/>
  <c r="I23" i="66" s="1"/>
  <c r="D23" i="66"/>
  <c r="F23" i="66" s="1"/>
  <c r="G22" i="66"/>
  <c r="I22" i="66" s="1"/>
  <c r="D22" i="66"/>
  <c r="F22" i="66" s="1"/>
  <c r="H21" i="66"/>
  <c r="G21" i="66"/>
  <c r="E21" i="66"/>
  <c r="D21" i="66"/>
  <c r="G20" i="66"/>
  <c r="I20" i="66" s="1"/>
  <c r="D20" i="66"/>
  <c r="F20" i="66" s="1"/>
  <c r="G19" i="66"/>
  <c r="D19" i="66"/>
  <c r="G10" i="66"/>
  <c r="I10" i="66" s="1"/>
  <c r="D10" i="66"/>
  <c r="F10" i="66" s="1"/>
  <c r="G9" i="66"/>
  <c r="I9" i="66" s="1"/>
  <c r="D9" i="66"/>
  <c r="F9" i="66" s="1"/>
  <c r="F15" i="66" s="1"/>
  <c r="E16" i="65"/>
  <c r="E14" i="65"/>
  <c r="D10" i="65"/>
  <c r="G30" i="69" s="1"/>
  <c r="C83" i="64"/>
  <c r="C84" i="64" s="1"/>
  <c r="C88" i="64" s="1"/>
  <c r="C86" i="64" s="1"/>
  <c r="H19" i="64"/>
  <c r="H21" i="64" s="1"/>
  <c r="H16" i="64" s="1"/>
  <c r="H25" i="64" s="1"/>
  <c r="H22" i="64" s="1"/>
  <c r="D21" i="64"/>
  <c r="D16" i="64" s="1"/>
  <c r="D25" i="64" s="1"/>
  <c r="D22" i="64" s="1"/>
  <c r="C95" i="64"/>
  <c r="C90" i="64" s="1"/>
  <c r="C99" i="64" s="1"/>
  <c r="C96" i="64" s="1"/>
  <c r="H34" i="64"/>
  <c r="D34" i="64"/>
  <c r="C46" i="64"/>
  <c r="C50" i="64" s="1"/>
  <c r="D46" i="64"/>
  <c r="D50" i="64" s="1"/>
  <c r="E46" i="64"/>
  <c r="E47" i="64" s="1"/>
  <c r="E45" i="64" s="1"/>
  <c r="E65" i="64" s="1"/>
  <c r="E70" i="64" s="1"/>
  <c r="E64" i="64" s="1"/>
  <c r="C58" i="64"/>
  <c r="E56" i="64"/>
  <c r="E58" i="64" s="1"/>
  <c r="E53" i="64" s="1"/>
  <c r="E62" i="64" s="1"/>
  <c r="E59" i="64" s="1"/>
  <c r="D58" i="64"/>
  <c r="D53" i="64" s="1"/>
  <c r="D62" i="64" s="1"/>
  <c r="D59" i="64" s="1"/>
  <c r="C71" i="64"/>
  <c r="D71" i="64"/>
  <c r="E71" i="64"/>
  <c r="D9" i="63"/>
  <c r="F9" i="63" s="1"/>
  <c r="D10" i="63"/>
  <c r="F10" i="63" s="1"/>
  <c r="F19" i="63"/>
  <c r="D20" i="63"/>
  <c r="F20" i="63" s="1"/>
  <c r="D21" i="63"/>
  <c r="E21" i="63"/>
  <c r="D22" i="63"/>
  <c r="F22" i="63" s="1"/>
  <c r="D23" i="63"/>
  <c r="F23" i="63" s="1"/>
  <c r="D27" i="63"/>
  <c r="F27" i="63" s="1"/>
  <c r="D28" i="63"/>
  <c r="F28" i="63" s="1"/>
  <c r="D29" i="63"/>
  <c r="F29" i="63" s="1"/>
  <c r="D30" i="63"/>
  <c r="F30" i="63" s="1"/>
  <c r="D40" i="63"/>
  <c r="F40" i="63" s="1"/>
  <c r="D41" i="63"/>
  <c r="F41" i="63" s="1"/>
  <c r="F50" i="63"/>
  <c r="D51" i="63"/>
  <c r="F51" i="63" s="1"/>
  <c r="D52" i="63"/>
  <c r="E52" i="63"/>
  <c r="D53" i="63"/>
  <c r="F53" i="63" s="1"/>
  <c r="D54" i="63"/>
  <c r="F54" i="63" s="1"/>
  <c r="D58" i="63"/>
  <c r="F58" i="63" s="1"/>
  <c r="D59" i="63"/>
  <c r="F59" i="63" s="1"/>
  <c r="D60" i="63"/>
  <c r="F60" i="63" s="1"/>
  <c r="D61" i="63"/>
  <c r="F61" i="63" s="1"/>
  <c r="D71" i="63"/>
  <c r="F71" i="63" s="1"/>
  <c r="D72" i="63"/>
  <c r="F72" i="63" s="1"/>
  <c r="D81" i="63"/>
  <c r="D82" i="63"/>
  <c r="F82" i="63" s="1"/>
  <c r="D83" i="63"/>
  <c r="E83" i="63"/>
  <c r="D84" i="63"/>
  <c r="F84" i="63" s="1"/>
  <c r="D85" i="63"/>
  <c r="F85" i="63" s="1"/>
  <c r="C89" i="63"/>
  <c r="D89" i="63" s="1"/>
  <c r="F89" i="63" s="1"/>
  <c r="C90" i="63"/>
  <c r="D90" i="63" s="1"/>
  <c r="F90" i="63" s="1"/>
  <c r="D91" i="63"/>
  <c r="F91" i="63" s="1"/>
  <c r="C92" i="63"/>
  <c r="D92" i="63" s="1"/>
  <c r="F92" i="63" s="1"/>
  <c r="D93" i="63"/>
  <c r="F93" i="63" s="1"/>
  <c r="C94" i="63"/>
  <c r="D94" i="63" s="1"/>
  <c r="F94" i="63" s="1"/>
  <c r="D95" i="63"/>
  <c r="F95" i="63" s="1"/>
  <c r="C96" i="63"/>
  <c r="D96" i="63" s="1"/>
  <c r="F96" i="63" s="1"/>
  <c r="D106" i="63"/>
  <c r="F106" i="63" s="1"/>
  <c r="D107" i="63"/>
  <c r="F107" i="63" s="1"/>
  <c r="D116" i="63"/>
  <c r="D117" i="63"/>
  <c r="F117" i="63" s="1"/>
  <c r="D118" i="63"/>
  <c r="E118" i="63"/>
  <c r="D119" i="63"/>
  <c r="F119" i="63" s="1"/>
  <c r="D120" i="63"/>
  <c r="F120" i="63" s="1"/>
  <c r="C124" i="63"/>
  <c r="D124" i="63" s="1"/>
  <c r="F124" i="63" s="1"/>
  <c r="C125" i="63"/>
  <c r="D125" i="63" s="1"/>
  <c r="F125" i="63" s="1"/>
  <c r="D126" i="63"/>
  <c r="F126" i="63" s="1"/>
  <c r="C127" i="63"/>
  <c r="D127" i="63" s="1"/>
  <c r="F127" i="63" s="1"/>
  <c r="D128" i="63"/>
  <c r="F128" i="63" s="1"/>
  <c r="C129" i="63"/>
  <c r="D129" i="63" s="1"/>
  <c r="F129" i="63" s="1"/>
  <c r="C130" i="63"/>
  <c r="D130" i="63" s="1"/>
  <c r="F130" i="63" s="1"/>
  <c r="D140" i="63"/>
  <c r="F140" i="63" s="1"/>
  <c r="D141" i="63"/>
  <c r="F141" i="63" s="1"/>
  <c r="D150" i="63"/>
  <c r="D151" i="63"/>
  <c r="F151" i="63" s="1"/>
  <c r="D152" i="63"/>
  <c r="E152" i="63"/>
  <c r="D153" i="63"/>
  <c r="F153" i="63" s="1"/>
  <c r="D154" i="63"/>
  <c r="F154" i="63" s="1"/>
  <c r="C158" i="63"/>
  <c r="D158" i="63" s="1"/>
  <c r="F158" i="63" s="1"/>
  <c r="C159" i="63"/>
  <c r="D159" i="63" s="1"/>
  <c r="F159" i="63" s="1"/>
  <c r="D160" i="63"/>
  <c r="F160" i="63" s="1"/>
  <c r="C161" i="63"/>
  <c r="D161" i="63" s="1"/>
  <c r="F161" i="63" s="1"/>
  <c r="D162" i="63"/>
  <c r="F162" i="63" s="1"/>
  <c r="C163" i="63"/>
  <c r="D163" i="63" s="1"/>
  <c r="F163" i="63" s="1"/>
  <c r="C164" i="63"/>
  <c r="D164" i="63" s="1"/>
  <c r="F164" i="63" s="1"/>
  <c r="D174" i="63"/>
  <c r="F174" i="63" s="1"/>
  <c r="D175" i="63"/>
  <c r="F175" i="63" s="1"/>
  <c r="D184" i="63"/>
  <c r="D185" i="63"/>
  <c r="F185" i="63" s="1"/>
  <c r="D186" i="63"/>
  <c r="E186" i="63"/>
  <c r="D187" i="63"/>
  <c r="F187" i="63" s="1"/>
  <c r="D188" i="63"/>
  <c r="F188" i="63" s="1"/>
  <c r="C192" i="63"/>
  <c r="D192" i="63" s="1"/>
  <c r="F192" i="63" s="1"/>
  <c r="C193" i="63"/>
  <c r="D193" i="63" s="1"/>
  <c r="F193" i="63" s="1"/>
  <c r="D194" i="63"/>
  <c r="F194" i="63" s="1"/>
  <c r="C195" i="63"/>
  <c r="D195" i="63" s="1"/>
  <c r="F195" i="63" s="1"/>
  <c r="D196" i="63"/>
  <c r="F196" i="63" s="1"/>
  <c r="C197" i="63"/>
  <c r="D197" i="63" s="1"/>
  <c r="F197" i="63" s="1"/>
  <c r="D198" i="63"/>
  <c r="F198" i="63" s="1"/>
  <c r="C199" i="63"/>
  <c r="D199" i="63" s="1"/>
  <c r="F199" i="63" s="1"/>
  <c r="D209" i="63"/>
  <c r="F209" i="63" s="1"/>
  <c r="D210" i="63"/>
  <c r="F210" i="63" s="1"/>
  <c r="D219" i="63"/>
  <c r="D220" i="63"/>
  <c r="F220" i="63" s="1"/>
  <c r="D221" i="63"/>
  <c r="F221" i="63" s="1"/>
  <c r="E221" i="63"/>
  <c r="D222" i="63"/>
  <c r="F222" i="63" s="1"/>
  <c r="D223" i="63"/>
  <c r="F223" i="63" s="1"/>
  <c r="D227" i="63"/>
  <c r="F227" i="63" s="1"/>
  <c r="C228" i="63"/>
  <c r="D228" i="63" s="1"/>
  <c r="F228" i="63" s="1"/>
  <c r="C229" i="63"/>
  <c r="D229" i="63" s="1"/>
  <c r="F229" i="63" s="1"/>
  <c r="C230" i="63"/>
  <c r="D230" i="63" s="1"/>
  <c r="F230" i="63" s="1"/>
  <c r="D231" i="63"/>
  <c r="F231" i="63" s="1"/>
  <c r="D232" i="63"/>
  <c r="F232" i="63" s="1"/>
  <c r="C233" i="63"/>
  <c r="D233" i="63" s="1"/>
  <c r="F233" i="63" s="1"/>
  <c r="C234" i="63"/>
  <c r="D234" i="63" s="1"/>
  <c r="F234" i="63" s="1"/>
  <c r="D235" i="63"/>
  <c r="F235" i="63" s="1"/>
  <c r="C236" i="63"/>
  <c r="D236" i="63" s="1"/>
  <c r="F236" i="63" s="1"/>
  <c r="D246" i="63"/>
  <c r="F246" i="63" s="1"/>
  <c r="D247" i="63"/>
  <c r="F247" i="63" s="1"/>
  <c r="D256" i="63"/>
  <c r="F256" i="63"/>
  <c r="D257" i="63"/>
  <c r="F257" i="63" s="1"/>
  <c r="D258" i="63"/>
  <c r="E258" i="63"/>
  <c r="F258" i="63"/>
  <c r="D259" i="63"/>
  <c r="F259" i="63" s="1"/>
  <c r="D260" i="63"/>
  <c r="F260" i="63" s="1"/>
  <c r="D264" i="63"/>
  <c r="F264" i="63" s="1"/>
  <c r="C265" i="63"/>
  <c r="D265" i="63" s="1"/>
  <c r="F265" i="63" s="1"/>
  <c r="C266" i="63"/>
  <c r="D266" i="63" s="1"/>
  <c r="F266" i="63" s="1"/>
  <c r="C267" i="63"/>
  <c r="D267" i="63" s="1"/>
  <c r="F267" i="63" s="1"/>
  <c r="D268" i="63"/>
  <c r="F268" i="63" s="1"/>
  <c r="D269" i="63"/>
  <c r="F269" i="63" s="1"/>
  <c r="C270" i="63"/>
  <c r="D270" i="63" s="1"/>
  <c r="F270" i="63" s="1"/>
  <c r="C271" i="63"/>
  <c r="D271" i="63" s="1"/>
  <c r="F271" i="63" s="1"/>
  <c r="D272" i="63"/>
  <c r="F272" i="63" s="1"/>
  <c r="C273" i="63"/>
  <c r="D273" i="63" s="1"/>
  <c r="F273" i="63" s="1"/>
  <c r="A4" i="62"/>
  <c r="D27" i="62"/>
  <c r="E25" i="62"/>
  <c r="E26" i="62"/>
  <c r="E27" i="62"/>
  <c r="B28" i="62"/>
  <c r="E28" i="62" s="1"/>
  <c r="C19" i="61"/>
  <c r="F20" i="61"/>
  <c r="F21" i="61" s="1"/>
  <c r="D21" i="61"/>
  <c r="D16" i="61" s="1"/>
  <c r="D25" i="61" s="1"/>
  <c r="D22" i="61" s="1"/>
  <c r="C34" i="61"/>
  <c r="D34" i="61"/>
  <c r="D8" i="60"/>
  <c r="F8" i="60" s="1"/>
  <c r="D9" i="60"/>
  <c r="F9" i="60" s="1"/>
  <c r="D18" i="60"/>
  <c r="D19" i="60"/>
  <c r="F19" i="60" s="1"/>
  <c r="D20" i="60"/>
  <c r="E20" i="60"/>
  <c r="D21" i="60"/>
  <c r="F21" i="60" s="1"/>
  <c r="D22" i="60"/>
  <c r="F22" i="60" s="1"/>
  <c r="C26" i="60"/>
  <c r="D26" i="60" s="1"/>
  <c r="F26" i="60" s="1"/>
  <c r="C27" i="60"/>
  <c r="D27" i="60" s="1"/>
  <c r="F27" i="60" s="1"/>
  <c r="D28" i="60"/>
  <c r="F28" i="60" s="1"/>
  <c r="C29" i="60"/>
  <c r="D29" i="60" s="1"/>
  <c r="F29" i="60" s="1"/>
  <c r="D30" i="60"/>
  <c r="F30" i="60" s="1"/>
  <c r="C31" i="60"/>
  <c r="D31" i="60" s="1"/>
  <c r="F31" i="60" s="1"/>
  <c r="D32" i="60"/>
  <c r="F32" i="60" s="1"/>
  <c r="C33" i="60"/>
  <c r="D33" i="60" s="1"/>
  <c r="F33" i="60" s="1"/>
  <c r="D43" i="60"/>
  <c r="D44" i="60"/>
  <c r="F44" i="60" s="1"/>
  <c r="D53" i="60"/>
  <c r="D54" i="60"/>
  <c r="F54" i="60" s="1"/>
  <c r="D55" i="60"/>
  <c r="E55" i="60"/>
  <c r="D56" i="60"/>
  <c r="F56" i="60" s="1"/>
  <c r="D57" i="60"/>
  <c r="F57" i="60" s="1"/>
  <c r="D61" i="60"/>
  <c r="F61" i="60" s="1"/>
  <c r="C62" i="60"/>
  <c r="D62" i="60" s="1"/>
  <c r="F62" i="60" s="1"/>
  <c r="C63" i="60"/>
  <c r="D63" i="60" s="1"/>
  <c r="F63" i="60" s="1"/>
  <c r="C64" i="60"/>
  <c r="D64" i="60" s="1"/>
  <c r="F64" i="60" s="1"/>
  <c r="D65" i="60"/>
  <c r="F65" i="60" s="1"/>
  <c r="D66" i="60"/>
  <c r="F66" i="60" s="1"/>
  <c r="C67" i="60"/>
  <c r="D67" i="60" s="1"/>
  <c r="F67" i="60" s="1"/>
  <c r="C68" i="60"/>
  <c r="D68" i="60" s="1"/>
  <c r="F68" i="60" s="1"/>
  <c r="D69" i="60"/>
  <c r="F69" i="60" s="1"/>
  <c r="C70" i="60"/>
  <c r="D70" i="60" s="1"/>
  <c r="F70" i="60" s="1"/>
  <c r="D16" i="59"/>
  <c r="E16" i="59"/>
  <c r="D17" i="59"/>
  <c r="E17" i="59"/>
  <c r="D18" i="59"/>
  <c r="E18" i="59"/>
  <c r="F18" i="59" s="1"/>
  <c r="D9" i="58"/>
  <c r="E9" i="58"/>
  <c r="F9" i="58"/>
  <c r="F15" i="58" s="1"/>
  <c r="G9" i="58"/>
  <c r="G11" i="58" s="1"/>
  <c r="G17" i="58" s="1"/>
  <c r="G13" i="58" s="1"/>
  <c r="C23" i="58"/>
  <c r="C25" i="58" s="1"/>
  <c r="D23" i="58"/>
  <c r="D25" i="58" s="1"/>
  <c r="E23" i="58"/>
  <c r="E25" i="58" s="1"/>
  <c r="F23" i="58"/>
  <c r="F25" i="58" s="1"/>
  <c r="G23" i="58"/>
  <c r="C38" i="58"/>
  <c r="D38" i="58"/>
  <c r="E38" i="58"/>
  <c r="F38" i="58"/>
  <c r="G38" i="58"/>
  <c r="D9" i="57"/>
  <c r="F9" i="57"/>
  <c r="F10" i="57"/>
  <c r="D19" i="57"/>
  <c r="D20" i="57"/>
  <c r="F20" i="57" s="1"/>
  <c r="D21" i="57"/>
  <c r="E21" i="57"/>
  <c r="D22" i="57"/>
  <c r="F22" i="57" s="1"/>
  <c r="D23" i="57"/>
  <c r="F23" i="57" s="1"/>
  <c r="D27" i="57"/>
  <c r="F27" i="57" s="1"/>
  <c r="D28" i="57"/>
  <c r="F28" i="57" s="1"/>
  <c r="D29" i="57"/>
  <c r="F29" i="57" s="1"/>
  <c r="D30" i="57"/>
  <c r="F30" i="57" s="1"/>
  <c r="D31" i="57"/>
  <c r="F31" i="57" s="1"/>
  <c r="D32" i="57"/>
  <c r="F32" i="57" s="1"/>
  <c r="D33" i="57"/>
  <c r="F33" i="57" s="1"/>
  <c r="D34" i="57"/>
  <c r="F34" i="57" s="1"/>
  <c r="D44" i="57"/>
  <c r="F44" i="57" s="1"/>
  <c r="D45" i="57"/>
  <c r="F45" i="57" s="1"/>
  <c r="D54" i="57"/>
  <c r="D55" i="57"/>
  <c r="F55" i="57" s="1"/>
  <c r="D56" i="57"/>
  <c r="E56" i="57"/>
  <c r="D57" i="57"/>
  <c r="F57" i="57" s="1"/>
  <c r="D58" i="57"/>
  <c r="F58" i="57" s="1"/>
  <c r="D62" i="57"/>
  <c r="F62" i="57" s="1"/>
  <c r="D63" i="57"/>
  <c r="F63" i="57" s="1"/>
  <c r="D64" i="57"/>
  <c r="F64" i="57" s="1"/>
  <c r="D65" i="57"/>
  <c r="F65" i="57" s="1"/>
  <c r="D66" i="57"/>
  <c r="F66" i="57" s="1"/>
  <c r="D67" i="57"/>
  <c r="F67" i="57" s="1"/>
  <c r="D68" i="57"/>
  <c r="F68" i="57" s="1"/>
  <c r="D69" i="57"/>
  <c r="F69" i="57" s="1"/>
  <c r="D79" i="57"/>
  <c r="F79" i="57" s="1"/>
  <c r="D80" i="57"/>
  <c r="F80" i="57" s="1"/>
  <c r="D89" i="57"/>
  <c r="D90" i="57"/>
  <c r="F90" i="57" s="1"/>
  <c r="D91" i="57"/>
  <c r="E91" i="57"/>
  <c r="D92" i="57"/>
  <c r="F92" i="57" s="1"/>
  <c r="D93" i="57"/>
  <c r="F93" i="57" s="1"/>
  <c r="D97" i="57"/>
  <c r="F97" i="57" s="1"/>
  <c r="D98" i="57"/>
  <c r="F98" i="57" s="1"/>
  <c r="D99" i="57"/>
  <c r="F99" i="57" s="1"/>
  <c r="D100" i="57"/>
  <c r="F100" i="57" s="1"/>
  <c r="D101" i="57"/>
  <c r="F101" i="57" s="1"/>
  <c r="D102" i="57"/>
  <c r="F102" i="57" s="1"/>
  <c r="D103" i="57"/>
  <c r="F103" i="57" s="1"/>
  <c r="D104" i="57"/>
  <c r="F104" i="57" s="1"/>
  <c r="D105" i="57"/>
  <c r="F105" i="57" s="1"/>
  <c r="D106" i="57"/>
  <c r="F106" i="57" s="1"/>
  <c r="D116" i="57"/>
  <c r="F116" i="57" s="1"/>
  <c r="D117" i="57"/>
  <c r="F117" i="57" s="1"/>
  <c r="D126" i="57"/>
  <c r="D127" i="57"/>
  <c r="F127" i="57" s="1"/>
  <c r="D128" i="57"/>
  <c r="E128" i="57"/>
  <c r="D129" i="57"/>
  <c r="F129" i="57" s="1"/>
  <c r="D130" i="57"/>
  <c r="F130" i="57" s="1"/>
  <c r="D134" i="57"/>
  <c r="F134" i="57" s="1"/>
  <c r="D135" i="57"/>
  <c r="F135" i="57" s="1"/>
  <c r="D136" i="57"/>
  <c r="F136" i="57" s="1"/>
  <c r="D137" i="57"/>
  <c r="F137" i="57" s="1"/>
  <c r="D138" i="57"/>
  <c r="F138" i="57" s="1"/>
  <c r="D139" i="57"/>
  <c r="F139" i="57" s="1"/>
  <c r="D140" i="57"/>
  <c r="F140" i="57" s="1"/>
  <c r="D149" i="57"/>
  <c r="F149" i="57" s="1"/>
  <c r="D150" i="57"/>
  <c r="F150" i="57" s="1"/>
  <c r="D159" i="57"/>
  <c r="D160" i="57"/>
  <c r="F160" i="57" s="1"/>
  <c r="D161" i="57"/>
  <c r="E161" i="57"/>
  <c r="F161" i="57" s="1"/>
  <c r="D162" i="57"/>
  <c r="F162" i="57" s="1"/>
  <c r="D163" i="57"/>
  <c r="F163" i="57" s="1"/>
  <c r="D167" i="57"/>
  <c r="F167" i="57" s="1"/>
  <c r="D168" i="57"/>
  <c r="F168" i="57" s="1"/>
  <c r="D169" i="57"/>
  <c r="F169" i="57" s="1"/>
  <c r="D170" i="57"/>
  <c r="F170" i="57" s="1"/>
  <c r="D171" i="57"/>
  <c r="F171" i="57" s="1"/>
  <c r="D172" i="57"/>
  <c r="F172" i="57" s="1"/>
  <c r="D173" i="57"/>
  <c r="F173" i="57" s="1"/>
  <c r="D182" i="57"/>
  <c r="F182" i="57" s="1"/>
  <c r="D183" i="57"/>
  <c r="F183" i="57" s="1"/>
  <c r="D192" i="57"/>
  <c r="D193" i="57"/>
  <c r="F193" i="57" s="1"/>
  <c r="D194" i="57"/>
  <c r="E194" i="57"/>
  <c r="D195" i="57"/>
  <c r="F195" i="57" s="1"/>
  <c r="D196" i="57"/>
  <c r="F196" i="57" s="1"/>
  <c r="D200" i="57"/>
  <c r="F200" i="57" s="1"/>
  <c r="D201" i="57"/>
  <c r="F201" i="57" s="1"/>
  <c r="D202" i="57"/>
  <c r="F202" i="57" s="1"/>
  <c r="D203" i="57"/>
  <c r="F203" i="57" s="1"/>
  <c r="D204" i="57"/>
  <c r="F204" i="57" s="1"/>
  <c r="D205" i="57"/>
  <c r="F205" i="57" s="1"/>
  <c r="E24" i="56"/>
  <c r="F24" i="56" s="1"/>
  <c r="E25" i="56"/>
  <c r="F25" i="56" s="1"/>
  <c r="E26" i="56"/>
  <c r="F26" i="56" s="1"/>
  <c r="E27" i="56"/>
  <c r="F27" i="56" s="1"/>
  <c r="F42" i="56" s="1"/>
  <c r="F6" i="55"/>
  <c r="A7" i="55"/>
  <c r="C9" i="55"/>
  <c r="C9" i="54"/>
  <c r="C15" i="54" s="1"/>
  <c r="D9" i="54"/>
  <c r="D11" i="54" s="1"/>
  <c r="D8" i="54" s="1"/>
  <c r="D32" i="54" s="1"/>
  <c r="D37" i="54" s="1"/>
  <c r="D31" i="54" s="1"/>
  <c r="C23" i="54"/>
  <c r="C38" i="54"/>
  <c r="D9" i="53"/>
  <c r="F9" i="53" s="1"/>
  <c r="G9" i="53"/>
  <c r="I9" i="53" s="1"/>
  <c r="D10" i="53"/>
  <c r="F10" i="53" s="1"/>
  <c r="G10" i="53"/>
  <c r="I10" i="53" s="1"/>
  <c r="D19" i="53"/>
  <c r="F19" i="53" s="1"/>
  <c r="G19" i="53"/>
  <c r="D20" i="53"/>
  <c r="F20" i="53" s="1"/>
  <c r="G20" i="53"/>
  <c r="I20" i="53" s="1"/>
  <c r="D21" i="53"/>
  <c r="E21" i="53"/>
  <c r="G21" i="53"/>
  <c r="H21" i="53"/>
  <c r="D22" i="53"/>
  <c r="F22" i="53" s="1"/>
  <c r="G22" i="53"/>
  <c r="I22" i="53" s="1"/>
  <c r="D23" i="53"/>
  <c r="F23" i="53" s="1"/>
  <c r="G23" i="53"/>
  <c r="I23" i="53" s="1"/>
  <c r="D27" i="53"/>
  <c r="F27" i="53" s="1"/>
  <c r="G27" i="53"/>
  <c r="I27" i="53" s="1"/>
  <c r="D28" i="53"/>
  <c r="F28" i="53" s="1"/>
  <c r="G28" i="53"/>
  <c r="I28" i="53" s="1"/>
  <c r="D29" i="53"/>
  <c r="F29" i="53" s="1"/>
  <c r="G29" i="53"/>
  <c r="I29" i="53" s="1"/>
  <c r="D30" i="53"/>
  <c r="F30" i="53" s="1"/>
  <c r="G30" i="53"/>
  <c r="I30" i="53" s="1"/>
  <c r="D31" i="53"/>
  <c r="F31" i="53" s="1"/>
  <c r="G31" i="53"/>
  <c r="I31" i="53" s="1"/>
  <c r="D32" i="53"/>
  <c r="F32" i="53" s="1"/>
  <c r="G32" i="53"/>
  <c r="I32" i="53" s="1"/>
  <c r="D33" i="53"/>
  <c r="F33" i="53" s="1"/>
  <c r="G33" i="53"/>
  <c r="I33" i="53" s="1"/>
  <c r="D34" i="53"/>
  <c r="F34" i="53" s="1"/>
  <c r="G34" i="53"/>
  <c r="I34" i="53" s="1"/>
  <c r="D44" i="53"/>
  <c r="F44" i="53" s="1"/>
  <c r="G44" i="53"/>
  <c r="I44" i="53" s="1"/>
  <c r="D45" i="53"/>
  <c r="F45" i="53" s="1"/>
  <c r="G45" i="53"/>
  <c r="I45" i="53" s="1"/>
  <c r="D54" i="53"/>
  <c r="G54" i="53"/>
  <c r="D55" i="53"/>
  <c r="F55" i="53" s="1"/>
  <c r="G55" i="53"/>
  <c r="I55" i="53" s="1"/>
  <c r="D56" i="53"/>
  <c r="E56" i="53"/>
  <c r="G56" i="53"/>
  <c r="I56" i="53" s="1"/>
  <c r="H56" i="53"/>
  <c r="D57" i="53"/>
  <c r="F57" i="53" s="1"/>
  <c r="G57" i="53"/>
  <c r="I57" i="53" s="1"/>
  <c r="D58" i="53"/>
  <c r="F58" i="53" s="1"/>
  <c r="G58" i="53"/>
  <c r="I58" i="53" s="1"/>
  <c r="G62" i="53"/>
  <c r="I62" i="53" s="1"/>
  <c r="D62" i="53"/>
  <c r="F62" i="53" s="1"/>
  <c r="D63" i="53"/>
  <c r="F63" i="53" s="1"/>
  <c r="G63" i="53"/>
  <c r="I63" i="53" s="1"/>
  <c r="D64" i="53"/>
  <c r="F64" i="53" s="1"/>
  <c r="G64" i="53"/>
  <c r="I64" i="53" s="1"/>
  <c r="D65" i="53"/>
  <c r="F65" i="53" s="1"/>
  <c r="G65" i="53"/>
  <c r="I65" i="53" s="1"/>
  <c r="D66" i="53"/>
  <c r="F66" i="53" s="1"/>
  <c r="G66" i="53"/>
  <c r="I66" i="53" s="1"/>
  <c r="D67" i="53"/>
  <c r="F67" i="53" s="1"/>
  <c r="G67" i="53"/>
  <c r="I67" i="53" s="1"/>
  <c r="D68" i="53"/>
  <c r="F68" i="53" s="1"/>
  <c r="G68" i="53"/>
  <c r="I68" i="53" s="1"/>
  <c r="G69" i="53"/>
  <c r="I69" i="53" s="1"/>
  <c r="D69" i="53"/>
  <c r="F69" i="53" s="1"/>
  <c r="D79" i="53"/>
  <c r="F79" i="53" s="1"/>
  <c r="G79" i="53"/>
  <c r="I79" i="53" s="1"/>
  <c r="D80" i="53"/>
  <c r="F80" i="53" s="1"/>
  <c r="G80" i="53"/>
  <c r="I80" i="53" s="1"/>
  <c r="D89" i="53"/>
  <c r="G89" i="53"/>
  <c r="I89" i="53" s="1"/>
  <c r="D90" i="53"/>
  <c r="F90" i="53" s="1"/>
  <c r="G90" i="53"/>
  <c r="I90" i="53" s="1"/>
  <c r="D91" i="53"/>
  <c r="E91" i="53"/>
  <c r="G91" i="53"/>
  <c r="H91" i="53"/>
  <c r="I91" i="53"/>
  <c r="D92" i="53"/>
  <c r="F92" i="53" s="1"/>
  <c r="G92" i="53"/>
  <c r="I92" i="53" s="1"/>
  <c r="D93" i="53"/>
  <c r="F93" i="53" s="1"/>
  <c r="G93" i="53"/>
  <c r="I93" i="53" s="1"/>
  <c r="D97" i="53"/>
  <c r="F97" i="53" s="1"/>
  <c r="G97" i="53"/>
  <c r="I97" i="53" s="1"/>
  <c r="D98" i="53"/>
  <c r="F98" i="53" s="1"/>
  <c r="G99" i="53"/>
  <c r="I99" i="53" s="1"/>
  <c r="D100" i="53"/>
  <c r="F100" i="53" s="1"/>
  <c r="G100" i="53"/>
  <c r="I100" i="53" s="1"/>
  <c r="D101" i="53"/>
  <c r="F101" i="53" s="1"/>
  <c r="G101" i="53"/>
  <c r="I101" i="53" s="1"/>
  <c r="D102" i="53"/>
  <c r="F102" i="53" s="1"/>
  <c r="G102" i="53"/>
  <c r="I102" i="53" s="1"/>
  <c r="G103" i="53"/>
  <c r="I103" i="53" s="1"/>
  <c r="D103" i="53"/>
  <c r="F103" i="53" s="1"/>
  <c r="G104" i="53"/>
  <c r="I104" i="53" s="1"/>
  <c r="D104" i="53"/>
  <c r="F104" i="53" s="1"/>
  <c r="G105" i="53"/>
  <c r="I105" i="53" s="1"/>
  <c r="D106" i="53"/>
  <c r="F106" i="53" s="1"/>
  <c r="D107" i="53"/>
  <c r="F107" i="53" s="1"/>
  <c r="G107" i="53"/>
  <c r="I107" i="53" s="1"/>
  <c r="D10" i="52"/>
  <c r="G23" i="69" s="1"/>
  <c r="E14" i="52"/>
  <c r="E16" i="52"/>
  <c r="C39" i="50"/>
  <c r="F7" i="51"/>
  <c r="F9" i="51" s="1"/>
  <c r="C9" i="51"/>
  <c r="C15" i="50"/>
  <c r="C24" i="50"/>
  <c r="D7" i="49"/>
  <c r="F7" i="49" s="1"/>
  <c r="D8" i="49"/>
  <c r="F8" i="49" s="1"/>
  <c r="D17" i="49"/>
  <c r="D18" i="49"/>
  <c r="F18" i="49" s="1"/>
  <c r="D19" i="49"/>
  <c r="E19" i="49"/>
  <c r="D20" i="49"/>
  <c r="F20" i="49" s="1"/>
  <c r="D21" i="49"/>
  <c r="F21" i="49" s="1"/>
  <c r="C25" i="49"/>
  <c r="D25" i="49" s="1"/>
  <c r="F25" i="49" s="1"/>
  <c r="C26" i="49"/>
  <c r="D26" i="49" s="1"/>
  <c r="F26" i="49" s="1"/>
  <c r="D27" i="49"/>
  <c r="F27" i="49" s="1"/>
  <c r="C28" i="49"/>
  <c r="D28" i="49" s="1"/>
  <c r="F28" i="49" s="1"/>
  <c r="D29" i="49"/>
  <c r="F29" i="49" s="1"/>
  <c r="C30" i="49"/>
  <c r="D30" i="49" s="1"/>
  <c r="F30" i="49" s="1"/>
  <c r="D31" i="49"/>
  <c r="F31" i="49" s="1"/>
  <c r="C32" i="49"/>
  <c r="D32" i="49" s="1"/>
  <c r="F32" i="49" s="1"/>
  <c r="D41" i="49"/>
  <c r="F41" i="49" s="1"/>
  <c r="D42" i="49"/>
  <c r="F42" i="49" s="1"/>
  <c r="D51" i="49"/>
  <c r="F51" i="49" s="1"/>
  <c r="D52" i="49"/>
  <c r="F52" i="49" s="1"/>
  <c r="D53" i="49"/>
  <c r="E53" i="49"/>
  <c r="D54" i="49"/>
  <c r="F54" i="49" s="1"/>
  <c r="D55" i="49"/>
  <c r="F55" i="49" s="1"/>
  <c r="D59" i="49"/>
  <c r="F59" i="49" s="1"/>
  <c r="C60" i="49"/>
  <c r="D60" i="49" s="1"/>
  <c r="F60" i="49" s="1"/>
  <c r="C61" i="49"/>
  <c r="D61" i="49" s="1"/>
  <c r="F61" i="49" s="1"/>
  <c r="C62" i="49"/>
  <c r="D62" i="49" s="1"/>
  <c r="F62" i="49" s="1"/>
  <c r="D63" i="49"/>
  <c r="F63" i="49" s="1"/>
  <c r="D64" i="49"/>
  <c r="F64" i="49" s="1"/>
  <c r="C65" i="49"/>
  <c r="D65" i="49" s="1"/>
  <c r="F65" i="49" s="1"/>
  <c r="C66" i="49"/>
  <c r="D66" i="49" s="1"/>
  <c r="F66" i="49" s="1"/>
  <c r="D67" i="49"/>
  <c r="F67" i="49" s="1"/>
  <c r="C68" i="49"/>
  <c r="D68" i="49" s="1"/>
  <c r="F68" i="49" s="1"/>
  <c r="E14" i="48"/>
  <c r="E15" i="48"/>
  <c r="E16" i="48"/>
  <c r="E17" i="48"/>
  <c r="D25" i="45"/>
  <c r="D20" i="45" s="1"/>
  <c r="D29" i="45" s="1"/>
  <c r="D26" i="45" s="1"/>
  <c r="C25" i="45"/>
  <c r="C20" i="45" s="1"/>
  <c r="C29" i="45" s="1"/>
  <c r="C26" i="45" s="1"/>
  <c r="D8" i="47"/>
  <c r="F8" i="47" s="1"/>
  <c r="F9" i="47"/>
  <c r="F10" i="47"/>
  <c r="D18" i="47"/>
  <c r="D19" i="47"/>
  <c r="F19" i="47" s="1"/>
  <c r="D20" i="47"/>
  <c r="E20" i="47"/>
  <c r="D21" i="47"/>
  <c r="F21" i="47" s="1"/>
  <c r="D22" i="47"/>
  <c r="F22" i="47" s="1"/>
  <c r="D26" i="47"/>
  <c r="F26" i="47" s="1"/>
  <c r="D27" i="47"/>
  <c r="F27" i="47" s="1"/>
  <c r="D37" i="47"/>
  <c r="F37" i="47" s="1"/>
  <c r="F38" i="47"/>
  <c r="F39" i="47"/>
  <c r="F40" i="47"/>
  <c r="F41" i="47"/>
  <c r="F42" i="47"/>
  <c r="D47" i="47"/>
  <c r="D48" i="47"/>
  <c r="F48" i="47"/>
  <c r="D49" i="47"/>
  <c r="E49" i="47"/>
  <c r="D50" i="47"/>
  <c r="F50" i="47" s="1"/>
  <c r="D51" i="47"/>
  <c r="F51" i="47" s="1"/>
  <c r="D55" i="47"/>
  <c r="F55" i="47" s="1"/>
  <c r="D56" i="47"/>
  <c r="F56" i="47" s="1"/>
  <c r="D57" i="47"/>
  <c r="F57" i="47" s="1"/>
  <c r="D58" i="47"/>
  <c r="F58" i="47" s="1"/>
  <c r="D59" i="47"/>
  <c r="F59" i="47" s="1"/>
  <c r="D70" i="47"/>
  <c r="F70" i="47" s="1"/>
  <c r="F71" i="47"/>
  <c r="F72" i="47"/>
  <c r="F73" i="47"/>
  <c r="F74" i="47"/>
  <c r="F75" i="47"/>
  <c r="D80" i="47"/>
  <c r="D81" i="47"/>
  <c r="F81" i="47" s="1"/>
  <c r="D82" i="47"/>
  <c r="F82" i="47" s="1"/>
  <c r="E82" i="47"/>
  <c r="D83" i="47"/>
  <c r="F83" i="47" s="1"/>
  <c r="D84" i="47"/>
  <c r="F84" i="47" s="1"/>
  <c r="D88" i="47"/>
  <c r="F88" i="47" s="1"/>
  <c r="D89" i="47"/>
  <c r="F89" i="47" s="1"/>
  <c r="D90" i="47"/>
  <c r="F90" i="47" s="1"/>
  <c r="D91" i="47"/>
  <c r="F91" i="47" s="1"/>
  <c r="D92" i="47"/>
  <c r="F92" i="47" s="1"/>
  <c r="D102" i="47"/>
  <c r="D112" i="47"/>
  <c r="D113" i="47"/>
  <c r="F113" i="47" s="1"/>
  <c r="D114" i="47"/>
  <c r="E114" i="47"/>
  <c r="D115" i="47"/>
  <c r="F115" i="47" s="1"/>
  <c r="D116" i="47"/>
  <c r="F116" i="47" s="1"/>
  <c r="D120" i="47"/>
  <c r="F120" i="47" s="1"/>
  <c r="D121" i="47"/>
  <c r="F121" i="47" s="1"/>
  <c r="D122" i="47"/>
  <c r="F122" i="47" s="1"/>
  <c r="D123" i="47"/>
  <c r="F123" i="47" s="1"/>
  <c r="D124" i="47"/>
  <c r="F124" i="47" s="1"/>
  <c r="D125" i="47"/>
  <c r="F125" i="47" s="1"/>
  <c r="D135" i="47"/>
  <c r="F135" i="47" s="1"/>
  <c r="D136" i="47"/>
  <c r="F136" i="47" s="1"/>
  <c r="D145" i="47"/>
  <c r="D146" i="47"/>
  <c r="F146" i="47" s="1"/>
  <c r="D147" i="47"/>
  <c r="E147" i="47"/>
  <c r="F147" i="47"/>
  <c r="D148" i="47"/>
  <c r="F148" i="47"/>
  <c r="D149" i="47"/>
  <c r="F149" i="47" s="1"/>
  <c r="D153" i="47"/>
  <c r="F153" i="47" s="1"/>
  <c r="D154" i="47"/>
  <c r="F154" i="47" s="1"/>
  <c r="D155" i="47"/>
  <c r="F155" i="47" s="1"/>
  <c r="D156" i="47"/>
  <c r="F156" i="47" s="1"/>
  <c r="D157" i="47"/>
  <c r="F157" i="47" s="1"/>
  <c r="D158" i="47"/>
  <c r="F158" i="47" s="1"/>
  <c r="D168" i="47"/>
  <c r="F168" i="47" s="1"/>
  <c r="D169" i="47"/>
  <c r="F169" i="47" s="1"/>
  <c r="D178" i="47"/>
  <c r="D179" i="47"/>
  <c r="F179" i="47" s="1"/>
  <c r="D180" i="47"/>
  <c r="E180" i="47"/>
  <c r="D181" i="47"/>
  <c r="F181" i="47"/>
  <c r="D182" i="47"/>
  <c r="F182" i="47" s="1"/>
  <c r="D186" i="47"/>
  <c r="F186" i="47" s="1"/>
  <c r="D187" i="47"/>
  <c r="F187" i="47" s="1"/>
  <c r="D188" i="47"/>
  <c r="F188" i="47" s="1"/>
  <c r="D189" i="47"/>
  <c r="F189" i="47" s="1"/>
  <c r="D190" i="47"/>
  <c r="F190" i="47" s="1"/>
  <c r="D191" i="47"/>
  <c r="F191" i="47" s="1"/>
  <c r="D24" i="46"/>
  <c r="E24" i="46"/>
  <c r="E25" i="46"/>
  <c r="F25" i="46" s="1"/>
  <c r="D26" i="46"/>
  <c r="E26" i="46"/>
  <c r="F26" i="46" s="1"/>
  <c r="C9" i="45"/>
  <c r="C11" i="45" s="1"/>
  <c r="D9" i="45"/>
  <c r="D15" i="45" s="1"/>
  <c r="F19" i="57" l="1"/>
  <c r="F56" i="57"/>
  <c r="F128" i="57"/>
  <c r="F194" i="57"/>
  <c r="F91" i="57"/>
  <c r="F55" i="60"/>
  <c r="F10" i="51"/>
  <c r="F21" i="48" s="1"/>
  <c r="D11" i="12" s="1"/>
  <c r="F14" i="47"/>
  <c r="F56" i="53"/>
  <c r="F21" i="53"/>
  <c r="F89" i="57"/>
  <c r="F118" i="63"/>
  <c r="F21" i="63"/>
  <c r="F122" i="71"/>
  <c r="D123" i="71" s="1"/>
  <c r="F89" i="53"/>
  <c r="F20" i="47"/>
  <c r="I56" i="66"/>
  <c r="F49" i="47"/>
  <c r="I19" i="53"/>
  <c r="F76" i="47"/>
  <c r="D77" i="47" s="1"/>
  <c r="F43" i="47"/>
  <c r="F53" i="49"/>
  <c r="F19" i="49"/>
  <c r="F15" i="57"/>
  <c r="D16" i="57" s="1"/>
  <c r="F89" i="66"/>
  <c r="F145" i="47"/>
  <c r="G81" i="53"/>
  <c r="I81" i="53" s="1"/>
  <c r="I85" i="53" s="1"/>
  <c r="G86" i="53" s="1"/>
  <c r="F24" i="46"/>
  <c r="F21" i="57"/>
  <c r="F186" i="63"/>
  <c r="F152" i="63"/>
  <c r="F91" i="53"/>
  <c r="F20" i="60"/>
  <c r="F21" i="66"/>
  <c r="F19" i="71"/>
  <c r="F85" i="53"/>
  <c r="F219" i="63"/>
  <c r="G11" i="66"/>
  <c r="I11" i="66" s="1"/>
  <c r="I15" i="66" s="1"/>
  <c r="F85" i="57"/>
  <c r="D86" i="57" s="1"/>
  <c r="F50" i="71"/>
  <c r="D51" i="71" s="1"/>
  <c r="C20" i="67"/>
  <c r="C29" i="67" s="1"/>
  <c r="C26" i="67" s="1"/>
  <c r="F53" i="60"/>
  <c r="F112" i="47"/>
  <c r="C53" i="64"/>
  <c r="C62" i="64" s="1"/>
  <c r="C59" i="64" s="1"/>
  <c r="F26" i="70"/>
  <c r="F116" i="63"/>
  <c r="D43" i="49"/>
  <c r="F43" i="49" s="1"/>
  <c r="F47" i="49" s="1"/>
  <c r="D48" i="49" s="1"/>
  <c r="F14" i="60"/>
  <c r="D15" i="60" s="1"/>
  <c r="F112" i="63"/>
  <c r="F15" i="63"/>
  <c r="D16" i="63" s="1"/>
  <c r="I89" i="66"/>
  <c r="I91" i="66"/>
  <c r="F141" i="47"/>
  <c r="F122" i="57"/>
  <c r="D123" i="57" s="1"/>
  <c r="F155" i="57"/>
  <c r="D156" i="57" s="1"/>
  <c r="F54" i="66"/>
  <c r="F85" i="66"/>
  <c r="F15" i="53"/>
  <c r="D16" i="53" s="1"/>
  <c r="F19" i="66"/>
  <c r="F114" i="47"/>
  <c r="I19" i="66"/>
  <c r="I21" i="66"/>
  <c r="F180" i="47"/>
  <c r="I21" i="53"/>
  <c r="F83" i="63"/>
  <c r="F52" i="63"/>
  <c r="D15" i="54"/>
  <c r="D11" i="67"/>
  <c r="D8" i="67" s="1"/>
  <c r="D32" i="67" s="1"/>
  <c r="D37" i="67" s="1"/>
  <c r="D31" i="67" s="1"/>
  <c r="F108" i="66"/>
  <c r="F35" i="53"/>
  <c r="F97" i="63"/>
  <c r="F70" i="53"/>
  <c r="F184" i="63"/>
  <c r="F54" i="57"/>
  <c r="F81" i="63"/>
  <c r="F192" i="57"/>
  <c r="I54" i="53"/>
  <c r="F159" i="57"/>
  <c r="F47" i="47"/>
  <c r="F54" i="53"/>
  <c r="F18" i="47"/>
  <c r="F17" i="49"/>
  <c r="F50" i="53"/>
  <c r="D51" i="53" s="1"/>
  <c r="F80" i="47"/>
  <c r="F18" i="60"/>
  <c r="F150" i="63"/>
  <c r="F11" i="58"/>
  <c r="F17" i="58" s="1"/>
  <c r="F13" i="58" s="1"/>
  <c r="C11" i="54"/>
  <c r="C8" i="54" s="1"/>
  <c r="C32" i="54" s="1"/>
  <c r="C37" i="54" s="1"/>
  <c r="C31" i="54" s="1"/>
  <c r="C25" i="72"/>
  <c r="F20" i="58"/>
  <c r="F29" i="58" s="1"/>
  <c r="F26" i="58" s="1"/>
  <c r="E20" i="58"/>
  <c r="E29" i="58" s="1"/>
  <c r="E26" i="58" s="1"/>
  <c r="D20" i="58"/>
  <c r="D29" i="58" s="1"/>
  <c r="D26" i="58" s="1"/>
  <c r="C20" i="58"/>
  <c r="C29" i="58" s="1"/>
  <c r="C26" i="58" s="1"/>
  <c r="F17" i="59"/>
  <c r="F16" i="59"/>
  <c r="G25" i="58"/>
  <c r="E50" i="64"/>
  <c r="D47" i="64"/>
  <c r="D45" i="64" s="1"/>
  <c r="D65" i="64" s="1"/>
  <c r="D70" i="64" s="1"/>
  <c r="D64" i="64" s="1"/>
  <c r="C25" i="54"/>
  <c r="D11" i="45"/>
  <c r="D17" i="45" s="1"/>
  <c r="D13" i="45" s="1"/>
  <c r="C15" i="45"/>
  <c r="F21" i="71"/>
  <c r="F15" i="71"/>
  <c r="D16" i="71" s="1"/>
  <c r="F126" i="71"/>
  <c r="F85" i="71"/>
  <c r="D86" i="71" s="1"/>
  <c r="F56" i="71"/>
  <c r="F54" i="71"/>
  <c r="F89" i="71"/>
  <c r="C26" i="50"/>
  <c r="C20" i="50" s="1"/>
  <c r="C30" i="50" s="1"/>
  <c r="C27" i="50" s="1"/>
  <c r="G8" i="58"/>
  <c r="G32" i="58" s="1"/>
  <c r="G37" i="58" s="1"/>
  <c r="G31" i="58" s="1"/>
  <c r="E51" i="64"/>
  <c r="E49" i="64" s="1"/>
  <c r="E72" i="64" s="1"/>
  <c r="E12" i="62" s="1"/>
  <c r="F12" i="62" s="1"/>
  <c r="C82" i="64"/>
  <c r="C102" i="64" s="1"/>
  <c r="C107" i="64" s="1"/>
  <c r="C21" i="61"/>
  <c r="C87" i="64"/>
  <c r="G15" i="58"/>
  <c r="C11" i="72"/>
  <c r="C8" i="72" s="1"/>
  <c r="C32" i="72" s="1"/>
  <c r="C37" i="72" s="1"/>
  <c r="C31" i="72" s="1"/>
  <c r="C15" i="72"/>
  <c r="D25" i="72"/>
  <c r="D11" i="72"/>
  <c r="D17" i="72" s="1"/>
  <c r="D13" i="72" s="1"/>
  <c r="F70" i="71"/>
  <c r="F35" i="71"/>
  <c r="F107" i="71"/>
  <c r="F142" i="71"/>
  <c r="F9" i="55"/>
  <c r="F10" i="55" s="1"/>
  <c r="F12" i="55" s="1"/>
  <c r="F15" i="55" s="1"/>
  <c r="F16" i="55" s="1"/>
  <c r="F18" i="55" s="1"/>
  <c r="G81" i="66"/>
  <c r="I81" i="66" s="1"/>
  <c r="I85" i="66" s="1"/>
  <c r="D16" i="66"/>
  <c r="I35" i="66"/>
  <c r="D86" i="66"/>
  <c r="F35" i="66"/>
  <c r="F70" i="66"/>
  <c r="I108" i="66"/>
  <c r="F50" i="66"/>
  <c r="I70" i="66"/>
  <c r="G46" i="66"/>
  <c r="I46" i="66" s="1"/>
  <c r="I50" i="66" s="1"/>
  <c r="C8" i="67"/>
  <c r="C32" i="67" s="1"/>
  <c r="C37" i="67" s="1"/>
  <c r="C31" i="67" s="1"/>
  <c r="C15" i="67"/>
  <c r="C17" i="67"/>
  <c r="C13" i="67" s="1"/>
  <c r="C47" i="64"/>
  <c r="C45" i="64" s="1"/>
  <c r="C65" i="64" s="1"/>
  <c r="C70" i="64" s="1"/>
  <c r="C64" i="64" s="1"/>
  <c r="D176" i="63"/>
  <c r="F176" i="63" s="1"/>
  <c r="F180" i="63" s="1"/>
  <c r="D142" i="63"/>
  <c r="F142" i="63" s="1"/>
  <c r="F146" i="63" s="1"/>
  <c r="F131" i="63"/>
  <c r="F62" i="63"/>
  <c r="F31" i="63"/>
  <c r="F200" i="63"/>
  <c r="F215" i="63"/>
  <c r="F165" i="63"/>
  <c r="D248" i="63"/>
  <c r="F248" i="63" s="1"/>
  <c r="F252" i="63" s="1"/>
  <c r="F77" i="63"/>
  <c r="F274" i="63"/>
  <c r="D113" i="63"/>
  <c r="D42" i="63"/>
  <c r="F42" i="63" s="1"/>
  <c r="F46" i="63" s="1"/>
  <c r="F237" i="63"/>
  <c r="F27" i="62"/>
  <c r="D26" i="62"/>
  <c r="F26" i="62" s="1"/>
  <c r="D28" i="62"/>
  <c r="F28" i="62" s="1"/>
  <c r="F43" i="62" s="1"/>
  <c r="D25" i="62"/>
  <c r="F25" i="62" s="1"/>
  <c r="F34" i="60"/>
  <c r="F71" i="60"/>
  <c r="F43" i="60"/>
  <c r="F49" i="60" s="1"/>
  <c r="E15" i="58"/>
  <c r="D15" i="58"/>
  <c r="C15" i="58"/>
  <c r="E11" i="58"/>
  <c r="E17" i="58" s="1"/>
  <c r="E13" i="58" s="1"/>
  <c r="D11" i="58"/>
  <c r="D17" i="58" s="1"/>
  <c r="D13" i="58" s="1"/>
  <c r="C11" i="58"/>
  <c r="C17" i="58" s="1"/>
  <c r="C13" i="58" s="1"/>
  <c r="F188" i="57"/>
  <c r="F35" i="57"/>
  <c r="F206" i="57"/>
  <c r="F50" i="57"/>
  <c r="F141" i="57"/>
  <c r="F174" i="57"/>
  <c r="F107" i="57"/>
  <c r="F70" i="57"/>
  <c r="F126" i="57"/>
  <c r="F28" i="56"/>
  <c r="D17" i="54"/>
  <c r="D13" i="54" s="1"/>
  <c r="D39" i="54" s="1"/>
  <c r="E15" i="52" s="1"/>
  <c r="D86" i="53"/>
  <c r="G46" i="53"/>
  <c r="I46" i="53" s="1"/>
  <c r="I50" i="53" s="1"/>
  <c r="I70" i="53"/>
  <c r="I35" i="53"/>
  <c r="G11" i="53"/>
  <c r="I11" i="53" s="1"/>
  <c r="I15" i="53" s="1"/>
  <c r="D99" i="53"/>
  <c r="F99" i="53" s="1"/>
  <c r="F108" i="53" s="1"/>
  <c r="G98" i="53"/>
  <c r="I98" i="53" s="1"/>
  <c r="I108" i="53" s="1"/>
  <c r="E26" i="69"/>
  <c r="C11" i="50"/>
  <c r="C17" i="50" s="1"/>
  <c r="C13" i="50" s="1"/>
  <c r="F33" i="49"/>
  <c r="F69" i="49"/>
  <c r="D9" i="49"/>
  <c r="F9" i="49" s="1"/>
  <c r="F13" i="49" s="1"/>
  <c r="F126" i="47"/>
  <c r="F93" i="47"/>
  <c r="F60" i="47"/>
  <c r="D170" i="47"/>
  <c r="F170" i="47" s="1"/>
  <c r="F174" i="47" s="1"/>
  <c r="D44" i="47"/>
  <c r="F159" i="47"/>
  <c r="D142" i="47"/>
  <c r="D15" i="47"/>
  <c r="F192" i="47"/>
  <c r="F28" i="47"/>
  <c r="F178" i="47"/>
  <c r="F102" i="47"/>
  <c r="F108" i="47" s="1"/>
  <c r="F27" i="46"/>
  <c r="C8" i="45"/>
  <c r="C32" i="45" s="1"/>
  <c r="C37" i="45" s="1"/>
  <c r="C31" i="45" s="1"/>
  <c r="C17" i="45"/>
  <c r="C13" i="45" s="1"/>
  <c r="F12" i="51" l="1"/>
  <c r="C20" i="72"/>
  <c r="C29" i="72" s="1"/>
  <c r="C26" i="72" s="1"/>
  <c r="C16" i="61"/>
  <c r="C25" i="61" s="1"/>
  <c r="C22" i="61" s="1"/>
  <c r="F19" i="59"/>
  <c r="D17" i="67"/>
  <c r="D13" i="67" s="1"/>
  <c r="D39" i="67" s="1"/>
  <c r="E15" i="65" s="1"/>
  <c r="F8" i="58"/>
  <c r="F32" i="58" s="1"/>
  <c r="F37" i="58" s="1"/>
  <c r="F31" i="58" s="1"/>
  <c r="F39" i="58" s="1"/>
  <c r="E11" i="56" s="1"/>
  <c r="F11" i="56" s="1"/>
  <c r="D51" i="64"/>
  <c r="D49" i="64" s="1"/>
  <c r="D72" i="64" s="1"/>
  <c r="C17" i="54"/>
  <c r="C13" i="54" s="1"/>
  <c r="D8" i="58"/>
  <c r="D32" i="58" s="1"/>
  <c r="D37" i="58" s="1"/>
  <c r="D31" i="58" s="1"/>
  <c r="D39" i="58" s="1"/>
  <c r="E10" i="56" s="1"/>
  <c r="F10" i="56" s="1"/>
  <c r="D20" i="72"/>
  <c r="D29" i="72" s="1"/>
  <c r="D26" i="72" s="1"/>
  <c r="C20" i="54"/>
  <c r="C29" i="54" s="1"/>
  <c r="C26" i="54" s="1"/>
  <c r="G20" i="58"/>
  <c r="G29" i="58" s="1"/>
  <c r="G26" i="58" s="1"/>
  <c r="G39" i="58" s="1"/>
  <c r="E9" i="56" s="1"/>
  <c r="F9" i="56" s="1"/>
  <c r="C101" i="64"/>
  <c r="C109" i="64" s="1"/>
  <c r="E13" i="62" s="1"/>
  <c r="F13" i="62" s="1"/>
  <c r="F20" i="52"/>
  <c r="D10" i="12" s="1"/>
  <c r="D10" i="48"/>
  <c r="G26" i="69" s="1"/>
  <c r="D11" i="48"/>
  <c r="G27" i="69" s="1"/>
  <c r="D8" i="45"/>
  <c r="D32" i="45" s="1"/>
  <c r="D37" i="45" s="1"/>
  <c r="D31" i="45" s="1"/>
  <c r="D38" i="45" s="1"/>
  <c r="E9" i="46" s="1"/>
  <c r="F9" i="46" s="1"/>
  <c r="C17" i="72"/>
  <c r="C13" i="72" s="1"/>
  <c r="C8" i="58"/>
  <c r="C32" i="58" s="1"/>
  <c r="C37" i="58" s="1"/>
  <c r="C31" i="58" s="1"/>
  <c r="C39" i="58" s="1"/>
  <c r="E8" i="56" s="1"/>
  <c r="F8" i="56" s="1"/>
  <c r="C51" i="64"/>
  <c r="C49" i="64" s="1"/>
  <c r="C72" i="64" s="1"/>
  <c r="E11" i="62" s="1"/>
  <c r="F11" i="62" s="1"/>
  <c r="D8" i="72"/>
  <c r="D32" i="72" s="1"/>
  <c r="D37" i="72" s="1"/>
  <c r="D31" i="72" s="1"/>
  <c r="G51" i="66"/>
  <c r="G86" i="66"/>
  <c r="C39" i="67"/>
  <c r="E6" i="65" s="1"/>
  <c r="F6" i="65" s="1"/>
  <c r="F7" i="65" s="1"/>
  <c r="G16" i="66"/>
  <c r="D51" i="66"/>
  <c r="D253" i="63"/>
  <c r="D181" i="63"/>
  <c r="D47" i="63"/>
  <c r="D216" i="63"/>
  <c r="D147" i="63"/>
  <c r="D78" i="63"/>
  <c r="F29" i="62"/>
  <c r="D50" i="60"/>
  <c r="E8" i="58"/>
  <c r="E32" i="58" s="1"/>
  <c r="E37" i="58" s="1"/>
  <c r="E31" i="58" s="1"/>
  <c r="E39" i="58" s="1"/>
  <c r="E12" i="56" s="1"/>
  <c r="F12" i="56" s="1"/>
  <c r="D51" i="57"/>
  <c r="D189" i="57"/>
  <c r="D9" i="52"/>
  <c r="D11" i="52"/>
  <c r="G16" i="53"/>
  <c r="G51" i="53"/>
  <c r="D15" i="48"/>
  <c r="F15" i="48" s="1"/>
  <c r="D16" i="48"/>
  <c r="F16" i="48" s="1"/>
  <c r="D14" i="48"/>
  <c r="F14" i="48" s="1"/>
  <c r="D17" i="48"/>
  <c r="F17" i="48" s="1"/>
  <c r="C8" i="50"/>
  <c r="C33" i="50" s="1"/>
  <c r="C38" i="50" s="1"/>
  <c r="C32" i="50" s="1"/>
  <c r="C40" i="50" s="1"/>
  <c r="E6" i="48" s="1"/>
  <c r="F6" i="48" s="1"/>
  <c r="F8" i="48" s="1"/>
  <c r="D14" i="49"/>
  <c r="D175" i="47"/>
  <c r="D109" i="47"/>
  <c r="C38" i="45"/>
  <c r="E8" i="46" s="1"/>
  <c r="F8" i="46" s="1"/>
  <c r="C39" i="72" l="1"/>
  <c r="E8" i="70" s="1"/>
  <c r="F8" i="70" s="1"/>
  <c r="C39" i="54"/>
  <c r="E6" i="52" s="1"/>
  <c r="F6" i="52" s="1"/>
  <c r="F7" i="52" s="1"/>
  <c r="F13" i="56"/>
  <c r="E25" i="73"/>
  <c r="F25" i="73" s="1"/>
  <c r="F26" i="73" s="1"/>
  <c r="D15" i="52"/>
  <c r="G24" i="69"/>
  <c r="G22" i="69"/>
  <c r="D39" i="72"/>
  <c r="E9" i="70" s="1"/>
  <c r="F9" i="70" s="1"/>
  <c r="F13" i="46"/>
  <c r="F15" i="65"/>
  <c r="D14" i="65"/>
  <c r="F14" i="65" s="1"/>
  <c r="F16" i="65"/>
  <c r="D16" i="52"/>
  <c r="F16" i="52" s="1"/>
  <c r="D14" i="52"/>
  <c r="F14" i="52" s="1"/>
  <c r="F15" i="52"/>
  <c r="F18" i="48"/>
  <c r="F10" i="70" l="1"/>
  <c r="F17" i="52"/>
  <c r="F17" i="65"/>
  <c r="F33" i="19" l="1"/>
  <c r="C16" i="25"/>
  <c r="C22" i="25" s="1"/>
  <c r="E18" i="97" l="1"/>
  <c r="F18" i="97" s="1"/>
  <c r="F19" i="97" s="1"/>
  <c r="D47" i="56"/>
  <c r="D48" i="62"/>
  <c r="D18" i="86"/>
  <c r="F18" i="86" s="1"/>
  <c r="F19" i="86" s="1"/>
  <c r="H14" i="12" s="1"/>
  <c r="D44" i="62"/>
  <c r="F44" i="62" s="1"/>
  <c r="F45" i="62" s="1"/>
  <c r="D31" i="88"/>
  <c r="D43" i="56"/>
  <c r="F43" i="56" s="1"/>
  <c r="F44" i="56" s="1"/>
  <c r="D26" i="76"/>
  <c r="D31" i="73"/>
  <c r="D31" i="70"/>
  <c r="D22" i="65"/>
  <c r="D34" i="62"/>
  <c r="D23" i="48"/>
  <c r="D33" i="56"/>
  <c r="D24" i="59"/>
  <c r="D32" i="46"/>
  <c r="D22" i="52"/>
  <c r="E86" i="89"/>
  <c r="F86" i="89" s="1"/>
  <c r="F87" i="89" s="1"/>
  <c r="E156" i="89"/>
  <c r="F156" i="89" s="1"/>
  <c r="F157" i="89" s="1"/>
  <c r="E123" i="89"/>
  <c r="F123" i="89" s="1"/>
  <c r="F124" i="89" s="1"/>
  <c r="E51" i="89"/>
  <c r="F51" i="89" s="1"/>
  <c r="F52" i="89" s="1"/>
  <c r="E16" i="89"/>
  <c r="F16" i="89" s="1"/>
  <c r="F17" i="89" s="1"/>
  <c r="D164" i="89"/>
  <c r="F164" i="89" s="1"/>
  <c r="F165" i="89" s="1"/>
  <c r="D94" i="89"/>
  <c r="F94" i="89" s="1"/>
  <c r="F95" i="89" s="1"/>
  <c r="D131" i="89"/>
  <c r="F131" i="89" s="1"/>
  <c r="F132" i="89" s="1"/>
  <c r="D59" i="89"/>
  <c r="F59" i="89" s="1"/>
  <c r="F60" i="89" s="1"/>
  <c r="D24" i="89"/>
  <c r="F24" i="89" s="1"/>
  <c r="F25" i="89" s="1"/>
  <c r="D164" i="71"/>
  <c r="F164" i="71" s="1"/>
  <c r="F165" i="71" s="1"/>
  <c r="D94" i="77"/>
  <c r="F94" i="77" s="1"/>
  <c r="F95" i="77" s="1"/>
  <c r="D24" i="77"/>
  <c r="F24" i="77" s="1"/>
  <c r="F25" i="77" s="1"/>
  <c r="D59" i="77"/>
  <c r="F59" i="77" s="1"/>
  <c r="F60" i="77" s="1"/>
  <c r="D24" i="74"/>
  <c r="F24" i="74" s="1"/>
  <c r="F25" i="74" s="1"/>
  <c r="D163" i="74"/>
  <c r="F163" i="74" s="1"/>
  <c r="F164" i="74" s="1"/>
  <c r="D59" i="74"/>
  <c r="F59" i="74" s="1"/>
  <c r="F60" i="74" s="1"/>
  <c r="D94" i="74"/>
  <c r="F94" i="74" s="1"/>
  <c r="F95" i="74" s="1"/>
  <c r="D130" i="74"/>
  <c r="F130" i="74" s="1"/>
  <c r="F131" i="74" s="1"/>
  <c r="D183" i="47"/>
  <c r="F183" i="47" s="1"/>
  <c r="F184" i="47" s="1"/>
  <c r="D121" i="63"/>
  <c r="F121" i="63" s="1"/>
  <c r="F122" i="63" s="1"/>
  <c r="G24" i="66"/>
  <c r="I24" i="66" s="1"/>
  <c r="I25" i="66" s="1"/>
  <c r="D155" i="63"/>
  <c r="F155" i="63" s="1"/>
  <c r="F156" i="63" s="1"/>
  <c r="D58" i="60"/>
  <c r="F58" i="60" s="1"/>
  <c r="F59" i="60" s="1"/>
  <c r="D94" i="57"/>
  <c r="F94" i="57" s="1"/>
  <c r="F95" i="57" s="1"/>
  <c r="D150" i="47"/>
  <c r="F150" i="47" s="1"/>
  <c r="F151" i="47" s="1"/>
  <c r="D94" i="66"/>
  <c r="F94" i="66" s="1"/>
  <c r="F95" i="66" s="1"/>
  <c r="D189" i="63"/>
  <c r="F189" i="63" s="1"/>
  <c r="F190" i="63" s="1"/>
  <c r="D59" i="57"/>
  <c r="F59" i="57" s="1"/>
  <c r="F60" i="57" s="1"/>
  <c r="D164" i="57"/>
  <c r="F164" i="57" s="1"/>
  <c r="F165" i="57" s="1"/>
  <c r="D94" i="53"/>
  <c r="F94" i="53" s="1"/>
  <c r="F95" i="53" s="1"/>
  <c r="D24" i="63"/>
  <c r="F24" i="63" s="1"/>
  <c r="F25" i="63" s="1"/>
  <c r="D131" i="57"/>
  <c r="F131" i="57" s="1"/>
  <c r="F132" i="57" s="1"/>
  <c r="D94" i="71"/>
  <c r="F94" i="71" s="1"/>
  <c r="F95" i="71" s="1"/>
  <c r="D24" i="66"/>
  <c r="F24" i="66" s="1"/>
  <c r="F25" i="66" s="1"/>
  <c r="D86" i="63"/>
  <c r="F86" i="63" s="1"/>
  <c r="F87" i="63" s="1"/>
  <c r="D22" i="49"/>
  <c r="F22" i="49" s="1"/>
  <c r="F23" i="49" s="1"/>
  <c r="D56" i="49"/>
  <c r="F56" i="49" s="1"/>
  <c r="F57" i="49" s="1"/>
  <c r="D23" i="47"/>
  <c r="F23" i="47" s="1"/>
  <c r="F24" i="47" s="1"/>
  <c r="D52" i="47"/>
  <c r="F52" i="47" s="1"/>
  <c r="F53" i="47" s="1"/>
  <c r="D59" i="71"/>
  <c r="F59" i="71" s="1"/>
  <c r="F60" i="71" s="1"/>
  <c r="G59" i="66"/>
  <c r="I59" i="66" s="1"/>
  <c r="I60" i="66" s="1"/>
  <c r="D55" i="63"/>
  <c r="F55" i="63" s="1"/>
  <c r="F56" i="63" s="1"/>
  <c r="D59" i="53"/>
  <c r="F59" i="53" s="1"/>
  <c r="F60" i="53" s="1"/>
  <c r="G94" i="53"/>
  <c r="I94" i="53" s="1"/>
  <c r="I95" i="53" s="1"/>
  <c r="D117" i="47"/>
  <c r="F117" i="47" s="1"/>
  <c r="F118" i="47" s="1"/>
  <c r="D131" i="71"/>
  <c r="F131" i="71" s="1"/>
  <c r="F132" i="71" s="1"/>
  <c r="G24" i="53"/>
  <c r="I24" i="53" s="1"/>
  <c r="I25" i="53" s="1"/>
  <c r="D24" i="71"/>
  <c r="F24" i="71" s="1"/>
  <c r="F25" i="71" s="1"/>
  <c r="G94" i="66"/>
  <c r="I94" i="66" s="1"/>
  <c r="I95" i="66" s="1"/>
  <c r="D59" i="66"/>
  <c r="F59" i="66" s="1"/>
  <c r="F60" i="66" s="1"/>
  <c r="D224" i="63"/>
  <c r="F224" i="63" s="1"/>
  <c r="F225" i="63" s="1"/>
  <c r="D261" i="63"/>
  <c r="F261" i="63" s="1"/>
  <c r="F262" i="63" s="1"/>
  <c r="D23" i="60"/>
  <c r="F23" i="60" s="1"/>
  <c r="F24" i="60" s="1"/>
  <c r="D24" i="57"/>
  <c r="F24" i="57" s="1"/>
  <c r="F25" i="57" s="1"/>
  <c r="D197" i="57"/>
  <c r="F197" i="57" s="1"/>
  <c r="F198" i="57" s="1"/>
  <c r="G59" i="53"/>
  <c r="I59" i="53" s="1"/>
  <c r="I60" i="53" s="1"/>
  <c r="D85" i="47"/>
  <c r="F85" i="47" s="1"/>
  <c r="F86" i="47" s="1"/>
  <c r="D24" i="53"/>
  <c r="F24" i="53" s="1"/>
  <c r="F25" i="53" s="1"/>
  <c r="E156" i="71"/>
  <c r="F156" i="71" s="1"/>
  <c r="F157" i="71" s="1"/>
  <c r="E86" i="77"/>
  <c r="F86" i="77" s="1"/>
  <c r="F87" i="77" s="1"/>
  <c r="E51" i="77"/>
  <c r="F51" i="77" s="1"/>
  <c r="F52" i="77" s="1"/>
  <c r="F72" i="77" s="1"/>
  <c r="E12" i="76" s="1"/>
  <c r="F12" i="76" s="1"/>
  <c r="E16" i="77"/>
  <c r="F16" i="77" s="1"/>
  <c r="F17" i="77" s="1"/>
  <c r="E155" i="74"/>
  <c r="F155" i="74" s="1"/>
  <c r="F156" i="74" s="1"/>
  <c r="F177" i="74" s="1"/>
  <c r="E13" i="73" s="1"/>
  <c r="F13" i="73" s="1"/>
  <c r="E16" i="74"/>
  <c r="F16" i="74" s="1"/>
  <c r="F17" i="74" s="1"/>
  <c r="E51" i="74"/>
  <c r="F51" i="74" s="1"/>
  <c r="F52" i="74" s="1"/>
  <c r="E86" i="74"/>
  <c r="F86" i="74" s="1"/>
  <c r="F87" i="74" s="1"/>
  <c r="E122" i="74"/>
  <c r="F122" i="74" s="1"/>
  <c r="F123" i="74" s="1"/>
  <c r="E123" i="57"/>
  <c r="F123" i="57" s="1"/>
  <c r="F124" i="57" s="1"/>
  <c r="H86" i="53"/>
  <c r="I86" i="53" s="1"/>
  <c r="I87" i="53" s="1"/>
  <c r="E15" i="47"/>
  <c r="F15" i="47" s="1"/>
  <c r="F16" i="47" s="1"/>
  <c r="F30" i="47" s="1"/>
  <c r="E15" i="46" s="1"/>
  <c r="F15" i="46" s="1"/>
  <c r="E109" i="47"/>
  <c r="F109" i="47" s="1"/>
  <c r="F110" i="47" s="1"/>
  <c r="F128" i="47" s="1"/>
  <c r="E18" i="46" s="1"/>
  <c r="F18" i="46" s="1"/>
  <c r="E51" i="57"/>
  <c r="F51" i="57" s="1"/>
  <c r="F52" i="57" s="1"/>
  <c r="F72" i="57" s="1"/>
  <c r="E17" i="56" s="1"/>
  <c r="F17" i="56" s="1"/>
  <c r="E16" i="63"/>
  <c r="F16" i="63" s="1"/>
  <c r="F17" i="63" s="1"/>
  <c r="E47" i="63"/>
  <c r="F47" i="63" s="1"/>
  <c r="F48" i="63" s="1"/>
  <c r="F64" i="63" s="1"/>
  <c r="E113" i="63"/>
  <c r="F113" i="63" s="1"/>
  <c r="F114" i="63" s="1"/>
  <c r="F133" i="63" s="1"/>
  <c r="E20" i="62" s="1"/>
  <c r="F20" i="62" s="1"/>
  <c r="E15" i="60"/>
  <c r="F15" i="60" s="1"/>
  <c r="F16" i="60" s="1"/>
  <c r="F36" i="60" s="1"/>
  <c r="E13" i="59" s="1"/>
  <c r="F13" i="59" s="1"/>
  <c r="E51" i="53"/>
  <c r="F51" i="53" s="1"/>
  <c r="F52" i="53" s="1"/>
  <c r="F72" i="53" s="1"/>
  <c r="E10" i="52" s="1"/>
  <c r="F10" i="52" s="1"/>
  <c r="E142" i="47"/>
  <c r="F142" i="47" s="1"/>
  <c r="F143" i="47" s="1"/>
  <c r="E189" i="57"/>
  <c r="F189" i="57" s="1"/>
  <c r="F190" i="57" s="1"/>
  <c r="H86" i="66"/>
  <c r="I86" i="66" s="1"/>
  <c r="I87" i="66" s="1"/>
  <c r="H16" i="66"/>
  <c r="I16" i="66" s="1"/>
  <c r="I17" i="66" s="1"/>
  <c r="I37" i="66" s="1"/>
  <c r="E78" i="63"/>
  <c r="F78" i="63" s="1"/>
  <c r="F79" i="63" s="1"/>
  <c r="F99" i="63" s="1"/>
  <c r="E253" i="63"/>
  <c r="F253" i="63" s="1"/>
  <c r="F254" i="63" s="1"/>
  <c r="H51" i="53"/>
  <c r="I51" i="53" s="1"/>
  <c r="I52" i="53" s="1"/>
  <c r="E16" i="71"/>
  <c r="F16" i="71" s="1"/>
  <c r="F17" i="71" s="1"/>
  <c r="E86" i="53"/>
  <c r="F86" i="53" s="1"/>
  <c r="F87" i="53" s="1"/>
  <c r="F110" i="53" s="1"/>
  <c r="E11" i="52" s="1"/>
  <c r="F11" i="52" s="1"/>
  <c r="E86" i="71"/>
  <c r="F86" i="71" s="1"/>
  <c r="F87" i="71" s="1"/>
  <c r="E86" i="66"/>
  <c r="F86" i="66" s="1"/>
  <c r="F87" i="66" s="1"/>
  <c r="E16" i="66"/>
  <c r="F16" i="66" s="1"/>
  <c r="F17" i="66" s="1"/>
  <c r="E216" i="63"/>
  <c r="F216" i="63" s="1"/>
  <c r="F217" i="63" s="1"/>
  <c r="H16" i="53"/>
  <c r="I16" i="53" s="1"/>
  <c r="I17" i="53" s="1"/>
  <c r="E48" i="49"/>
  <c r="F48" i="49" s="1"/>
  <c r="F49" i="49" s="1"/>
  <c r="E50" i="60"/>
  <c r="F50" i="60" s="1"/>
  <c r="F51" i="60" s="1"/>
  <c r="E16" i="57"/>
  <c r="F16" i="57" s="1"/>
  <c r="F17" i="57" s="1"/>
  <c r="F37" i="57" s="1"/>
  <c r="E15" i="56" s="1"/>
  <c r="F15" i="56" s="1"/>
  <c r="E16" i="53"/>
  <c r="F16" i="53" s="1"/>
  <c r="F17" i="53" s="1"/>
  <c r="E44" i="47"/>
  <c r="F44" i="47" s="1"/>
  <c r="F45" i="47" s="1"/>
  <c r="E175" i="47"/>
  <c r="F175" i="47" s="1"/>
  <c r="F176" i="47" s="1"/>
  <c r="E86" i="57"/>
  <c r="F86" i="57" s="1"/>
  <c r="F87" i="57" s="1"/>
  <c r="E51" i="71"/>
  <c r="F51" i="71" s="1"/>
  <c r="F52" i="71" s="1"/>
  <c r="H51" i="66"/>
  <c r="I51" i="66" s="1"/>
  <c r="I52" i="66" s="1"/>
  <c r="I72" i="66" s="1"/>
  <c r="E14" i="49"/>
  <c r="F14" i="49" s="1"/>
  <c r="F15" i="49" s="1"/>
  <c r="F35" i="49" s="1"/>
  <c r="E10" i="48" s="1"/>
  <c r="F10" i="48" s="1"/>
  <c r="E181" i="63"/>
  <c r="F181" i="63" s="1"/>
  <c r="F182" i="63" s="1"/>
  <c r="F202" i="63" s="1"/>
  <c r="E123" i="71"/>
  <c r="F123" i="71" s="1"/>
  <c r="F124" i="71" s="1"/>
  <c r="E51" i="66"/>
  <c r="F51" i="66" s="1"/>
  <c r="F52" i="66" s="1"/>
  <c r="F72" i="66" s="1"/>
  <c r="E10" i="65" s="1"/>
  <c r="F10" i="65" s="1"/>
  <c r="E147" i="63"/>
  <c r="F147" i="63" s="1"/>
  <c r="F148" i="63" s="1"/>
  <c r="E156" i="57"/>
  <c r="F156" i="57" s="1"/>
  <c r="F157" i="57" s="1"/>
  <c r="E77" i="47"/>
  <c r="F77" i="47" s="1"/>
  <c r="F78" i="47" s="1"/>
  <c r="F143" i="71" l="1"/>
  <c r="E13" i="70" s="1"/>
  <c r="F13" i="70" s="1"/>
  <c r="F110" i="66"/>
  <c r="E11" i="65" s="1"/>
  <c r="F11" i="65" s="1"/>
  <c r="I110" i="66"/>
  <c r="F142" i="89"/>
  <c r="E16" i="88" s="1"/>
  <c r="F16" i="88" s="1"/>
  <c r="F178" i="89"/>
  <c r="E17" i="88" s="1"/>
  <c r="F17" i="88" s="1"/>
  <c r="F37" i="53"/>
  <c r="E9" i="52" s="1"/>
  <c r="F9" i="52" s="1"/>
  <c r="F71" i="49"/>
  <c r="E11" i="48" s="1"/>
  <c r="F11" i="48" s="1"/>
  <c r="F37" i="74"/>
  <c r="E12" i="73" s="1"/>
  <c r="F12" i="73" s="1"/>
  <c r="F109" i="77"/>
  <c r="E13" i="76" s="1"/>
  <c r="F13" i="76" s="1"/>
  <c r="F109" i="57"/>
  <c r="E20" i="56" s="1"/>
  <c r="F20" i="56" s="1"/>
  <c r="F239" i="63"/>
  <c r="E17" i="62" s="1"/>
  <c r="F17" i="62" s="1"/>
  <c r="F194" i="47"/>
  <c r="E20" i="46" s="1"/>
  <c r="F20" i="46" s="1"/>
  <c r="I110" i="53"/>
  <c r="F95" i="47"/>
  <c r="E17" i="46" s="1"/>
  <c r="F17" i="46" s="1"/>
  <c r="F109" i="71"/>
  <c r="E16" i="70" s="1"/>
  <c r="F16" i="70" s="1"/>
  <c r="F276" i="63"/>
  <c r="F161" i="47"/>
  <c r="E19" i="46" s="1"/>
  <c r="F19" i="46" s="1"/>
  <c r="F109" i="74"/>
  <c r="E15" i="73" s="1"/>
  <c r="F15" i="73" s="1"/>
  <c r="F37" i="77"/>
  <c r="F37" i="89"/>
  <c r="E14" i="88" s="1"/>
  <c r="F14" i="88" s="1"/>
  <c r="E18" i="62"/>
  <c r="F18" i="62" s="1"/>
  <c r="E19" i="62"/>
  <c r="F72" i="89"/>
  <c r="E15" i="88" s="1"/>
  <c r="F15" i="88" s="1"/>
  <c r="F207" i="57"/>
  <c r="E19" i="56" s="1"/>
  <c r="F19" i="56" s="1"/>
  <c r="F175" i="57"/>
  <c r="E18" i="56" s="1"/>
  <c r="F18" i="56" s="1"/>
  <c r="F62" i="47"/>
  <c r="E16" i="46" s="1"/>
  <c r="F16" i="46" s="1"/>
  <c r="F22" i="46" s="1"/>
  <c r="F29" i="46" s="1"/>
  <c r="F31" i="46" s="1"/>
  <c r="F73" i="60"/>
  <c r="E12" i="59" s="1"/>
  <c r="F12" i="59" s="1"/>
  <c r="F14" i="59" s="1"/>
  <c r="H19" i="59" s="1"/>
  <c r="F37" i="71"/>
  <c r="E12" i="70" s="1"/>
  <c r="F12" i="70" s="1"/>
  <c r="I72" i="53"/>
  <c r="F142" i="57"/>
  <c r="E16" i="56" s="1"/>
  <c r="F16" i="56" s="1"/>
  <c r="F72" i="71"/>
  <c r="E14" i="70" s="1"/>
  <c r="F14" i="70" s="1"/>
  <c r="I37" i="53"/>
  <c r="F142" i="74"/>
  <c r="F176" i="71"/>
  <c r="E15" i="70" s="1"/>
  <c r="F15" i="70" s="1"/>
  <c r="F167" i="63"/>
  <c r="F37" i="66"/>
  <c r="E9" i="65" s="1"/>
  <c r="F9" i="65" s="1"/>
  <c r="F12" i="65" s="1"/>
  <c r="F19" i="65" s="1"/>
  <c r="F21" i="65" s="1"/>
  <c r="F33" i="63"/>
  <c r="E21" i="62" s="1"/>
  <c r="F21" i="62" s="1"/>
  <c r="F72" i="74"/>
  <c r="E14" i="73" s="1"/>
  <c r="F14" i="73" s="1"/>
  <c r="F109" i="89"/>
  <c r="E18" i="88" s="1"/>
  <c r="F18" i="88" s="1"/>
  <c r="F12" i="52"/>
  <c r="F19" i="52" s="1"/>
  <c r="F21" i="52" s="1"/>
  <c r="F12" i="48"/>
  <c r="F20" i="48" s="1"/>
  <c r="F22" i="48" s="1"/>
  <c r="F14" i="76"/>
  <c r="F23" i="76" s="1"/>
  <c r="F25" i="76" s="1"/>
  <c r="D9" i="64"/>
  <c r="D9" i="61"/>
  <c r="C9" i="61"/>
  <c r="F16" i="73" l="1"/>
  <c r="F28" i="73" s="1"/>
  <c r="F30" i="73" s="1"/>
  <c r="F31" i="73" s="1"/>
  <c r="F32" i="73" s="1"/>
  <c r="H15" i="12" s="1"/>
  <c r="E16" i="62"/>
  <c r="F16" i="62" s="1"/>
  <c r="F23" i="62" s="1"/>
  <c r="F19" i="62"/>
  <c r="F19" i="88"/>
  <c r="F28" i="88" s="1"/>
  <c r="F30" i="88" s="1"/>
  <c r="F17" i="70"/>
  <c r="F28" i="70" s="1"/>
  <c r="F30" i="70" s="1"/>
  <c r="F31" i="70" s="1"/>
  <c r="F21" i="56"/>
  <c r="F30" i="56" s="1"/>
  <c r="F32" i="56" s="1"/>
  <c r="F22" i="52"/>
  <c r="F23" i="52" s="1"/>
  <c r="H10" i="12" s="1"/>
  <c r="F32" i="46"/>
  <c r="F33" i="46" s="1"/>
  <c r="H18" i="12" s="1"/>
  <c r="F23" i="48"/>
  <c r="F24" i="48" s="1"/>
  <c r="H11" i="12" s="1"/>
  <c r="F26" i="76"/>
  <c r="F27" i="76" s="1"/>
  <c r="H17" i="12" s="1"/>
  <c r="F22" i="65"/>
  <c r="F23" i="65" s="1"/>
  <c r="H12" i="12" s="1"/>
  <c r="C10" i="61"/>
  <c r="C14" i="61" s="1"/>
  <c r="C12" i="61" s="1"/>
  <c r="C13" i="61"/>
  <c r="D13" i="64"/>
  <c r="D10" i="64"/>
  <c r="D14" i="64" s="1"/>
  <c r="D12" i="64" s="1"/>
  <c r="H13" i="64"/>
  <c r="H10" i="64"/>
  <c r="H8" i="64" s="1"/>
  <c r="H28" i="64" s="1"/>
  <c r="H33" i="64" s="1"/>
  <c r="H27" i="64" s="1"/>
  <c r="D13" i="61"/>
  <c r="D10" i="61"/>
  <c r="D14" i="61" s="1"/>
  <c r="D12" i="61" s="1"/>
  <c r="F32" i="70" l="1"/>
  <c r="F31" i="88"/>
  <c r="F32" i="88" s="1"/>
  <c r="H16" i="12" s="1"/>
  <c r="F33" i="56"/>
  <c r="F34" i="56" s="1"/>
  <c r="F48" i="56" s="1"/>
  <c r="F46" i="56"/>
  <c r="D8" i="64"/>
  <c r="D28" i="64" s="1"/>
  <c r="D33" i="64" s="1"/>
  <c r="D27" i="64" s="1"/>
  <c r="D35" i="64" s="1"/>
  <c r="E10" i="62" s="1"/>
  <c r="F10" i="62" s="1"/>
  <c r="H14" i="64"/>
  <c r="H12" i="64" s="1"/>
  <c r="H35" i="64" s="1"/>
  <c r="D8" i="61"/>
  <c r="D28" i="61" s="1"/>
  <c r="D33" i="61" s="1"/>
  <c r="D27" i="61" s="1"/>
  <c r="D35" i="61" s="1"/>
  <c r="E9" i="59" s="1"/>
  <c r="F9" i="59" s="1"/>
  <c r="C8" i="61"/>
  <c r="C28" i="61" s="1"/>
  <c r="C33" i="61" s="1"/>
  <c r="C27" i="61" s="1"/>
  <c r="C35" i="61" s="1"/>
  <c r="E8" i="59" s="1"/>
  <c r="F8" i="59" s="1"/>
  <c r="H9" i="12" l="1"/>
  <c r="H13" i="12"/>
  <c r="F47" i="56"/>
  <c r="F8" i="62"/>
  <c r="F14" i="62" s="1"/>
  <c r="F31" i="62" s="1"/>
  <c r="F33" i="62" s="1"/>
  <c r="F47" i="62" s="1"/>
  <c r="F48" i="62" s="1"/>
  <c r="F10" i="59"/>
  <c r="F21" i="59" s="1"/>
  <c r="F23" i="59" s="1"/>
  <c r="F24" i="59" l="1"/>
  <c r="F25" i="59" s="1"/>
  <c r="H8" i="12" s="1"/>
  <c r="F34" i="62"/>
  <c r="F35" i="62" s="1"/>
  <c r="F49" i="62" s="1"/>
  <c r="G19" i="12" l="1"/>
  <c r="H7" i="12" l="1"/>
  <c r="H19" i="12" s="1"/>
</calcChain>
</file>

<file path=xl/sharedStrings.xml><?xml version="1.0" encoding="utf-8"?>
<sst xmlns="http://schemas.openxmlformats.org/spreadsheetml/2006/main" count="26191" uniqueCount="6702">
  <si>
    <t>Valor total mensal (A + B + C + D)</t>
  </si>
  <si>
    <t>3.0</t>
  </si>
  <si>
    <t>Total (D)</t>
  </si>
  <si>
    <t>2.8</t>
  </si>
  <si>
    <t>Colete refletor (trabalho noturno)</t>
  </si>
  <si>
    <t>2.7</t>
  </si>
  <si>
    <t>Protetor solar fator 30 (120ml/Mês)</t>
  </si>
  <si>
    <t>2.6</t>
  </si>
  <si>
    <t>Capa de chuva, com capuz</t>
  </si>
  <si>
    <t>2.5</t>
  </si>
  <si>
    <t>Bota de couro, antiderrapante</t>
  </si>
  <si>
    <t>2.4</t>
  </si>
  <si>
    <t xml:space="preserve">Camisa polo, manga curta </t>
  </si>
  <si>
    <t>2.3</t>
  </si>
  <si>
    <t>Calça jeans</t>
  </si>
  <si>
    <t>2.2</t>
  </si>
  <si>
    <t>Boné de brim tipo árabe</t>
  </si>
  <si>
    <t>2.1</t>
  </si>
  <si>
    <t>UNIFORMES E EPI´s</t>
  </si>
  <si>
    <t>2.0</t>
  </si>
  <si>
    <t>Total (C)</t>
  </si>
  <si>
    <t>1.4.4</t>
  </si>
  <si>
    <t>1.4.3</t>
  </si>
  <si>
    <t>1.4.2</t>
  </si>
  <si>
    <t>Vale transporte</t>
  </si>
  <si>
    <t>1.4.1</t>
  </si>
  <si>
    <t>Benefícios</t>
  </si>
  <si>
    <t>1.4</t>
  </si>
  <si>
    <t>Remuneração bruta (A + B)</t>
  </si>
  <si>
    <t>1.3</t>
  </si>
  <si>
    <t>Encargos sociais  (B)</t>
  </si>
  <si>
    <t>1.2</t>
  </si>
  <si>
    <t>Total (A)</t>
  </si>
  <si>
    <t>1.1.7</t>
  </si>
  <si>
    <t>Outros</t>
  </si>
  <si>
    <t>1.1.6</t>
  </si>
  <si>
    <t>Horas extras com 100%</t>
  </si>
  <si>
    <t>1.1.5</t>
  </si>
  <si>
    <t>Horas extras com 50%</t>
  </si>
  <si>
    <t>1.1.4</t>
  </si>
  <si>
    <t>Adicional noturno</t>
  </si>
  <si>
    <t>1.1.3</t>
  </si>
  <si>
    <t>Adicional de insalubridade</t>
  </si>
  <si>
    <t>1.1.2</t>
  </si>
  <si>
    <t>Salário</t>
  </si>
  <si>
    <t>1.1.1</t>
  </si>
  <si>
    <t>Remuneração</t>
  </si>
  <si>
    <t>1.1</t>
  </si>
  <si>
    <t>TOTAL</t>
  </si>
  <si>
    <t>QUANT.</t>
  </si>
  <si>
    <t>VALOR</t>
  </si>
  <si>
    <t>REMUNERAÇÃO, ENCARGOS E BENEFÍCIOS</t>
  </si>
  <si>
    <t>1.0</t>
  </si>
  <si>
    <t>DISCRIMINAÇÃO</t>
  </si>
  <si>
    <t>ITENS</t>
  </si>
  <si>
    <t>COMPOSIÇÃO DE CUSTOS UNITÁRIOS - PESSOAL</t>
  </si>
  <si>
    <t>Adicional noturno: 20% sobre salário</t>
  </si>
  <si>
    <t>1.4.7</t>
  </si>
  <si>
    <t>Meião de lã</t>
  </si>
  <si>
    <t>2.9</t>
  </si>
  <si>
    <t>2.10</t>
  </si>
  <si>
    <t>ENCARREGADO DIURNO</t>
  </si>
  <si>
    <t>ENCARREGADO NOTURNO</t>
  </si>
  <si>
    <t>FISCAL DIURNO</t>
  </si>
  <si>
    <t>FISCAL NOTURNO</t>
  </si>
  <si>
    <t>Encargos sociais (B)</t>
  </si>
  <si>
    <t>OPERADOR PÁ CARREGADEIRA</t>
  </si>
  <si>
    <t>OPERADOR DE RETROESCAVADEIRA</t>
  </si>
  <si>
    <t>OPERADOR MINICARREGADEIRA</t>
  </si>
  <si>
    <t>ENGENHEIRO</t>
  </si>
  <si>
    <t>TÉCNICO DE SEGURANÇA</t>
  </si>
  <si>
    <t>AUXILIAR TECNICO</t>
  </si>
  <si>
    <t>VIGIA NOTURNO</t>
  </si>
  <si>
    <t>VIGIA DIURNO</t>
  </si>
  <si>
    <t>R$ / ton</t>
  </si>
  <si>
    <t>PREÇO FINAL (com BDI)</t>
  </si>
  <si>
    <t>%</t>
  </si>
  <si>
    <t>BDI</t>
  </si>
  <si>
    <t>Custo unitário sem BDI</t>
  </si>
  <si>
    <t>ton/mês</t>
  </si>
  <si>
    <t xml:space="preserve">Quantidade estimada </t>
  </si>
  <si>
    <t>R$ / mês</t>
  </si>
  <si>
    <t>Custo operacional total</t>
  </si>
  <si>
    <t>RESUMO DO ITEM</t>
  </si>
  <si>
    <t>Total 3</t>
  </si>
  <si>
    <t>und</t>
  </si>
  <si>
    <t>Cone de sinalização</t>
  </si>
  <si>
    <t>3.3</t>
  </si>
  <si>
    <t>Vassoura de piaçava 28 furos, com cabo</t>
  </si>
  <si>
    <t>3.2</t>
  </si>
  <si>
    <t>Pá quadrada, com cabo</t>
  </si>
  <si>
    <t>3.1</t>
  </si>
  <si>
    <t>FERRAMENTAS</t>
  </si>
  <si>
    <t>Total 2</t>
  </si>
  <si>
    <t>mês</t>
  </si>
  <si>
    <t>MÃO DE OBRA:</t>
  </si>
  <si>
    <t>Total 1</t>
  </si>
  <si>
    <t xml:space="preserve">Caixas coletoras estacionárias, sem compactação, de 1,2m³ </t>
  </si>
  <si>
    <t>Caminhão coletor compactador - Frota Reserva</t>
  </si>
  <si>
    <t>EQUIPAMENTOS</t>
  </si>
  <si>
    <t>VALOR TOTAL</t>
  </si>
  <si>
    <t>VALOR UNITÁRIO</t>
  </si>
  <si>
    <t>UNIDADE / MÊS</t>
  </si>
  <si>
    <t>Tonelada</t>
  </si>
  <si>
    <t>Unidade:</t>
  </si>
  <si>
    <t>COMPOSIÇÃO DE PREÇOS UNITÁRIOS DE SERVIÇO</t>
  </si>
  <si>
    <t>R$ / Km de guia</t>
  </si>
  <si>
    <t>Km de SARJ</t>
  </si>
  <si>
    <t>Km de SARJ / mês</t>
  </si>
  <si>
    <t>CUSTO TOTAL</t>
  </si>
  <si>
    <t>Saco Plástico 100L</t>
  </si>
  <si>
    <t>Motorista diurno</t>
  </si>
  <si>
    <t>MÃO DE OBRA</t>
  </si>
  <si>
    <t>Veículo de transporte - Van</t>
  </si>
  <si>
    <t>Total</t>
  </si>
  <si>
    <t>Ancinho, com cabo/ Gadanho</t>
  </si>
  <si>
    <t>3.4</t>
  </si>
  <si>
    <t>Varredeira mecânica autopropelida</t>
  </si>
  <si>
    <t>UNIDADE</t>
  </si>
  <si>
    <t>R$ / Equipe</t>
  </si>
  <si>
    <t>Equipe / Mês</t>
  </si>
  <si>
    <t>R$/mês</t>
  </si>
  <si>
    <t>Custo total</t>
  </si>
  <si>
    <t>Kit de Ferramentas</t>
  </si>
  <si>
    <t>Operador de Minicarregadeira</t>
  </si>
  <si>
    <t>Operador de Retroescavadeira</t>
  </si>
  <si>
    <t xml:space="preserve">Operador de Pá Carregadeira diurno </t>
  </si>
  <si>
    <t>Minicarregadeira</t>
  </si>
  <si>
    <t>1.5</t>
  </si>
  <si>
    <t>Retroescavadeira</t>
  </si>
  <si>
    <t>Caminhão Carroceria</t>
  </si>
  <si>
    <t>Pá carregadeira</t>
  </si>
  <si>
    <t>Despesas financeiras gerais (materiais de escritorio)</t>
  </si>
  <si>
    <t>3.1.3</t>
  </si>
  <si>
    <t>Despesas Innfraestrutura (água, energia, internet)</t>
  </si>
  <si>
    <t>3.1.2</t>
  </si>
  <si>
    <t>Aluguel</t>
  </si>
  <si>
    <t>3.1.1</t>
  </si>
  <si>
    <t>OUTROS CUSTOS</t>
  </si>
  <si>
    <t>Vigia Noturno</t>
  </si>
  <si>
    <t>Vigia Diurno</t>
  </si>
  <si>
    <t>Técnico de Segurança</t>
  </si>
  <si>
    <t>Engenheiro Responsável</t>
  </si>
  <si>
    <t>Pickup</t>
  </si>
  <si>
    <t>Veículo Leve</t>
  </si>
  <si>
    <t>TAXA DE JUROS AO ANO</t>
  </si>
  <si>
    <t>B3</t>
  </si>
  <si>
    <t>VIDA UTIL</t>
  </si>
  <si>
    <t>VALOR RESIDUAL</t>
  </si>
  <si>
    <t>CUSTO MENSAL</t>
  </si>
  <si>
    <t>GPS</t>
  </si>
  <si>
    <t>G</t>
  </si>
  <si>
    <t>CUSTO MANUTENÇÃO</t>
  </si>
  <si>
    <t>F3</t>
  </si>
  <si>
    <t>COEFICIENTE DE MANUTENÇÃO</t>
  </si>
  <si>
    <t>F2</t>
  </si>
  <si>
    <t>DEPRECIAÇÃO/HORA</t>
  </si>
  <si>
    <t>F1</t>
  </si>
  <si>
    <t>MANUTENÇÃO, IMPOSTOS E SEGUROS</t>
  </si>
  <si>
    <t>F</t>
  </si>
  <si>
    <t>CUSTO LUBRIFICANTES</t>
  </si>
  <si>
    <t>D2</t>
  </si>
  <si>
    <t>CONSUMO DE LUBRIFICANTES</t>
  </si>
  <si>
    <t>D1</t>
  </si>
  <si>
    <t>LUBRIFICANTES</t>
  </si>
  <si>
    <t>D</t>
  </si>
  <si>
    <t xml:space="preserve">CUSTO/HORA ÓLEO DIESEL </t>
  </si>
  <si>
    <t>C2</t>
  </si>
  <si>
    <t xml:space="preserve">CUSTO/LITRO ÓLEO DIESEL </t>
  </si>
  <si>
    <t xml:space="preserve">CONSUMO DE ÓLEO DIESEL/H TRABALHADA </t>
  </si>
  <si>
    <t>C1</t>
  </si>
  <si>
    <t>COMBUSTÍVEL</t>
  </si>
  <si>
    <t>C</t>
  </si>
  <si>
    <t>INVESTIMENTO MÉDIO</t>
  </si>
  <si>
    <t>B2</t>
  </si>
  <si>
    <t>CUSTO DE AQUISIÇÃO</t>
  </si>
  <si>
    <t>B1</t>
  </si>
  <si>
    <t>OPORTUNIDADE DE CAPITAL</t>
  </si>
  <si>
    <t>B</t>
  </si>
  <si>
    <t>A2</t>
  </si>
  <si>
    <t xml:space="preserve">CUSTO DE AQUISIÇÃO </t>
  </si>
  <si>
    <t>A1</t>
  </si>
  <si>
    <t>DEPRECIAÇÃO</t>
  </si>
  <si>
    <t>A</t>
  </si>
  <si>
    <t>Valores (R$)</t>
  </si>
  <si>
    <t>CAIXA ESTACIONÁRIA DE 1,2 m3</t>
  </si>
  <si>
    <t>COMPACTADOR RESERVA</t>
  </si>
  <si>
    <t>TABELA DE CUSTOS UNITÁRIOS - VEÍCULOS E EQUIPAMENTOS</t>
  </si>
  <si>
    <t>LUTICAR 240L</t>
  </si>
  <si>
    <t>VEÍCULO DE TRANSPORTE - VAN</t>
  </si>
  <si>
    <t>CAMINHAO BASC 6m3</t>
  </si>
  <si>
    <t>CONSUMO VARREDEIRA</t>
  </si>
  <si>
    <t xml:space="preserve">CONSUMO  CHASSIS/H TRABALHADA </t>
  </si>
  <si>
    <t>CAMINHÃO CARROCERIA</t>
  </si>
  <si>
    <t>RETROESCAVADEIRA DE PNEUS</t>
  </si>
  <si>
    <t>MINICARREGADEIRA</t>
  </si>
  <si>
    <t>PA CARREGADEIRA</t>
  </si>
  <si>
    <t>CUSTO ÓLEO DIESEL/GASOLINA</t>
  </si>
  <si>
    <t>VEÍCULO LEVE</t>
  </si>
  <si>
    <t>PICKUP AD LOCAL</t>
  </si>
  <si>
    <t>Salário mínimo - 2025</t>
  </si>
  <si>
    <t>TABELA SALARIAL - 2025</t>
  </si>
  <si>
    <t>Garra Térmica 2L</t>
  </si>
  <si>
    <t xml:space="preserve">Mascara descartável </t>
  </si>
  <si>
    <t>Luva raspa de couro, cano curto</t>
  </si>
  <si>
    <t xml:space="preserve">Calçado, antiderrapante, tipo tênis </t>
  </si>
  <si>
    <t>Avental de raspa de couro</t>
  </si>
  <si>
    <t>Perneira de raspa de couro cano longo</t>
  </si>
  <si>
    <t>Protetor auricular tipo concha</t>
  </si>
  <si>
    <t>Camisa de brim, manga longa</t>
  </si>
  <si>
    <t>Calça de brim</t>
  </si>
  <si>
    <t>Descrição</t>
  </si>
  <si>
    <t>Fardamentos e Epi's</t>
  </si>
  <si>
    <t>Cal Hidratada (saco c/20kg)</t>
  </si>
  <si>
    <t>Foice,com cabo</t>
  </si>
  <si>
    <t>Enxada, com cabo</t>
  </si>
  <si>
    <t>Contêineres plásticos de 240 litros c/ 02 rodas</t>
  </si>
  <si>
    <t>Ferramentas e materiais</t>
  </si>
  <si>
    <t>TABELA DE PREÇOS</t>
  </si>
  <si>
    <t xml:space="preserve">L     </t>
  </si>
  <si>
    <t xml:space="preserve">GASOLINA COMUM                                                                                                                                                                                                                                                                                                                                                                                                                                                                                            </t>
  </si>
  <si>
    <t>LITRO</t>
  </si>
  <si>
    <t xml:space="preserve">UN    </t>
  </si>
  <si>
    <t>SISTEMA GPS</t>
  </si>
  <si>
    <t>Roçadeira costal - 1,40 Kw</t>
  </si>
  <si>
    <t>E9089</t>
  </si>
  <si>
    <t>UN</t>
  </si>
  <si>
    <t>CAMINHONETE COM MOTOR A DIESEL, POTENCIA *160* CV, CABINE DUPLA, 4X4</t>
  </si>
  <si>
    <t>MINICARREGADEIRA SOBRE RODAS, POTENCIA LIQUIDA DE *47* HP, CAPACIDADE NOMINAL DE OPERACAO DE *646* KG</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</si>
  <si>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</si>
  <si>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PA CARREGADEIRA SOBRE RODAS, POTENCIA LIQUIDA 128 HP, CAPACIDADE DA CACAMBA DE 1,7 A 2,8 M3, PESO OPERACIONAL MAXIMO DE 11632 KG                                                                                                                                                                                                                                                                                                                                                                          </t>
  </si>
  <si>
    <t>VEÍCULO LEVE TIPO HB20</t>
  </si>
  <si>
    <t>FIPE: 015213-7</t>
  </si>
  <si>
    <t xml:space="preserve">VAN DE TRANSPORTE - FIPE </t>
  </si>
  <si>
    <t>FIPE: 025198-4</t>
  </si>
  <si>
    <t xml:space="preserve">CAMINHAO TRUCADO, PESO BRUTO TOTAL 23000 KG, CARGA UTIL MAXIMA 15285 KG, DISTANCIA ENTRE EIXOS 4,80 M, POTENCIA 326 CV (INCLUI CABINE E CHASSI, NAO INCLUI CARROCERIA)                                                                                                                                                                                                                                                                                                                                    </t>
  </si>
  <si>
    <t>COMPACTADOR 15m3</t>
  </si>
  <si>
    <t xml:space="preserve">CARROCERIA FIXA ABERTA DE MADEIRA PARA TRANSPORTE GERAL DE CARGA SECA DIMENSOES APROXIMADAS 2,5 X 6,00 X 0,50 M (INCLUI MONTAGEM, NAO INCLUI CAMINHAO)                                                                                                                                                                                                                                                                                                                                                    </t>
  </si>
  <si>
    <t>VARREDEIRA AUTOPROPELIDA</t>
  </si>
  <si>
    <t xml:space="preserve">CACAMBA METALICA BASCULANTE COM CAPACIDADE DE 6 M3 (INCLUI MONTAGEM, NAO INCLUI CAMINHAO)                                                                                                                                                                                                                                                                                                                                                                                                                 </t>
  </si>
  <si>
    <t xml:space="preserve">CAMINHAO TOCO, PESO BRUTO TOTAL 16000 KG, CARGA UTIL MAXIMA 10600 KG, DISTANCIA ENTRE EIXOS 4,80 M, POTENCIA 277 CV (INCLUI CABINE E CHASSI, NAO INCLUI CARROCERIA)                                                                                                                                                                                                                                                                                                                                       </t>
  </si>
  <si>
    <t>CUSTO DE AQUISIÇÃO  (R$)</t>
  </si>
  <si>
    <t>Unid</t>
  </si>
  <si>
    <t>CODIGO SINAPI/ SICRO/ FIPE</t>
  </si>
  <si>
    <t>Caminhão coletor compactador - 2 turnos</t>
  </si>
  <si>
    <t>Picape - Coleta Dificil Acesso</t>
  </si>
  <si>
    <t>Picape Reserva</t>
  </si>
  <si>
    <t>UNID</t>
  </si>
  <si>
    <t>ITEM</t>
  </si>
  <si>
    <t>Veículo Utilitário - 2 turnos</t>
  </si>
  <si>
    <t>COTAÇÃO</t>
  </si>
  <si>
    <t>FONTE</t>
  </si>
  <si>
    <t>SINAPI</t>
  </si>
  <si>
    <t xml:space="preserve">ÓLEO DIESEL </t>
  </si>
  <si>
    <t xml:space="preserve">A) GARI VARREDOR </t>
  </si>
  <si>
    <t xml:space="preserve">B) GARI COLETOR </t>
  </si>
  <si>
    <t>D) COLETOR DE LIXO DE VARRIÇÃO</t>
  </si>
  <si>
    <t xml:space="preserve">E) LIMPADOR DE BOCA DE LOBO </t>
  </si>
  <si>
    <t xml:space="preserve">F) MONITOR </t>
  </si>
  <si>
    <t xml:space="preserve">G) LAVADOR DE CAMINHÃO COMPACTADOR DE LIXO </t>
  </si>
  <si>
    <t xml:space="preserve">H) MECÂNICO DE CAMINHÃO COMPACTADOR DE LIXO </t>
  </si>
  <si>
    <t xml:space="preserve">I) AJUDANTE DE MECÂNICO DE CAMINHÃO COMPACTADOR DE LIXO </t>
  </si>
  <si>
    <t xml:space="preserve">J) JARDINEIRO </t>
  </si>
  <si>
    <t xml:space="preserve">K) CARRINHEIRO </t>
  </si>
  <si>
    <t xml:space="preserve">L) OPERADOR DE USINA DE RECICLAGEM E COMPOSTAGEM DE LIXO </t>
  </si>
  <si>
    <t xml:space="preserve">M) OPERADOR DE ROÇADEIRA </t>
  </si>
  <si>
    <t xml:space="preserve">N) PODADOR DE ÁRVORES </t>
  </si>
  <si>
    <t xml:space="preserve">O) LIMPADOR DE FOSSA </t>
  </si>
  <si>
    <t xml:space="preserve">P) AGENTE DE FISCALIZAÇÃO URBANA </t>
  </si>
  <si>
    <t>C) AJUDANTE DE CAMINHÃO</t>
  </si>
  <si>
    <t>VALE TRANSPORTE</t>
  </si>
  <si>
    <t>GRATIFICAÇÃO - CESTA FÉRIAS</t>
  </si>
  <si>
    <t>GRATIFICAÇÃO - CESTA NATALINA</t>
  </si>
  <si>
    <t>CESTA BÁSICA</t>
  </si>
  <si>
    <t>AUXILIO SAÚDE</t>
  </si>
  <si>
    <t>SEGURO DE VIDA</t>
  </si>
  <si>
    <t>AUXÍLIO ALIMENAÇÃO (R$/DIA)</t>
  </si>
  <si>
    <t>FUNÇÃO</t>
  </si>
  <si>
    <t>MÊS</t>
  </si>
  <si>
    <t>DIA</t>
  </si>
  <si>
    <t>CODIGO</t>
  </si>
  <si>
    <t>CCT</t>
  </si>
  <si>
    <t>Q) CAPINEIRO</t>
  </si>
  <si>
    <t>R) PORTEIRO/VIGIA</t>
  </si>
  <si>
    <t>S) OPERADOR DE MOTOSSERRA, MOTOPODA</t>
  </si>
  <si>
    <t>MOTORISTA DIURNO - COLETA RSU</t>
  </si>
  <si>
    <t>ENCARREGADO GERAL</t>
  </si>
  <si>
    <t>CPRB</t>
  </si>
  <si>
    <t>ISS</t>
  </si>
  <si>
    <t>COFINS</t>
  </si>
  <si>
    <t xml:space="preserve">PIS </t>
  </si>
  <si>
    <t>Impostos e taxas sobre o Faturamento (T1 + T2 + T3 + T4)</t>
  </si>
  <si>
    <t>Lucro</t>
  </si>
  <si>
    <t>Despesas Financeiras</t>
  </si>
  <si>
    <t>Risco e Garantia</t>
  </si>
  <si>
    <t>Seguro</t>
  </si>
  <si>
    <t>Administração Central (Infra-estrura + Pessoal administrativo)</t>
  </si>
  <si>
    <t>Despesas indiretas</t>
  </si>
  <si>
    <t>Discriminação</t>
  </si>
  <si>
    <t>Itens</t>
  </si>
  <si>
    <t>COMPOSIÇÃO DE BDI - BENEFÍCIOS E DESPESAS INDIRETAS</t>
  </si>
  <si>
    <t xml:space="preserve">COMPOSIÇÃO DOS ENCARGOS SOCIAIS </t>
  </si>
  <si>
    <r>
      <rPr>
        <b/>
        <sz val="9.5"/>
        <rFont val="Calibri"/>
        <family val="1"/>
      </rPr>
      <t>CÓDIGO</t>
    </r>
  </si>
  <si>
    <r>
      <rPr>
        <b/>
        <sz val="9.5"/>
        <rFont val="Calibri"/>
        <family val="1"/>
      </rPr>
      <t>DESCRIÇÃO</t>
    </r>
  </si>
  <si>
    <t>SEM DESONERAÇÃO</t>
  </si>
  <si>
    <r>
      <rPr>
        <b/>
        <sz val="9.5"/>
        <rFont val="Calibri"/>
        <family val="1"/>
      </rPr>
      <t xml:space="preserve">MENSALISTA
</t>
    </r>
    <r>
      <rPr>
        <b/>
        <sz val="9.5"/>
        <rFont val="Calibri"/>
        <family val="1"/>
      </rPr>
      <t>%</t>
    </r>
  </si>
  <si>
    <r>
      <rPr>
        <b/>
        <sz val="9.5"/>
        <color rgb="FFFFFFFF"/>
        <rFont val="Calibri"/>
        <family val="1"/>
      </rPr>
      <t>GRUPO A</t>
    </r>
  </si>
  <si>
    <r>
      <rPr>
        <sz val="9.5"/>
        <rFont val="Calibri"/>
        <family val="1"/>
      </rPr>
      <t>A1</t>
    </r>
  </si>
  <si>
    <r>
      <rPr>
        <sz val="9.5"/>
        <rFont val="Calibri"/>
        <family val="1"/>
      </rPr>
      <t>INSS</t>
    </r>
  </si>
  <si>
    <r>
      <rPr>
        <sz val="9.5"/>
        <rFont val="Calibri"/>
        <family val="1"/>
      </rPr>
      <t>A2</t>
    </r>
  </si>
  <si>
    <r>
      <rPr>
        <sz val="9.5"/>
        <rFont val="Calibri"/>
        <family val="1"/>
      </rPr>
      <t>SESI</t>
    </r>
  </si>
  <si>
    <r>
      <rPr>
        <sz val="9.5"/>
        <rFont val="Calibri"/>
        <family val="1"/>
      </rPr>
      <t>A3</t>
    </r>
  </si>
  <si>
    <r>
      <rPr>
        <sz val="9.5"/>
        <rFont val="Calibri"/>
        <family val="1"/>
      </rPr>
      <t>SENAI</t>
    </r>
  </si>
  <si>
    <r>
      <rPr>
        <sz val="9.5"/>
        <rFont val="Calibri"/>
        <family val="1"/>
      </rPr>
      <t>A4</t>
    </r>
  </si>
  <si>
    <r>
      <rPr>
        <sz val="9.5"/>
        <rFont val="Calibri"/>
        <family val="1"/>
      </rPr>
      <t>INCRA</t>
    </r>
  </si>
  <si>
    <r>
      <rPr>
        <sz val="9.5"/>
        <rFont val="Calibri"/>
        <family val="1"/>
      </rPr>
      <t>A5</t>
    </r>
  </si>
  <si>
    <r>
      <rPr>
        <sz val="9.5"/>
        <rFont val="Calibri"/>
        <family val="1"/>
      </rPr>
      <t>SEBRAE</t>
    </r>
  </si>
  <si>
    <r>
      <rPr>
        <sz val="9.5"/>
        <rFont val="Calibri"/>
        <family val="1"/>
      </rPr>
      <t>A6</t>
    </r>
  </si>
  <si>
    <r>
      <rPr>
        <sz val="9.5"/>
        <rFont val="Calibri"/>
        <family val="1"/>
      </rPr>
      <t>Salário Educação</t>
    </r>
  </si>
  <si>
    <r>
      <rPr>
        <sz val="9.5"/>
        <rFont val="Calibri"/>
        <family val="1"/>
      </rPr>
      <t>A7</t>
    </r>
  </si>
  <si>
    <r>
      <rPr>
        <sz val="9.5"/>
        <rFont val="Calibri"/>
        <family val="1"/>
      </rPr>
      <t>Seguro Contra Acidentes de Trabalho</t>
    </r>
  </si>
  <si>
    <r>
      <rPr>
        <sz val="9.5"/>
        <rFont val="Calibri"/>
        <family val="1"/>
      </rPr>
      <t>A8</t>
    </r>
  </si>
  <si>
    <r>
      <rPr>
        <sz val="9.5"/>
        <rFont val="Calibri"/>
        <family val="1"/>
      </rPr>
      <t>FGTS</t>
    </r>
  </si>
  <si>
    <r>
      <rPr>
        <sz val="9.5"/>
        <rFont val="Calibri"/>
        <family val="1"/>
      </rPr>
      <t>A9</t>
    </r>
  </si>
  <si>
    <r>
      <rPr>
        <sz val="9.5"/>
        <rFont val="Calibri"/>
        <family val="1"/>
      </rPr>
      <t>SECONCI</t>
    </r>
  </si>
  <si>
    <r>
      <rPr>
        <b/>
        <sz val="9.5"/>
        <rFont val="Calibri"/>
        <family val="1"/>
      </rPr>
      <t>A</t>
    </r>
  </si>
  <si>
    <r>
      <rPr>
        <b/>
        <sz val="9.5"/>
        <rFont val="Calibri"/>
        <family val="1"/>
      </rPr>
      <t>Total</t>
    </r>
  </si>
  <si>
    <r>
      <rPr>
        <b/>
        <sz val="9.5"/>
        <color rgb="FFFFFFFF"/>
        <rFont val="Calibri"/>
        <family val="1"/>
      </rPr>
      <t>GRUPO B</t>
    </r>
  </si>
  <si>
    <r>
      <rPr>
        <sz val="9.5"/>
        <rFont val="Calibri"/>
        <family val="1"/>
      </rPr>
      <t>B1</t>
    </r>
  </si>
  <si>
    <r>
      <rPr>
        <sz val="9.5"/>
        <rFont val="Calibri"/>
        <family val="1"/>
      </rPr>
      <t>Repouso Semanal Remunerado</t>
    </r>
  </si>
  <si>
    <r>
      <rPr>
        <sz val="9.5"/>
        <rFont val="Calibri"/>
        <family val="1"/>
      </rPr>
      <t>B2</t>
    </r>
  </si>
  <si>
    <r>
      <rPr>
        <sz val="9.5"/>
        <rFont val="Calibri"/>
        <family val="1"/>
      </rPr>
      <t>Feriados</t>
    </r>
  </si>
  <si>
    <r>
      <rPr>
        <sz val="9.5"/>
        <rFont val="Calibri"/>
        <family val="1"/>
      </rPr>
      <t>B3</t>
    </r>
  </si>
  <si>
    <r>
      <rPr>
        <sz val="9.5"/>
        <rFont val="Calibri"/>
        <family val="1"/>
      </rPr>
      <t>Auxílio - Enfermidade</t>
    </r>
  </si>
  <si>
    <r>
      <rPr>
        <sz val="9.5"/>
        <rFont val="Calibri"/>
        <family val="1"/>
      </rPr>
      <t>B4</t>
    </r>
  </si>
  <si>
    <r>
      <rPr>
        <sz val="9.5"/>
        <rFont val="Calibri"/>
        <family val="1"/>
      </rPr>
      <t>13º Salário</t>
    </r>
  </si>
  <si>
    <r>
      <rPr>
        <sz val="9.5"/>
        <rFont val="Calibri"/>
        <family val="1"/>
      </rPr>
      <t>B5</t>
    </r>
  </si>
  <si>
    <r>
      <rPr>
        <sz val="9.5"/>
        <rFont val="Calibri"/>
        <family val="1"/>
      </rPr>
      <t>Licença Paternidade</t>
    </r>
  </si>
  <si>
    <r>
      <rPr>
        <sz val="9.5"/>
        <rFont val="Calibri"/>
        <family val="1"/>
      </rPr>
      <t>B6</t>
    </r>
  </si>
  <si>
    <r>
      <rPr>
        <sz val="9.5"/>
        <rFont val="Calibri"/>
        <family val="1"/>
      </rPr>
      <t>Faltas Justificadas</t>
    </r>
  </si>
  <si>
    <r>
      <rPr>
        <sz val="9.5"/>
        <rFont val="Calibri"/>
        <family val="1"/>
      </rPr>
      <t>B7</t>
    </r>
  </si>
  <si>
    <r>
      <rPr>
        <sz val="9.5"/>
        <rFont val="Calibri"/>
        <family val="1"/>
      </rPr>
      <t>Dias de Chuvas</t>
    </r>
  </si>
  <si>
    <r>
      <rPr>
        <sz val="9.5"/>
        <rFont val="Calibri"/>
        <family val="1"/>
      </rPr>
      <t>B8</t>
    </r>
  </si>
  <si>
    <r>
      <rPr>
        <sz val="9.5"/>
        <rFont val="Calibri"/>
        <family val="1"/>
      </rPr>
      <t>Auxílio Acidente de Trabalho</t>
    </r>
  </si>
  <si>
    <r>
      <rPr>
        <sz val="9.5"/>
        <rFont val="Calibri"/>
        <family val="1"/>
      </rPr>
      <t>B9</t>
    </r>
  </si>
  <si>
    <r>
      <rPr>
        <sz val="9.5"/>
        <rFont val="Calibri"/>
        <family val="1"/>
      </rPr>
      <t>Férias Gozadas</t>
    </r>
  </si>
  <si>
    <r>
      <rPr>
        <sz val="9.5"/>
        <rFont val="Calibri"/>
        <family val="1"/>
      </rPr>
      <t>B10</t>
    </r>
  </si>
  <si>
    <r>
      <rPr>
        <sz val="9.5"/>
        <rFont val="Calibri"/>
        <family val="1"/>
      </rPr>
      <t>Salário Maternidade</t>
    </r>
  </si>
  <si>
    <r>
      <rPr>
        <b/>
        <sz val="9.5"/>
        <rFont val="Calibri"/>
        <family val="1"/>
      </rPr>
      <t>B</t>
    </r>
  </si>
  <si>
    <r>
      <rPr>
        <b/>
        <sz val="9.5"/>
        <color rgb="FFFFFFFF"/>
        <rFont val="Calibri"/>
        <family val="1"/>
      </rPr>
      <t>GRUPO C</t>
    </r>
  </si>
  <si>
    <r>
      <rPr>
        <sz val="9.5"/>
        <rFont val="Calibri"/>
        <family val="1"/>
      </rPr>
      <t>C1</t>
    </r>
  </si>
  <si>
    <r>
      <rPr>
        <sz val="9.5"/>
        <rFont val="Calibri"/>
        <family val="1"/>
      </rPr>
      <t>Aviso Prévio Indenizado</t>
    </r>
  </si>
  <si>
    <r>
      <rPr>
        <sz val="9.5"/>
        <rFont val="Calibri"/>
        <family val="1"/>
      </rPr>
      <t>C2</t>
    </r>
  </si>
  <si>
    <r>
      <rPr>
        <sz val="9.5"/>
        <rFont val="Calibri"/>
        <family val="1"/>
      </rPr>
      <t>Aviso Prévio Trabalhado</t>
    </r>
  </si>
  <si>
    <r>
      <rPr>
        <sz val="9.5"/>
        <rFont val="Calibri"/>
        <family val="1"/>
      </rPr>
      <t>C3</t>
    </r>
  </si>
  <si>
    <r>
      <rPr>
        <sz val="9.5"/>
        <rFont val="Calibri"/>
        <family val="1"/>
      </rPr>
      <t>Férias Indenizadas</t>
    </r>
  </si>
  <si>
    <r>
      <rPr>
        <sz val="9.5"/>
        <rFont val="Calibri"/>
        <family val="1"/>
      </rPr>
      <t>C4</t>
    </r>
  </si>
  <si>
    <r>
      <rPr>
        <sz val="9.5"/>
        <rFont val="Calibri"/>
        <family val="1"/>
      </rPr>
      <t>Depósito Rescisão Sem Justa Causa</t>
    </r>
  </si>
  <si>
    <r>
      <rPr>
        <sz val="9.5"/>
        <rFont val="Calibri"/>
        <family val="1"/>
      </rPr>
      <t>C5</t>
    </r>
  </si>
  <si>
    <r>
      <rPr>
        <sz val="9.5"/>
        <rFont val="Calibri"/>
        <family val="1"/>
      </rPr>
      <t>Indenização Adicional</t>
    </r>
  </si>
  <si>
    <r>
      <rPr>
        <b/>
        <sz val="9.5"/>
        <rFont val="Calibri"/>
        <family val="1"/>
      </rPr>
      <t>C</t>
    </r>
  </si>
  <si>
    <r>
      <rPr>
        <b/>
        <sz val="9.5"/>
        <color rgb="FFFFFFFF"/>
        <rFont val="Calibri"/>
        <family val="1"/>
      </rPr>
      <t>GRUPO D</t>
    </r>
  </si>
  <si>
    <r>
      <rPr>
        <sz val="9.5"/>
        <rFont val="Calibri"/>
        <family val="1"/>
      </rPr>
      <t>D1</t>
    </r>
  </si>
  <si>
    <r>
      <rPr>
        <sz val="9.5"/>
        <rFont val="Calibri"/>
        <family val="1"/>
      </rPr>
      <t>Reincidência de Grupo A sobre Grupo B</t>
    </r>
  </si>
  <si>
    <r>
      <rPr>
        <sz val="9.5"/>
        <rFont val="Calibri"/>
        <family val="1"/>
      </rPr>
      <t>D2</t>
    </r>
  </si>
  <si>
    <r>
      <rPr>
        <sz val="9.5"/>
        <rFont val="Calibri"/>
        <family val="1"/>
      </rPr>
      <t xml:space="preserve">Reincidência de Grupo A sobre Aviso Prévio
</t>
    </r>
    <r>
      <rPr>
        <sz val="9.5"/>
        <rFont val="Calibri"/>
        <family val="1"/>
      </rPr>
      <t xml:space="preserve">Trabalhado e Reincidência do FGTS sobre Aviso
</t>
    </r>
    <r>
      <rPr>
        <sz val="9.5"/>
        <rFont val="Calibri"/>
        <family val="1"/>
      </rPr>
      <t>Prévio Indenizado</t>
    </r>
  </si>
  <si>
    <r>
      <rPr>
        <b/>
        <sz val="9.5"/>
        <rFont val="Calibri"/>
        <family val="1"/>
      </rPr>
      <t>D</t>
    </r>
  </si>
  <si>
    <r>
      <rPr>
        <b/>
        <sz val="9.5"/>
        <color rgb="FFFFFFFF"/>
        <rFont val="Calibri"/>
        <family val="1"/>
      </rPr>
      <t>TOTAL(A+B+C+D)</t>
    </r>
  </si>
  <si>
    <t>ENCARGOS SOCIAIS</t>
  </si>
  <si>
    <t>Gratificação</t>
  </si>
  <si>
    <t>Auxilio Alimentação</t>
  </si>
  <si>
    <t>Cesta Básica</t>
  </si>
  <si>
    <t>Auxilio Saúde</t>
  </si>
  <si>
    <t>Seguro de Vida</t>
  </si>
  <si>
    <t>1.4.5</t>
  </si>
  <si>
    <t>1.4.6</t>
  </si>
  <si>
    <t xml:space="preserve">MOTORISTA DE CAMINHAO-BASCULANTE (MENSALISTA)                                                                                                                                                                                                                                                                                                                                                                                                                                                             </t>
  </si>
  <si>
    <t xml:space="preserve">MOTORISTA DE CARRO DE PASSEIO (MENSALISTA)                                                                                                                                                                                                                                                                                                                                                                                                                                                                </t>
  </si>
  <si>
    <t>MOTORISTA DIURNO - COMPACTADOR COLETA RSU</t>
  </si>
  <si>
    <t>MOTORISTA NOTURNO - COMPACTADOR COLETA RSU</t>
  </si>
  <si>
    <t>MOTORISTA NOTURNO - COLETA RSU</t>
  </si>
  <si>
    <t>COLETOR DIURNO</t>
  </si>
  <si>
    <t>COLETOR NOTURNO</t>
  </si>
  <si>
    <t>PICAPE</t>
  </si>
  <si>
    <t>PICAPE - RESERVA</t>
  </si>
  <si>
    <t>UTILITARIO</t>
  </si>
  <si>
    <t>SEGUROS E IMPOSTOS</t>
  </si>
  <si>
    <t>F4</t>
  </si>
  <si>
    <t>Coletor Diurno</t>
  </si>
  <si>
    <t>Motorista Diurno</t>
  </si>
  <si>
    <t>Motorista Noturno</t>
  </si>
  <si>
    <t>Encarregado Diurno</t>
  </si>
  <si>
    <t>Encarregado Noturno</t>
  </si>
  <si>
    <t>Motorista Veíc Leve Diurno</t>
  </si>
  <si>
    <t>MOTORISTA DIURNO - COLETA SELETIVA</t>
  </si>
  <si>
    <t>CAMINHÃO - SELETIVA</t>
  </si>
  <si>
    <t>CAMINHÃO - SELETIVA RESERVA</t>
  </si>
  <si>
    <t>GAIOLA COLETA SELETIVA</t>
  </si>
  <si>
    <t>Equipes/Mês</t>
  </si>
  <si>
    <t>Equipe</t>
  </si>
  <si>
    <t>2.11</t>
  </si>
  <si>
    <t xml:space="preserve">MOTORISTA II DIURNO </t>
  </si>
  <si>
    <t xml:space="preserve">MOTORISTA CAMINHÃO DIURNO </t>
  </si>
  <si>
    <t>AJUDANTE DE OPERAÇÃO DIURNO</t>
  </si>
  <si>
    <t xml:space="preserve">OPERADOR DE MAQUINAS E TRATORES DIVERSOS - TERRAPLANAGEM (MENSALISTA)                                                                                                                                                                                                                                                                                                                                                                                                                                     </t>
  </si>
  <si>
    <t xml:space="preserve">OPERADOR DE PA CARREGADEIRA (MENSALISTA)                                                                                                                                                                                                                                                                                                                                                                                                                                                                  </t>
  </si>
  <si>
    <t xml:space="preserve">NÚMERO DE VARREDEIRAS ADOTADO </t>
  </si>
  <si>
    <t>NÚMERO DE VARREDEIRAS NECESSÁRIO</t>
  </si>
  <si>
    <t>RENDIMENTO MÉDIO DIÁRIO POR VARREDEIRA  (SARJETAS) KM/DIA</t>
  </si>
  <si>
    <t>EXTENSÃO MÉDIA VARRIDA POR DIA - SARJETAS (KM)</t>
  </si>
  <si>
    <t>DIAS TRABALHADOS AO MÊS</t>
  </si>
  <si>
    <t>EXTENSÃO TOTAL DE VARRIÇÃO - SARJETAS (KM)</t>
  </si>
  <si>
    <t>EXTENSÃO DE VARRIÇÃO /MÊS - EIXO DE VIA (KM)</t>
  </si>
  <si>
    <t>EXTENSÃO TOTAL DAS VIAS (KM)</t>
  </si>
  <si>
    <t>VARRIÇÃO ALTERNADA (3X NA SEMANA)</t>
  </si>
  <si>
    <t>EXTENSÃO VARRIDA POR MÊS (kM)</t>
  </si>
  <si>
    <t>EXTENSÃO DAS VIAS SETOR (kM)</t>
  </si>
  <si>
    <t>SETOR</t>
  </si>
  <si>
    <t>DIMENSIONAMENTO DA VARRIÇÃO MECANIZADA</t>
  </si>
  <si>
    <t>PROJETO BÁSICO</t>
  </si>
  <si>
    <t>Ajudante de Operação Noturno</t>
  </si>
  <si>
    <t>AJUDANTE OPERAÇÃO NOTURNO</t>
  </si>
  <si>
    <t>MOTORISTA NOTURNO - VARRIÇÃO MECANIZADA</t>
  </si>
  <si>
    <t>COLETA DE ENTULHO</t>
  </si>
  <si>
    <t>VARRIÇÃO MECANIZADA</t>
  </si>
  <si>
    <t>COLETA SELETIVA</t>
  </si>
  <si>
    <t xml:space="preserve">MOTORISTA II NOTURNO </t>
  </si>
  <si>
    <t xml:space="preserve">NÚMERO DE VARREDORES ADOTADO </t>
  </si>
  <si>
    <t>NÚMERO DE VARREDORES NECESSÁRIO</t>
  </si>
  <si>
    <t>NÚMERO DE VARREDORES POR EQUIPE (02 VARREDORES)</t>
  </si>
  <si>
    <t>RENDIMENTO MÉDIO DIÁRIO POR VARREDOR (SARJETAS) KM/DIA</t>
  </si>
  <si>
    <t>VARRIÇÃO DIÁRIA (SEG A SAB)</t>
  </si>
  <si>
    <t>DIMENSIONAMENTO DA VARRIÇÃO MANUAL</t>
  </si>
  <si>
    <t>VARREDOR DIURNO</t>
  </si>
  <si>
    <t>VARREDOR NOTURNO</t>
  </si>
  <si>
    <t xml:space="preserve">ENGENHEIRO CIVIL DE OBRA PLENO (MENSALISTA)                                                                                                                                                                                                                                                                                                                                                                                                                                                               </t>
  </si>
  <si>
    <t>ENCARREGADO</t>
  </si>
  <si>
    <t xml:space="preserve">TECNICO EM SEGURANCA DO TRABALHO (MENSALISTA)                                                                                                                                                                                                                                                                                                                                                                                                                                                             </t>
  </si>
  <si>
    <t>Encarregado Geral Diurno</t>
  </si>
  <si>
    <t>VERBA/mês</t>
  </si>
  <si>
    <t>R$ / VERBA</t>
  </si>
  <si>
    <t>R$ / MÊS</t>
  </si>
  <si>
    <t>VALOR GLOBAL DO LOTE</t>
  </si>
  <si>
    <t>Verba / Mês</t>
  </si>
  <si>
    <t>Administração Local</t>
  </si>
  <si>
    <t>km (sarjeta)</t>
  </si>
  <si>
    <t>Varrição Mecanizada</t>
  </si>
  <si>
    <t>Varrição Manual</t>
  </si>
  <si>
    <t>SERVIÇOS</t>
  </si>
  <si>
    <t>VALOR TOTAL ANUAL (R$)</t>
  </si>
  <si>
    <t>VALOR MENSAL (R$)</t>
  </si>
  <si>
    <t>QUANT.ESTIMADA MENSAL</t>
  </si>
  <si>
    <t>Limpeza Urbana</t>
  </si>
  <si>
    <t>VALOR UNITÁRIO SEM BDI (R$)</t>
  </si>
  <si>
    <t>VALOR UNITÁRIO COM BDI (R$)</t>
  </si>
  <si>
    <t>Varrição de Praças</t>
  </si>
  <si>
    <t>Capina</t>
  </si>
  <si>
    <t>Roçada</t>
  </si>
  <si>
    <t>Pintura de MeioFio</t>
  </si>
  <si>
    <t>m2</t>
  </si>
  <si>
    <t>Fiscal Diurno</t>
  </si>
  <si>
    <t>Varredor Diurno</t>
  </si>
  <si>
    <t>ITEM DE SERVIÇO</t>
  </si>
  <si>
    <t>DESCRIÇÃO DO SERVIÇO</t>
  </si>
  <si>
    <t>DESCRIÇÃO</t>
  </si>
  <si>
    <t>QTDE</t>
  </si>
  <si>
    <t>COLETA CONVENCIONAL DE RSU E CONTEINERIZAÇÃO</t>
  </si>
  <si>
    <t xml:space="preserve">Caixas estacionárias PEAD, sem compactação, de 1,2m³ </t>
  </si>
  <si>
    <t xml:space="preserve">Fiscal diurno </t>
  </si>
  <si>
    <t>VARRIÇÃO MANUAL</t>
  </si>
  <si>
    <t>VARRIÇÃO MANUAL DE PRAÇAS E FEIRAS</t>
  </si>
  <si>
    <t xml:space="preserve">Ajudante de Operação diurno </t>
  </si>
  <si>
    <t>Motorista de Caminhao diurno</t>
  </si>
  <si>
    <t>CAPINA</t>
  </si>
  <si>
    <t>ROÇADA</t>
  </si>
  <si>
    <t>PINTURA DE MEIO FIO</t>
  </si>
  <si>
    <t>Caminhão Basculante de 6 m³</t>
  </si>
  <si>
    <t>Capinador</t>
  </si>
  <si>
    <t>Roçador</t>
  </si>
  <si>
    <t>Ajudante de Pintura</t>
  </si>
  <si>
    <t>ADM LOCAL</t>
  </si>
  <si>
    <t>Auxiliar Administrativo</t>
  </si>
  <si>
    <t>AUXILIAR ADMINISTRATIVO</t>
  </si>
  <si>
    <t>Despesas Infraestrutura (água, energia, internet)</t>
  </si>
  <si>
    <t>CAPINE SUPLEMENTAR - DE CARROCERIA DE MADEIRA</t>
  </si>
  <si>
    <t>Caminhão Carroceria com Cabine Suplementar</t>
  </si>
  <si>
    <t>CAPINADOR</t>
  </si>
  <si>
    <t>3.5</t>
  </si>
  <si>
    <t>3.6</t>
  </si>
  <si>
    <t>R$ / M2</t>
  </si>
  <si>
    <t>M2 / mês</t>
  </si>
  <si>
    <t>3.7</t>
  </si>
  <si>
    <t>Roçadeira Costal</t>
  </si>
  <si>
    <t>ROÇADOR / JARDINEIRO</t>
  </si>
  <si>
    <t>ROÇADEIRA</t>
  </si>
  <si>
    <t>MAQUINA DE PINTURA DE MEIOFIO</t>
  </si>
  <si>
    <t xml:space="preserve">TRATOR DE PNEUS COM POTENCIA DE 85 CV, TRACAO 4 X 4, PESO COM LASTRO DE 4675 KG                                                                                                                                                                                                                                                                                                                                                                                                                           </t>
  </si>
  <si>
    <t>VEICULO TRATOR COM MAQUINA DE PINTUA ACOPLADA</t>
  </si>
  <si>
    <t>M2</t>
  </si>
  <si>
    <t>VERBA</t>
  </si>
  <si>
    <t>KM DE SARJETA</t>
  </si>
  <si>
    <t>EQUIPE</t>
  </si>
  <si>
    <t>são 3 equipes</t>
  </si>
  <si>
    <t>caminhão baú</t>
  </si>
  <si>
    <t>QUANTIDADE DE FISCAIS (1 para cada grupo de 20 garis)</t>
  </si>
  <si>
    <t>Caminhão Baú Coleta Seletiva</t>
  </si>
  <si>
    <t>Caminhão Baú Coleta Seletiva - Frota Reserva</t>
  </si>
  <si>
    <t>Veículo Utilitário - Encarregado - 2 turnos</t>
  </si>
  <si>
    <t>FORNECIMENTO. INSTALAÇÃO E MANUTENÇÃO DE CONTEINERES</t>
  </si>
  <si>
    <t>MOTORISTA NOTURNO</t>
  </si>
  <si>
    <t>MOTORISTA DIURNO</t>
  </si>
  <si>
    <t>DIMENSIONAMENTO</t>
  </si>
  <si>
    <t>CATEGORIA</t>
  </si>
  <si>
    <t>RESUMO DIMENSIONAMENTO</t>
  </si>
  <si>
    <t>QDADE DE MOTORISTAS RESERVA DIURNO</t>
  </si>
  <si>
    <t>QDADE DE COLETOR RESERVA DIURNO</t>
  </si>
  <si>
    <t>QDADE DE MOTORISTAS DIURNO</t>
  </si>
  <si>
    <t>QDADE DE GARI COLETOR DIURNO</t>
  </si>
  <si>
    <t>QUANTIDADE DE VEÍCULOS RESERVA</t>
  </si>
  <si>
    <t>QDADE DE VEÍCULOS DIURNO</t>
  </si>
  <si>
    <t>COLETA DIFÍCIL ACESSO COM PICAPE</t>
  </si>
  <si>
    <t>QDADE DE MOTORISTAS RESERVA NOTURNO</t>
  </si>
  <si>
    <t>QDADE DE COLETOR RESERVA  NOTURNO</t>
  </si>
  <si>
    <t>QDADE DE MOTORISTAS NOTURNO</t>
  </si>
  <si>
    <t>QDADE DE GARI COLETOR NOTURNO</t>
  </si>
  <si>
    <t xml:space="preserve">QDADE DE VEÍCULOS NOTURNO </t>
  </si>
  <si>
    <t>QUANTIDADE DE VEÍCULOS CALCULADA</t>
  </si>
  <si>
    <t>CAPACIDADE DE CARGA DO CAMINHÃO (TON)</t>
  </si>
  <si>
    <t>NÚMERO DE VIAGENS POR TURNO</t>
  </si>
  <si>
    <t>QUANT. DIÁRIA DE LIXO COLETADO (TON/DIA)</t>
  </si>
  <si>
    <t>QUANTIDADE DE VEÍCULOS ( QV )</t>
  </si>
  <si>
    <t>NV</t>
  </si>
  <si>
    <t>TEMPO DE VIAGEM PARA A DESCARGA (H)</t>
  </si>
  <si>
    <t>CAPACIDADE DE CARGA DO CAMINHÃO        ( T )</t>
  </si>
  <si>
    <t xml:space="preserve">EXT. VIAS ATENDIDAS NO TURNO (KM/DIA) </t>
  </si>
  <si>
    <t>JORNADA DE TRABALHO ( H )</t>
  </si>
  <si>
    <t>VELOCIDADE MÉDIA DE COLETA     (KM/H)</t>
  </si>
  <si>
    <t>MASSA DE RESÍDUOS SÓLIDOS    (TON/ DIA)</t>
  </si>
  <si>
    <t>QUANTIDADE DE VIAJENS ( NV )</t>
  </si>
  <si>
    <t>TV ( H )</t>
  </si>
  <si>
    <t xml:space="preserve">TEMPO NECESSÁRIO P/ PESAGEM E DESCARGA ( H ) </t>
  </si>
  <si>
    <t>VELOCIDADE DE TRANSPORTE ATÉ O LOCAL DE DESCARGA ( KM/H )</t>
  </si>
  <si>
    <t>DISTÂNCIA MÉDIA DO CENTRO GERADOR ATÉ O LOCAL DE DESCARGA ( KM )</t>
  </si>
  <si>
    <t>TEMPO DE VIAGEM PARA DESCARGA ( TV )</t>
  </si>
  <si>
    <t>C (TON)</t>
  </si>
  <si>
    <t>CAPACIDADE REAL (M³)</t>
  </si>
  <si>
    <t>CAPACIDADE NOMINAL ( M³ )</t>
  </si>
  <si>
    <t>ÍNDICE DE COMPACTAÇÃO</t>
  </si>
  <si>
    <t>PESO APARENTE DO LIXO (KG/ M³)</t>
  </si>
  <si>
    <t>CAPACIDADE DE CARGA DO CAMINHÃO ( C )</t>
  </si>
  <si>
    <t>CAPACIDADE DE CARGA DO CAMINHÃO ( T )</t>
  </si>
  <si>
    <t>VELOCIDADE MÉDIA DE COLETA    (KM/H )</t>
  </si>
  <si>
    <t xml:space="preserve">TEMPO NECESSÁRIO PARA PESAGEM E DESCARGA ( H ) </t>
  </si>
  <si>
    <t>DIURNO</t>
  </si>
  <si>
    <t>TOTAL RESÍDUOS COLETA NOTURNO (TON/DIA)
ADOTADO 50% DA QUANTIDADE GERADA POR DIA</t>
  </si>
  <si>
    <t>TOTAL RESÍDUOS COLETA - DIURNO (TON/DIA)      
ADOTADO 50% DA QUANTIDADE GERADA POR DIA</t>
  </si>
  <si>
    <t>TOTAL RESÍDUOS COLETADOS (TON/DIA)</t>
  </si>
  <si>
    <t>DIAS ÚTEIS MÊS</t>
  </si>
  <si>
    <t>TOTAL RESÍDUOS GERADOS MÊS (TON)</t>
  </si>
  <si>
    <t>TOTAL RESÍDUOS GERADOS MÊS (KG)</t>
  </si>
  <si>
    <t>TOTAL RESÍDUOS GERADOS DIA (KG)</t>
  </si>
  <si>
    <t xml:space="preserve">ÍNDICE DE GERAÇÃO DE RESÍDUOS KG/HAB.DIA </t>
  </si>
  <si>
    <t>POPULAÇÃO ATENDIDA</t>
  </si>
  <si>
    <t>POPULAÇÃO ( CENSO  IBGE 2022)</t>
  </si>
  <si>
    <t>MASSA DE RESÍDUOS SÓLIDOS</t>
  </si>
  <si>
    <t>EXTENSÃO DO PERCURSO- NOTURNO (KM/DIA )</t>
  </si>
  <si>
    <t>EXTENSÃO DO PERCURSO- DIURNO (KM/DIA )</t>
  </si>
  <si>
    <t>DIAS TRABALHADOS TRABALHADOS AO MÊS</t>
  </si>
  <si>
    <t>RESUMO</t>
  </si>
  <si>
    <t>EXTENSÃO VIAS (KM)</t>
  </si>
  <si>
    <t>EXTENSÃO PERCORRIDA POR MÊS NOTURNO (KM)</t>
  </si>
  <si>
    <t>EXTENSÃO PERCORRIDA POR MÊS DIURNO (KM)</t>
  </si>
  <si>
    <t>EXTENSÃO DAS VIAS (KM)</t>
  </si>
  <si>
    <t>FREQUENCIA</t>
  </si>
  <si>
    <t>DIMENSIONAMENTO DA COLETA DE RESÍDUOS SÓLIDOS URBANOS</t>
  </si>
  <si>
    <t>MOTORISTA LEVE COLETA</t>
  </si>
  <si>
    <t>ALTERNADO 2X (DIURNO)</t>
  </si>
  <si>
    <t>TOTAL RESÍDUOS SELETIVOS (%)</t>
  </si>
  <si>
    <t>TOTAL RESÍDUOS SELETIVOS GERADOS MÊS (TON)</t>
  </si>
  <si>
    <t>TOTAL RESÍDUOS COLETA - DIURNO (TON/DIA)      
ADOTADO 100% DA QUANTIDADE GERADA POR DIA</t>
  </si>
  <si>
    <t>TOTAL RESÍDUOS GERADOS DIA (TON)</t>
  </si>
  <si>
    <t>TOTAL RESÍDUOS INERTES GERADOS MÊS (TON)</t>
  </si>
  <si>
    <t>Caminhão caçamba basculante de 10 m³</t>
  </si>
  <si>
    <t>Ton / Mês</t>
  </si>
  <si>
    <t>R$ / Ton</t>
  </si>
  <si>
    <t>CAMINHAO BASC 10m3</t>
  </si>
  <si>
    <t xml:space="preserve">CACAMBA METALICA BASCULANTE COM CAPACIDADE DE 10 M3 (INCLUI MONTAGEM, NAO INCLUI CAMINHAO)                                                                                                                                                                                                                                                                                                                                                                                                                </t>
  </si>
  <si>
    <t>DIMENSIONAMENTO DA CAPINA MANUAL</t>
  </si>
  <si>
    <t>VIAS E LOGRADOUROS</t>
  </si>
  <si>
    <t>LARGURA MÉDIA DO CALÇAMENTO (M)</t>
  </si>
  <si>
    <t>ÁREA DE CAPINA (M2)</t>
  </si>
  <si>
    <t>FREQUÊNCIA DE EXECUÇÃO ANUAL</t>
  </si>
  <si>
    <t>EXTENSÃO DAS VIAS SETOR (M)</t>
  </si>
  <si>
    <t>ÁREA DE CAPINA (M2) POR MÊS</t>
  </si>
  <si>
    <t>ÁREA DE CAPINA (M2) POR DIA</t>
  </si>
  <si>
    <t>RENDIMENTO MÉDIO DIÁRIO POR CAPINADOR M2/DIA</t>
  </si>
  <si>
    <t>NÚMERO DE CAPINADORES NECESSÁRIO</t>
  </si>
  <si>
    <t xml:space="preserve">NÚMERO DE CAPINADORES ADOTADO </t>
  </si>
  <si>
    <t>QUANTIDADE DE FISCAIS (1 para cada grupo de 10 capinadores)</t>
  </si>
  <si>
    <t>DIMENSIONAMENTO DA ROÇADA MANUAL</t>
  </si>
  <si>
    <t>ÁREAS PÚBLICAS MUNICIPAIS</t>
  </si>
  <si>
    <t>ÁREA DE ROÇADA (M2)</t>
  </si>
  <si>
    <t>ÁREA DE ROÇADA (M2) POR MÊS</t>
  </si>
  <si>
    <t>ÁREA DE ROÇADA (M2) POR DIA</t>
  </si>
  <si>
    <t>RENDIMENTO MÉDIO DIÁRIO POR ROÇADOR M2/DIA</t>
  </si>
  <si>
    <t>NÚMERO DE ROÇADORES NECESSÁRIO</t>
  </si>
  <si>
    <t xml:space="preserve">NÚMERO DE ROÇADORES ADOTADO </t>
  </si>
  <si>
    <t>VIAS E AVENIDAS</t>
  </si>
  <si>
    <t>LARGURA MÉDIA</t>
  </si>
  <si>
    <t>PRAÇAS E ÁREAS PÚBLICAS</t>
  </si>
  <si>
    <t>RENDIMENTO MÉDIO DIÁRIO POR VARREDOR M2/DIA</t>
  </si>
  <si>
    <t>ÁREA DE VARRIÇÃO (M2)</t>
  </si>
  <si>
    <t>ÁREA DE VARRIÇÃO (M2) POR MÊS</t>
  </si>
  <si>
    <t>ÁREA DE VARRIÇÃO (M2) POR DIA</t>
  </si>
  <si>
    <t xml:space="preserve">NÚMERO DE VARREDORES  ADOTADO </t>
  </si>
  <si>
    <t>QUANTIDADE DE FISCAIS (1 para cada grupo de 20 capinadores)</t>
  </si>
  <si>
    <t>FREQUENCIA DE EXECUÇÃO</t>
  </si>
  <si>
    <t>MENSAL</t>
  </si>
  <si>
    <t>FREQUÊNCIA DE EXECUÇÃO  (2X POR SEMANA)</t>
  </si>
  <si>
    <t>LUTOCAR 240L</t>
  </si>
  <si>
    <t>A CADA 2 MESES</t>
  </si>
  <si>
    <t>PROPORÇÃO RELATIVA À CAPINA</t>
  </si>
  <si>
    <t>PROPORÇÃO RELATIVA À ROÇADA</t>
  </si>
  <si>
    <t>QUANTIDADE DE FISCAIS (1 para cada grupo de 10 roçadores)</t>
  </si>
  <si>
    <t>Coleta Seletiva de Resíduos Reciclaveis</t>
  </si>
  <si>
    <t>DISPOSIÇÃO FINAL</t>
  </si>
  <si>
    <t>DISPOSIÇÃO FINAL DOS RSÍDUOS</t>
  </si>
  <si>
    <t>TON</t>
  </si>
  <si>
    <t>DESTINAÇÃO FINAL RSU</t>
  </si>
  <si>
    <t xml:space="preserve">Coleta, Transporte, Descarga E Disposição Final de Resíduos Sólidos Urbanos </t>
  </si>
  <si>
    <t>4.1</t>
  </si>
  <si>
    <t>DIMENSIONAMENTO DA CAPINA  ELETRICA</t>
  </si>
  <si>
    <t>Capina Eletrica</t>
  </si>
  <si>
    <t>Motosserra</t>
  </si>
  <si>
    <t>Operador de Motosserra</t>
  </si>
  <si>
    <t>CUSTO/LITRO</t>
  </si>
  <si>
    <t>OPERADOR MOTOSSERRA</t>
  </si>
  <si>
    <t>Triturador de Galhos</t>
  </si>
  <si>
    <t>Triturador de Resíduos</t>
  </si>
  <si>
    <t>Triturador de Residuos</t>
  </si>
  <si>
    <t>MOTOSERRA</t>
  </si>
  <si>
    <t>SINAPI - Sistema Nacional de Pesquisa de Custos e Índices da Construção Civil</t>
  </si>
  <si>
    <t>RELATÓRIO DE PREÇOS DE INSUMOS - SEM ENCARGOS SOCIAIS</t>
  </si>
  <si>
    <t>Mês de Referência:</t>
  </si>
  <si>
    <t>Data de emissão: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</si>
  <si>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</si>
  <si>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</si>
  <si>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</si>
  <si>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</si>
  <si>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</si>
  <si>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</si>
  <si>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</si>
  <si>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</si>
  <si>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</si>
  <si>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Unidade</t>
  </si>
  <si>
    <t>Origem de
Preço</t>
  </si>
  <si>
    <t>MG</t>
  </si>
  <si>
    <t>SP</t>
  </si>
  <si>
    <t>ABERTURA PARA ENCAIXE DE CUBA OU LAVATORIO EM BANCADA DE MARMORE/ GRANITO OU OUTRO TIPO DE PEDRA NATURAL</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</si>
  <si>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</si>
  <si>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</si>
  <si>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</si>
  <si>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</si>
  <si>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</si>
  <si>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</si>
  <si>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</si>
  <si>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</si>
  <si>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</si>
  <si>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</si>
  <si>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</si>
  <si>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</si>
  <si>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</si>
  <si>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</si>
  <si>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</si>
  <si>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</si>
  <si>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</si>
  <si>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</si>
  <si>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</si>
  <si>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</si>
  <si>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</si>
  <si>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</si>
  <si>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</si>
  <si>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</si>
  <si>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</si>
  <si>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</si>
  <si>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</si>
  <si>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</si>
  <si>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</si>
  <si>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</si>
  <si>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</si>
  <si>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</si>
  <si>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</si>
  <si>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</si>
  <si>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</si>
  <si>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</si>
  <si>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</si>
  <si>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</si>
  <si>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</si>
  <si>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</si>
  <si>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</si>
  <si>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</si>
  <si>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</si>
  <si>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</si>
  <si>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</si>
  <si>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</si>
  <si>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</si>
  <si>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</si>
  <si>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</si>
  <si>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</si>
  <si>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</si>
  <si>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</si>
  <si>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</si>
  <si>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</si>
  <si>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</si>
  <si>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</si>
  <si>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</si>
  <si>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</si>
  <si>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</si>
  <si>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</si>
  <si>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</si>
  <si>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</si>
  <si>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</si>
  <si>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</si>
  <si>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</si>
  <si>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</si>
  <si>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</si>
  <si>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</si>
  <si>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</si>
  <si>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</si>
  <si>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</si>
  <si>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</si>
  <si>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</si>
  <si>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</si>
  <si>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</si>
  <si>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</si>
  <si>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</si>
  <si>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</si>
  <si>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</si>
  <si>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</si>
  <si>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</si>
  <si>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</si>
  <si>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</si>
  <si>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</si>
  <si>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</si>
  <si>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</si>
  <si>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</si>
  <si>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</si>
  <si>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</si>
  <si>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</si>
  <si>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</si>
  <si>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</si>
  <si>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</si>
  <si>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</si>
  <si>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</si>
  <si>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</si>
  <si>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</si>
  <si>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</si>
  <si>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</si>
  <si>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</si>
  <si>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</si>
  <si>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</si>
  <si>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</si>
  <si>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</si>
  <si>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</si>
  <si>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</si>
  <si>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</si>
  <si>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</si>
  <si>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</si>
  <si>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</si>
  <si>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</si>
  <si>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</si>
  <si>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</si>
  <si>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</si>
  <si>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</si>
  <si>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</si>
  <si>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</si>
  <si>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</si>
  <si>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</si>
  <si>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</si>
  <si>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</si>
  <si>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</si>
  <si>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</si>
  <si>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</si>
  <si>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</si>
  <si>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</si>
  <si>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</si>
  <si>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</si>
  <si>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</si>
  <si>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</si>
  <si>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</si>
  <si>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</si>
  <si>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</si>
  <si>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</si>
  <si>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</si>
  <si>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</si>
  <si>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</si>
  <si>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</si>
  <si>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</si>
  <si>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</si>
  <si>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</si>
  <si>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</si>
  <si>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</si>
  <si>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</si>
  <si>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</si>
  <si>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</si>
  <si>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</si>
  <si>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</si>
  <si>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MAO DE OBRA</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</si>
  <si>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</si>
  <si>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</si>
  <si>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</si>
  <si>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</si>
  <si>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</si>
  <si>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</si>
  <si>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</si>
  <si>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</si>
  <si>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</si>
  <si>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</si>
  <si>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</si>
  <si>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</si>
  <si>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</si>
  <si>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</si>
  <si>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</si>
  <si>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</si>
  <si>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</si>
  <si>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</si>
  <si>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</si>
  <si>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</si>
  <si>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</si>
  <si>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</si>
  <si>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</si>
  <si>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</si>
  <si>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</si>
  <si>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</si>
  <si>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</si>
  <si>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</si>
  <si>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</si>
  <si>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</si>
  <si>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</si>
  <si>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</si>
  <si>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</si>
  <si>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</si>
  <si>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</si>
  <si>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</si>
  <si>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</si>
  <si>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</si>
  <si>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</si>
  <si>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</si>
  <si>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</si>
  <si>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</si>
  <si>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</si>
  <si>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</si>
  <si>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</si>
  <si>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</si>
  <si>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</si>
  <si>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</si>
  <si>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</si>
  <si>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</si>
  <si>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</si>
  <si>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</si>
  <si>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</si>
  <si>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</si>
  <si>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</si>
  <si>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</si>
  <si>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</si>
  <si>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</si>
  <si>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</si>
  <si>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</si>
  <si>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</si>
  <si>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</si>
  <si>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</si>
  <si>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</si>
  <si>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</si>
  <si>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</si>
  <si>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</si>
  <si>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</si>
  <si>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</si>
  <si>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</si>
  <si>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</si>
  <si>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</si>
  <si>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</si>
  <si>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</si>
  <si>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</si>
  <si>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</si>
  <si>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</si>
  <si>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</si>
  <si>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</si>
  <si>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</si>
  <si>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</si>
  <si>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</si>
  <si>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</si>
  <si>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</si>
  <si>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</si>
  <si>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</si>
  <si>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</si>
  <si>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</si>
  <si>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</si>
  <si>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</si>
  <si>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</si>
  <si>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</si>
  <si>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</si>
  <si>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</si>
  <si>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</si>
  <si>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</si>
  <si>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</si>
  <si>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</si>
  <si>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</si>
  <si>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</si>
  <si>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</si>
  <si>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</si>
  <si>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</si>
  <si>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</si>
  <si>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</si>
  <si>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</si>
  <si>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</si>
  <si>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</si>
  <si>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</si>
  <si>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</si>
  <si>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</si>
  <si>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</si>
  <si>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</si>
  <si>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</si>
  <si>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</si>
  <si>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</si>
  <si>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</si>
  <si>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</si>
  <si>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</si>
  <si>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</si>
  <si>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</si>
  <si>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</si>
  <si>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</si>
  <si>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</si>
  <si>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</si>
  <si>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</si>
  <si>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</si>
  <si>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</si>
  <si>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</si>
  <si>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</si>
  <si>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</si>
  <si>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</si>
  <si>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</si>
  <si>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</si>
  <si>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</si>
  <si>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</si>
  <si>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</si>
  <si>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</si>
  <si>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</si>
  <si>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</si>
  <si>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</si>
  <si>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</si>
  <si>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</si>
  <si>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</si>
  <si>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</si>
  <si>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</si>
  <si>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</si>
  <si>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</si>
  <si>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</si>
  <si>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</si>
  <si>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</si>
  <si>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</si>
  <si>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</si>
  <si>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</si>
  <si>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</si>
  <si>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</si>
  <si>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</si>
  <si>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</si>
  <si>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</si>
  <si>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</si>
  <si>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</si>
  <si>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</si>
  <si>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</si>
  <si>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</si>
  <si>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</si>
  <si>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</si>
  <si>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</si>
  <si>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</si>
  <si>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</si>
  <si>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</si>
  <si>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</si>
  <si>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</si>
  <si>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</si>
  <si>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</si>
  <si>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</si>
  <si>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</si>
  <si>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</si>
  <si>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</si>
  <si>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</si>
  <si>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</si>
  <si>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</si>
  <si>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</si>
  <si>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</si>
  <si>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</si>
  <si>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</si>
  <si>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</si>
  <si>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</si>
  <si>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</si>
  <si>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</si>
  <si>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</si>
  <si>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</si>
  <si>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</si>
  <si>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</si>
  <si>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</si>
  <si>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</si>
  <si>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</si>
  <si>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</si>
  <si>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</si>
  <si>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</si>
  <si>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</si>
  <si>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</si>
  <si>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</si>
  <si>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</si>
  <si>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</si>
  <si>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</si>
  <si>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</si>
  <si>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</si>
  <si>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</si>
  <si>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</si>
  <si>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</si>
  <si>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</si>
  <si>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</si>
  <si>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</si>
  <si>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</si>
  <si>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</si>
  <si>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</si>
  <si>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</si>
  <si>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</si>
  <si>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</si>
  <si>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</si>
  <si>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</si>
  <si>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</si>
  <si>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</si>
  <si>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</si>
  <si>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</si>
  <si>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</si>
  <si>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</si>
  <si>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</si>
  <si>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</si>
  <si>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</si>
  <si>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</si>
  <si>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</si>
  <si>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</si>
  <si>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</si>
  <si>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</si>
  <si>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</si>
  <si>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</si>
  <si>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</si>
  <si>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</si>
  <si>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</si>
  <si>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</si>
  <si>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</si>
  <si>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</si>
  <si>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</si>
  <si>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</si>
  <si>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</si>
  <si>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</si>
  <si>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</si>
  <si>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</si>
  <si>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</si>
  <si>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</si>
  <si>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</si>
  <si>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</si>
  <si>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</si>
  <si>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</si>
  <si>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</si>
  <si>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</si>
  <si>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</si>
  <si>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</si>
  <si>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</si>
  <si>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</si>
  <si>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</si>
  <si>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</si>
  <si>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</si>
  <si>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</si>
  <si>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</si>
  <si>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</si>
  <si>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</si>
  <si>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</si>
  <si>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</si>
  <si>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</si>
  <si>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</si>
  <si>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</si>
  <si>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</si>
  <si>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</si>
  <si>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</si>
  <si>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</si>
  <si>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</si>
  <si>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</si>
  <si>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</si>
  <si>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</si>
  <si>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</si>
  <si>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</si>
  <si>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</si>
  <si>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</si>
  <si>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</si>
  <si>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</si>
  <si>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</si>
  <si>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</si>
  <si>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</si>
  <si>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</si>
  <si>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</si>
  <si>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</si>
  <si>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</si>
  <si>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</si>
  <si>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</si>
  <si>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</si>
  <si>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</si>
  <si>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</si>
  <si>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</si>
  <si>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</si>
  <si>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</si>
  <si>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</si>
  <si>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</si>
  <si>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</si>
  <si>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</si>
  <si>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</si>
  <si>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</si>
  <si>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</si>
  <si>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</si>
  <si>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</si>
  <si>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</si>
  <si>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</si>
  <si>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</si>
  <si>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</si>
  <si>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</si>
  <si>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</si>
  <si>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</si>
  <si>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</si>
  <si>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</si>
  <si>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</si>
  <si>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</si>
  <si>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</si>
  <si>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</si>
  <si>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</si>
  <si>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</si>
  <si>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</si>
  <si>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</si>
  <si>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</si>
  <si>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</si>
  <si>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</si>
  <si>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</si>
  <si>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</si>
  <si>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</si>
  <si>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</si>
  <si>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</si>
  <si>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</si>
  <si>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</si>
  <si>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</si>
  <si>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</si>
  <si>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</si>
  <si>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</si>
  <si>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</si>
  <si>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</si>
  <si>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</si>
  <si>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</si>
  <si>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</si>
  <si>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</si>
  <si>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</si>
  <si>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</si>
  <si>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</si>
  <si>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</si>
  <si>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</si>
  <si>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</si>
  <si>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</si>
  <si>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</si>
  <si>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</si>
  <si>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</si>
  <si>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</si>
  <si>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</si>
  <si>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</si>
  <si>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</si>
  <si>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</si>
  <si>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</si>
  <si>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</si>
  <si>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</si>
  <si>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</si>
  <si>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</si>
  <si>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</si>
  <si>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</si>
  <si>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</si>
  <si>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</si>
  <si>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</si>
  <si>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</si>
  <si>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</si>
  <si>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</si>
  <si>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</si>
  <si>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</si>
  <si>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</si>
  <si>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</si>
  <si>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</si>
  <si>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</si>
  <si>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</si>
  <si>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</si>
  <si>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</si>
  <si>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</si>
  <si>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</si>
  <si>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</si>
  <si>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</si>
  <si>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</si>
  <si>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</si>
  <si>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</si>
  <si>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</si>
  <si>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</si>
  <si>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</si>
  <si>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</si>
  <si>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</si>
  <si>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</si>
  <si>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</si>
  <si>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</si>
  <si>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</si>
  <si>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</si>
  <si>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</si>
  <si>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</si>
  <si>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</si>
  <si>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</si>
  <si>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</si>
  <si>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</si>
  <si>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</si>
  <si>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</si>
  <si>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</si>
  <si>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</si>
  <si>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</si>
  <si>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</si>
  <si>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</si>
  <si>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</si>
  <si>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</si>
  <si>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</si>
  <si>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</si>
  <si>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</si>
  <si>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</si>
  <si>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</si>
  <si>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</si>
  <si>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</si>
  <si>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</si>
  <si>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</si>
  <si>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</si>
  <si>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</si>
  <si>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</si>
  <si>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</si>
  <si>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</si>
  <si>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</si>
  <si>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</si>
  <si>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</si>
  <si>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</si>
  <si>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</si>
  <si>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</si>
  <si>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</si>
  <si>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</si>
  <si>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</si>
  <si>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</si>
  <si>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</si>
  <si>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</si>
  <si>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</si>
  <si>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</si>
  <si>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</si>
  <si>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</si>
  <si>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</si>
  <si>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</si>
  <si>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</si>
  <si>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</si>
  <si>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</si>
  <si>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</si>
  <si>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</si>
  <si>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</si>
  <si>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</si>
  <si>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</si>
  <si>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</si>
  <si>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</si>
  <si>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</si>
  <si>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</si>
  <si>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</si>
  <si>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</si>
  <si>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</si>
  <si>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</si>
  <si>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</si>
  <si>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</si>
  <si>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</si>
  <si>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</si>
  <si>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</si>
  <si>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</si>
  <si>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</si>
  <si>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</si>
  <si>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</si>
  <si>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</si>
  <si>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</si>
  <si>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</si>
  <si>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</si>
  <si>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</si>
  <si>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</si>
  <si>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</si>
  <si>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</si>
  <si>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</si>
  <si>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</si>
  <si>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</si>
  <si>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</si>
  <si>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</si>
  <si>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</si>
  <si>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</si>
  <si>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</si>
  <si>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</si>
  <si>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</si>
  <si>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</si>
  <si>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</si>
  <si>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</si>
  <si>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</si>
  <si>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</si>
  <si>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</si>
  <si>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</si>
  <si>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</si>
  <si>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</si>
  <si>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</si>
  <si>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</si>
  <si>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</si>
  <si>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</si>
  <si>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</si>
  <si>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</si>
  <si>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</si>
  <si>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</si>
  <si>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</si>
  <si>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</si>
  <si>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</si>
  <si>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</si>
  <si>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</si>
  <si>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</si>
  <si>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</si>
  <si>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</si>
  <si>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</si>
  <si>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</si>
  <si>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</si>
  <si>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</si>
  <si>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</si>
  <si>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</si>
  <si>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</si>
  <si>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</si>
  <si>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</si>
  <si>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</si>
  <si>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</si>
  <si>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</si>
  <si>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</si>
  <si>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</si>
  <si>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</si>
  <si>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</si>
  <si>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</si>
  <si>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</si>
  <si>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</si>
  <si>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</si>
  <si>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</si>
  <si>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</si>
  <si>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</si>
  <si>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</si>
  <si>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</si>
  <si>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</si>
  <si>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</si>
  <si>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</si>
  <si>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</si>
  <si>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</si>
  <si>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</si>
  <si>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</si>
  <si>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</si>
  <si>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</si>
  <si>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</si>
  <si>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</si>
  <si>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</si>
  <si>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</si>
  <si>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</si>
  <si>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</si>
  <si>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</si>
  <si>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</si>
  <si>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</si>
  <si>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</si>
  <si>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</si>
  <si>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</si>
  <si>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</si>
  <si>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</si>
  <si>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</si>
  <si>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</si>
  <si>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</si>
  <si>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</si>
  <si>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</si>
  <si>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</si>
  <si>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</si>
  <si>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</si>
  <si>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</si>
  <si>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</si>
  <si>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</si>
  <si>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</si>
  <si>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</si>
  <si>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</si>
  <si>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</si>
  <si>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</si>
  <si>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</si>
  <si>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</si>
  <si>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</si>
  <si>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</si>
  <si>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</si>
  <si>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</si>
  <si>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</si>
  <si>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</si>
  <si>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</si>
  <si>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</si>
  <si>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</si>
  <si>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</si>
  <si>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</si>
  <si>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</si>
  <si>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</si>
  <si>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</si>
  <si>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</si>
  <si>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</si>
  <si>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</si>
  <si>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</si>
  <si>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</si>
  <si>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</si>
  <si>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</si>
  <si>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</si>
  <si>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</si>
  <si>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</si>
  <si>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</si>
  <si>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</si>
  <si>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</si>
  <si>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</si>
  <si>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</si>
  <si>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</si>
  <si>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</si>
  <si>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</si>
  <si>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</si>
  <si>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</si>
  <si>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</si>
  <si>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</si>
  <si>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</si>
  <si>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</si>
  <si>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</si>
  <si>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</si>
  <si>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</si>
  <si>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</si>
  <si>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</si>
  <si>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</si>
  <si>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</si>
  <si>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</si>
  <si>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</si>
  <si>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</si>
  <si>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</si>
  <si>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</si>
  <si>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</si>
  <si>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</si>
  <si>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</si>
  <si>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</si>
  <si>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</si>
  <si>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</si>
  <si>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</si>
  <si>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</si>
  <si>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</si>
  <si>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</si>
  <si>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</si>
  <si>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</si>
  <si>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</si>
  <si>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</si>
  <si>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</si>
  <si>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</si>
  <si>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</si>
  <si>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</si>
  <si>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</si>
  <si>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</si>
  <si>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</si>
  <si>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</si>
  <si>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</si>
  <si>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</si>
  <si>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</si>
  <si>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</si>
  <si>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</si>
  <si>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</si>
  <si>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</si>
  <si>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</si>
  <si>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</si>
  <si>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</si>
  <si>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</si>
  <si>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</si>
  <si>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</si>
  <si>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</si>
  <si>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</si>
  <si>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</si>
  <si>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</si>
  <si>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</si>
  <si>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</si>
  <si>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</si>
  <si>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</si>
  <si>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</si>
  <si>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</si>
  <si>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</si>
  <si>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</si>
  <si>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</si>
  <si>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</si>
  <si>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</si>
  <si>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</si>
  <si>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</si>
  <si>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</si>
  <si>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</si>
  <si>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</si>
  <si>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</si>
  <si>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</si>
  <si>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</si>
  <si>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</si>
  <si>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</si>
  <si>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</si>
  <si>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</si>
  <si>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</si>
  <si>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</si>
  <si>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</si>
  <si>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</si>
  <si>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</si>
  <si>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</si>
  <si>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</si>
  <si>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</si>
  <si>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</si>
  <si>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</si>
  <si>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</si>
  <si>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</si>
  <si>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</si>
  <si>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</si>
  <si>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</si>
  <si>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</si>
  <si>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</si>
  <si>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</si>
  <si>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</si>
  <si>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</si>
  <si>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</si>
  <si>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</si>
  <si>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</si>
  <si>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</si>
  <si>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</si>
  <si>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</si>
  <si>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</si>
  <si>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</si>
  <si>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</si>
  <si>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</si>
  <si>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</si>
  <si>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</si>
  <si>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</si>
  <si>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</si>
  <si>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</si>
  <si>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</si>
  <si>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</si>
  <si>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</si>
  <si>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</si>
  <si>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</si>
  <si>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</si>
  <si>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</si>
  <si>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</si>
  <si>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</si>
  <si>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</si>
  <si>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</si>
  <si>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</si>
  <si>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</si>
  <si>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</si>
  <si>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</si>
  <si>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</si>
  <si>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</si>
  <si>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</si>
  <si>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</si>
  <si>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</si>
  <si>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</si>
  <si>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</si>
  <si>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</si>
  <si>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</si>
  <si>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</si>
  <si>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</si>
  <si>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</si>
  <si>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</si>
  <si>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</si>
  <si>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</si>
  <si>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</si>
  <si>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</si>
  <si>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</si>
  <si>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</si>
  <si>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</si>
  <si>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</si>
  <si>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</si>
  <si>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</si>
  <si>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</si>
  <si>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</si>
  <si>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</si>
  <si>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</si>
  <si>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</si>
  <si>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</si>
  <si>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</si>
  <si>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</si>
  <si>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</si>
  <si>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</si>
  <si>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</si>
  <si>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</si>
  <si>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</si>
  <si>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</si>
  <si>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</si>
  <si>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</si>
  <si>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</si>
  <si>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</si>
  <si>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</si>
  <si>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</si>
  <si>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</si>
  <si>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</si>
  <si>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</si>
  <si>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</si>
  <si>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</si>
  <si>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</si>
  <si>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</si>
  <si>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</si>
  <si>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</si>
  <si>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</si>
  <si>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</si>
  <si>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</si>
  <si>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</si>
  <si>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</si>
  <si>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</si>
  <si>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</si>
  <si>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</si>
  <si>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</si>
  <si>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</si>
  <si>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</si>
  <si>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</si>
  <si>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</si>
  <si>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</si>
  <si>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</si>
  <si>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</si>
  <si>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</si>
  <si>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</si>
  <si>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</si>
  <si>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</si>
  <si>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</si>
  <si>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</si>
  <si>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</si>
  <si>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</si>
  <si>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</si>
  <si>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</si>
  <si>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</si>
  <si>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</si>
  <si>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</si>
  <si>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</si>
  <si>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</si>
  <si>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</si>
  <si>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</si>
  <si>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</si>
  <si>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</si>
  <si>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</si>
  <si>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</si>
  <si>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</si>
  <si>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</si>
  <si>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</si>
  <si>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</si>
  <si>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</si>
  <si>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</si>
  <si>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</si>
  <si>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</si>
  <si>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</si>
  <si>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</si>
  <si>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</si>
  <si>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</si>
  <si>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</si>
  <si>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</si>
  <si>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</si>
  <si>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</si>
  <si>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</si>
  <si>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</si>
  <si>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</si>
  <si>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</si>
  <si>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</si>
  <si>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</si>
  <si>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</si>
  <si>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</si>
  <si>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</si>
  <si>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</si>
  <si>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</si>
  <si>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</si>
  <si>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</si>
  <si>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</si>
  <si>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</si>
  <si>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</si>
  <si>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</si>
  <si>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</si>
  <si>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</si>
  <si>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</si>
  <si>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</si>
  <si>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</si>
  <si>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</si>
  <si>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</si>
  <si>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</si>
  <si>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</si>
  <si>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</si>
  <si>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</si>
  <si>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</si>
  <si>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</si>
  <si>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</si>
  <si>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</si>
  <si>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</si>
  <si>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</si>
  <si>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</si>
  <si>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</si>
  <si>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</si>
  <si>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</si>
  <si>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</si>
  <si>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</si>
  <si>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</si>
  <si>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</si>
  <si>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</si>
  <si>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</si>
  <si>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</si>
  <si>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</si>
  <si>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</si>
  <si>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</si>
  <si>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</si>
  <si>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</si>
  <si>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</si>
  <si>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</si>
  <si>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</si>
  <si>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</si>
  <si>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</si>
  <si>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</si>
  <si>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</si>
  <si>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</si>
  <si>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</si>
  <si>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</si>
  <si>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</si>
  <si>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</si>
  <si>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</si>
  <si>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</si>
  <si>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</si>
  <si>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</si>
  <si>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</si>
  <si>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</si>
  <si>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</si>
  <si>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</si>
  <si>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</si>
  <si>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</si>
  <si>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</si>
  <si>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</si>
  <si>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</si>
  <si>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</si>
  <si>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</si>
  <si>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</si>
  <si>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</si>
  <si>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</si>
  <si>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</si>
  <si>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</si>
  <si>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</si>
  <si>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</si>
  <si>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</si>
  <si>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</si>
  <si>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</si>
  <si>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</si>
  <si>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</si>
  <si>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</si>
  <si>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</si>
  <si>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</si>
  <si>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</si>
  <si>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</si>
  <si>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</si>
  <si>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</si>
  <si>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</si>
  <si>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</si>
  <si>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</si>
  <si>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</si>
  <si>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</si>
  <si>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</si>
  <si>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</si>
  <si>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</si>
  <si>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</si>
  <si>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</si>
  <si>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</si>
  <si>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</si>
  <si>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</si>
  <si>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</si>
  <si>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</si>
  <si>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</si>
  <si>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</si>
  <si>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</si>
  <si>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</si>
  <si>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</si>
  <si>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</si>
  <si>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</si>
  <si>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</si>
  <si>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</si>
  <si>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</si>
  <si>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</si>
  <si>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</si>
  <si>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</si>
  <si>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</si>
  <si>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</si>
  <si>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</si>
  <si>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</si>
  <si>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</si>
  <si>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</si>
  <si>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</si>
  <si>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</si>
  <si>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</si>
  <si>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</si>
  <si>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</si>
  <si>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</si>
  <si>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</si>
  <si>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</si>
  <si>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</si>
  <si>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</si>
  <si>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</si>
  <si>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</si>
  <si>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</si>
  <si>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</si>
  <si>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</si>
  <si>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</si>
  <si>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</si>
  <si>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</si>
  <si>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</si>
  <si>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</si>
  <si>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</si>
  <si>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</si>
  <si>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</si>
  <si>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</si>
  <si>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</si>
  <si>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</si>
  <si>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</si>
  <si>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</si>
  <si>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</si>
  <si>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</si>
  <si>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</si>
  <si>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</si>
  <si>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</si>
  <si>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</si>
  <si>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</si>
  <si>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</si>
  <si>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</si>
  <si>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</si>
  <si>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</si>
  <si>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</si>
  <si>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</si>
  <si>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</si>
  <si>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</si>
  <si>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</si>
  <si>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</si>
  <si>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</si>
  <si>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</si>
  <si>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</si>
  <si>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</si>
  <si>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</si>
  <si>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</si>
  <si>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</si>
  <si>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</si>
  <si>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</si>
  <si>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</si>
  <si>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</si>
  <si>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</si>
  <si>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</si>
  <si>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</si>
  <si>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</si>
  <si>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</si>
  <si>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</si>
  <si>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</si>
  <si>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</si>
  <si>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</si>
  <si>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</si>
  <si>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</si>
  <si>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</si>
  <si>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</si>
  <si>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</si>
  <si>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</si>
  <si>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</si>
  <si>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</si>
  <si>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</si>
  <si>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</si>
  <si>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</si>
  <si>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</si>
  <si>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</si>
  <si>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</si>
  <si>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</si>
  <si>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</si>
  <si>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</si>
  <si>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</si>
  <si>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</si>
  <si>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</si>
  <si>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</si>
  <si>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</si>
  <si>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</si>
  <si>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</si>
  <si>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</si>
  <si>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</si>
  <si>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</si>
  <si>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</si>
  <si>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</si>
  <si>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</si>
  <si>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</si>
  <si>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</si>
  <si>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</si>
  <si>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</si>
  <si>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</si>
  <si>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</si>
  <si>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</si>
  <si>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</si>
  <si>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</si>
  <si>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</si>
  <si>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</si>
  <si>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</si>
  <si>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</si>
  <si>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</si>
  <si>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</si>
  <si>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</si>
  <si>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</si>
  <si>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</si>
  <si>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</si>
  <si>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</si>
  <si>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</si>
  <si>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</si>
  <si>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</si>
  <si>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</si>
  <si>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</si>
  <si>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</si>
  <si>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</si>
  <si>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</si>
  <si>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</si>
  <si>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</si>
  <si>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</si>
  <si>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</si>
  <si>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</si>
  <si>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</si>
  <si>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</si>
  <si>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</si>
  <si>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</si>
  <si>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</si>
  <si>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</si>
  <si>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</si>
  <si>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</si>
  <si>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</si>
  <si>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</si>
  <si>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</si>
  <si>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</si>
  <si>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</si>
  <si>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</si>
  <si>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</si>
  <si>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</si>
  <si>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</si>
  <si>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</si>
  <si>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</si>
  <si>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</si>
  <si>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</si>
  <si>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</si>
  <si>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</si>
  <si>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</si>
  <si>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</si>
  <si>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</si>
  <si>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</si>
  <si>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</si>
  <si>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</si>
  <si>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</si>
  <si>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</si>
  <si>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</si>
  <si>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</si>
  <si>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</si>
  <si>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</si>
  <si>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</si>
  <si>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</si>
  <si>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</si>
  <si>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</si>
  <si>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</si>
  <si>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</si>
  <si>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</si>
  <si>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</si>
  <si>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</si>
  <si>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</si>
  <si>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</si>
  <si>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</si>
  <si>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</si>
  <si>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</si>
  <si>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</si>
  <si>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</si>
  <si>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</si>
  <si>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</si>
  <si>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</si>
  <si>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</si>
  <si>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</si>
  <si>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</si>
  <si>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</si>
  <si>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</si>
  <si>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</si>
  <si>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</si>
  <si>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</si>
  <si>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</si>
  <si>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</si>
  <si>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</si>
  <si>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</si>
  <si>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</si>
  <si>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</si>
  <si>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</si>
  <si>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</si>
  <si>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</si>
  <si>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</si>
  <si>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</si>
  <si>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</si>
  <si>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</si>
  <si>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</si>
  <si>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</si>
  <si>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</si>
  <si>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</si>
  <si>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</si>
  <si>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</si>
  <si>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</si>
  <si>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</si>
  <si>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</si>
  <si>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</si>
  <si>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</si>
  <si>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</si>
  <si>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</si>
  <si>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</si>
  <si>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</si>
  <si>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</si>
  <si>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</si>
  <si>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</si>
  <si>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</si>
  <si>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</si>
  <si>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</si>
  <si>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</si>
  <si>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</si>
  <si>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</si>
  <si>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</si>
  <si>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</si>
  <si>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</si>
  <si>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</si>
  <si>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</si>
  <si>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</si>
  <si>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</si>
  <si>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</si>
  <si>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</si>
  <si>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</si>
  <si>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</si>
  <si>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</si>
  <si>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</si>
  <si>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</si>
  <si>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</si>
  <si>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</si>
  <si>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</si>
  <si>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</si>
  <si>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</si>
  <si>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</si>
  <si>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</si>
  <si>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</si>
  <si>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</si>
  <si>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</si>
  <si>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</si>
  <si>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</si>
  <si>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</si>
  <si>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</si>
  <si>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</si>
  <si>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</si>
  <si>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</si>
  <si>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</si>
  <si>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</si>
  <si>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</si>
  <si>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</si>
  <si>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</si>
  <si>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</si>
  <si>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</si>
  <si>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</si>
  <si>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</si>
  <si>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</si>
  <si>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</si>
  <si>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</si>
  <si>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</si>
  <si>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</si>
  <si>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</si>
  <si>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</si>
  <si>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</si>
  <si>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</si>
  <si>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</si>
  <si>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</si>
  <si>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</si>
  <si>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</si>
  <si>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</si>
  <si>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</si>
  <si>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</si>
  <si>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</si>
  <si>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</si>
  <si>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</si>
  <si>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</si>
  <si>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</si>
  <si>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</si>
  <si>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</si>
  <si>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</si>
  <si>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</si>
  <si>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</si>
  <si>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</si>
  <si>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</si>
  <si>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</si>
  <si>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</si>
  <si>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</si>
  <si>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</si>
  <si>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</si>
  <si>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</si>
  <si>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</si>
  <si>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</si>
  <si>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</si>
  <si>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</si>
  <si>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</si>
  <si>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</si>
  <si>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</si>
  <si>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</si>
  <si>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</si>
  <si>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</si>
  <si>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</si>
  <si>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</si>
  <si>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</si>
  <si>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</si>
  <si>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</si>
  <si>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</si>
  <si>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</si>
  <si>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</si>
  <si>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</si>
  <si>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</si>
  <si>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</si>
  <si>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</si>
  <si>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</si>
  <si>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</si>
  <si>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</si>
  <si>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</si>
  <si>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</si>
  <si>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</si>
  <si>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</si>
  <si>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</si>
  <si>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</si>
  <si>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</si>
  <si>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</si>
  <si>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</si>
  <si>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</si>
  <si>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</si>
  <si>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</si>
  <si>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</si>
  <si>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</si>
  <si>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</si>
  <si>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</si>
  <si>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</si>
  <si>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</si>
  <si>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</si>
  <si>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</si>
  <si>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</si>
  <si>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</si>
  <si>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</si>
  <si>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</si>
  <si>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</si>
  <si>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</si>
  <si>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</si>
  <si>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</si>
  <si>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</si>
  <si>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</si>
  <si>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</si>
  <si>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</si>
  <si>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</si>
  <si>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</si>
  <si>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</si>
  <si>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</si>
  <si>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</si>
  <si>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</si>
  <si>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</si>
  <si>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</si>
  <si>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</si>
  <si>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</si>
  <si>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</si>
  <si>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</si>
  <si>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</si>
  <si>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</si>
  <si>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</si>
  <si>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</si>
  <si>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</si>
  <si>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</si>
  <si>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</si>
  <si>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</si>
  <si>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</si>
  <si>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</si>
  <si>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</si>
  <si>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</si>
  <si>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</si>
  <si>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</si>
  <si>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</si>
  <si>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</si>
  <si>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</si>
  <si>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</si>
  <si>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</si>
  <si>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</si>
  <si>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</si>
  <si>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</si>
  <si>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</si>
  <si>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</si>
  <si>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</si>
  <si>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</si>
  <si>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</si>
  <si>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</si>
  <si>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</si>
  <si>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</si>
  <si>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</si>
  <si>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</si>
  <si>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</si>
  <si>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</si>
  <si>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</si>
  <si>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</si>
  <si>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</si>
  <si>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</si>
  <si>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</si>
  <si>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</si>
  <si>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</si>
  <si>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</si>
  <si>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</si>
  <si>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</si>
  <si>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</si>
  <si>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</si>
  <si>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</si>
  <si>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</si>
  <si>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</si>
  <si>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</si>
  <si>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</si>
  <si>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</si>
  <si>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</si>
  <si>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</si>
  <si>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</si>
  <si>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</si>
  <si>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</si>
  <si>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</si>
  <si>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</si>
  <si>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</si>
  <si>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</si>
  <si>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</si>
  <si>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</si>
  <si>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</si>
  <si>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</si>
  <si>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</si>
  <si>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</si>
  <si>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</si>
  <si>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</si>
  <si>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</si>
  <si>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</si>
  <si>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</si>
  <si>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</si>
  <si>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</si>
  <si>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</si>
  <si>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</si>
  <si>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</si>
  <si>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</si>
  <si>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</si>
  <si>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</si>
  <si>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</si>
  <si>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</si>
  <si>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</si>
  <si>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</si>
  <si>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</si>
  <si>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</si>
  <si>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</si>
  <si>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</si>
  <si>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</si>
  <si>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</si>
  <si>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</si>
  <si>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</si>
  <si>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</si>
  <si>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</si>
  <si>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</si>
  <si>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</si>
  <si>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</si>
  <si>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</si>
  <si>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</si>
  <si>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</si>
  <si>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</si>
  <si>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</si>
  <si>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</si>
  <si>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</si>
  <si>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</si>
  <si>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</si>
  <si>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</si>
  <si>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</si>
  <si>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</si>
  <si>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</si>
  <si>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</si>
  <si>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</si>
  <si>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</si>
  <si>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</si>
  <si>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</si>
  <si>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</si>
  <si>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</si>
  <si>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</si>
  <si>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</si>
  <si>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</si>
  <si>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</si>
  <si>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</si>
  <si>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</si>
  <si>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</si>
  <si>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</si>
  <si>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</si>
  <si>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</si>
  <si>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</si>
  <si>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</si>
  <si>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</si>
  <si>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</si>
  <si>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</si>
  <si>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</si>
  <si>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</si>
  <si>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</si>
  <si>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</si>
  <si>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</si>
  <si>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</si>
  <si>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</si>
  <si>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</si>
  <si>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</si>
  <si>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</si>
  <si>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</si>
  <si>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</si>
  <si>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</si>
  <si>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</si>
  <si>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</si>
  <si>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</si>
  <si>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</si>
  <si>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</si>
  <si>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</si>
  <si>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</si>
  <si>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</si>
  <si>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</si>
  <si>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</si>
  <si>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</si>
  <si>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</si>
  <si>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</si>
  <si>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</si>
  <si>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</si>
  <si>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</si>
  <si>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</si>
  <si>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</si>
  <si>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</si>
  <si>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</si>
  <si>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</si>
  <si>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</si>
  <si>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</si>
  <si>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</si>
  <si>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</si>
  <si>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</si>
  <si>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</si>
  <si>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</si>
  <si>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</si>
  <si>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</si>
  <si>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</si>
  <si>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</si>
  <si>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</si>
  <si>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</si>
  <si>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</si>
  <si>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</si>
  <si>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</si>
  <si>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</si>
  <si>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</si>
  <si>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</si>
  <si>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</si>
  <si>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</si>
  <si>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</si>
  <si>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</si>
  <si>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</si>
  <si>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</si>
  <si>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</si>
  <si>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</si>
  <si>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</si>
  <si>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</si>
  <si>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</si>
  <si>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</si>
  <si>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</si>
  <si>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</si>
  <si>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</si>
  <si>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</si>
  <si>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</si>
  <si>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</si>
  <si>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</si>
  <si>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</si>
  <si>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</si>
  <si>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</si>
  <si>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</si>
  <si>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</si>
  <si>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</si>
  <si>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</si>
  <si>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</si>
  <si>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</si>
  <si>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</si>
  <si>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</si>
  <si>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</si>
  <si>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</si>
  <si>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</si>
  <si>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</si>
  <si>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</si>
  <si>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</si>
  <si>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</si>
  <si>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</si>
  <si>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</si>
  <si>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</si>
  <si>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</si>
  <si>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</si>
  <si>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</si>
  <si>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</si>
  <si>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</si>
  <si>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</si>
  <si>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</si>
  <si>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</si>
  <si>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</si>
  <si>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</si>
  <si>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</si>
  <si>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</si>
  <si>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</si>
  <si>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</si>
  <si>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</si>
  <si>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</si>
  <si>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</si>
  <si>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</si>
  <si>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</si>
  <si>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</si>
  <si>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</si>
  <si>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</si>
  <si>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</si>
  <si>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</si>
  <si>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</si>
  <si>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</si>
  <si>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</si>
  <si>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</si>
  <si>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</si>
  <si>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</si>
  <si>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</si>
  <si>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</si>
  <si>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</si>
  <si>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</si>
  <si>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</si>
  <si>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</si>
  <si>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</si>
  <si>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</si>
  <si>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</si>
  <si>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</si>
  <si>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</si>
  <si>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</si>
  <si>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</si>
  <si>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</si>
  <si>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</si>
  <si>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</si>
  <si>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</si>
  <si>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</si>
  <si>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</si>
  <si>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</si>
  <si>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</si>
  <si>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</si>
  <si>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</si>
  <si>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</si>
  <si>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</si>
  <si>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</si>
  <si>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</si>
  <si>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</si>
  <si>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</si>
  <si>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</si>
  <si>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</si>
  <si>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</si>
  <si>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</si>
  <si>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</si>
  <si>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</si>
  <si>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</si>
  <si>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</si>
  <si>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</si>
  <si>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</si>
  <si>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</si>
  <si>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</si>
  <si>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</si>
  <si>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</si>
  <si>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</si>
  <si>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</si>
  <si>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</si>
  <si>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</si>
  <si>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</si>
  <si>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</si>
  <si>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</si>
  <si>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</si>
  <si>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</si>
  <si>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</si>
  <si>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</si>
  <si>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</si>
  <si>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</si>
  <si>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</si>
  <si>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</si>
  <si>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</si>
  <si>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</si>
  <si>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</si>
  <si>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</si>
  <si>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</si>
  <si>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</si>
  <si>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</si>
  <si>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</si>
  <si>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</si>
  <si>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</si>
  <si>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</si>
  <si>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</si>
  <si>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</si>
  <si>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</si>
  <si>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</si>
  <si>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</si>
  <si>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</si>
  <si>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</si>
  <si>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</si>
  <si>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</si>
  <si>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</si>
  <si>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</si>
  <si>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</si>
  <si>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</si>
  <si>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</si>
  <si>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</si>
  <si>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</si>
  <si>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</si>
  <si>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</si>
  <si>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</si>
  <si>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</si>
  <si>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</si>
  <si>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</si>
  <si>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</si>
  <si>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</si>
  <si>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</si>
  <si>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</si>
  <si>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</si>
  <si>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</si>
  <si>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</si>
  <si>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</si>
  <si>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</si>
  <si>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</si>
  <si>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</si>
  <si>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</si>
  <si>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</si>
  <si>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</si>
  <si>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</si>
  <si>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</si>
  <si>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</si>
  <si>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</si>
  <si>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</si>
  <si>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</si>
  <si>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</si>
  <si>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</si>
  <si>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</si>
  <si>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</si>
  <si>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</si>
  <si>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</si>
  <si>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</si>
  <si>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</si>
  <si>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</si>
  <si>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</si>
  <si>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</si>
  <si>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</si>
  <si>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</si>
  <si>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</si>
  <si>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</si>
  <si>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</si>
  <si>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</si>
  <si>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</si>
  <si>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</si>
  <si>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</si>
  <si>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</si>
  <si>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</si>
  <si>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</si>
  <si>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</si>
  <si>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</si>
  <si>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</si>
  <si>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</si>
  <si>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</si>
  <si>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</si>
  <si>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</si>
  <si>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</si>
  <si>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</si>
  <si>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</si>
  <si>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</si>
  <si>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</si>
  <si>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</si>
  <si>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</si>
  <si>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</si>
  <si>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</si>
  <si>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</si>
  <si>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</si>
  <si>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</si>
  <si>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</si>
  <si>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</si>
  <si>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</si>
  <si>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</si>
  <si>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</si>
  <si>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</si>
  <si>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</si>
  <si>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</si>
  <si>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</si>
  <si>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</si>
  <si>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</si>
  <si>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</si>
  <si>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</si>
  <si>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</si>
  <si>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</si>
  <si>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</si>
  <si>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</si>
  <si>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</si>
  <si>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</si>
  <si>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</si>
  <si>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</si>
  <si>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</si>
  <si>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</si>
  <si>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</si>
  <si>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</si>
  <si>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</si>
  <si>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</si>
  <si>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</si>
  <si>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</si>
  <si>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</si>
  <si>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</si>
  <si>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</si>
  <si>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</si>
  <si>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</si>
  <si>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</si>
  <si>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</si>
  <si>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</si>
  <si>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</si>
  <si>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</si>
  <si>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</si>
  <si>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</si>
  <si>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</si>
  <si>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</si>
  <si>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</si>
  <si>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</si>
  <si>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</si>
  <si>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</si>
  <si>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</si>
  <si>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</si>
  <si>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</si>
  <si>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</si>
  <si>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</si>
  <si>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</si>
  <si>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</si>
  <si>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</si>
  <si>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</si>
  <si>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</si>
  <si>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</si>
  <si>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</si>
  <si>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</si>
  <si>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</si>
  <si>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</si>
  <si>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</si>
  <si>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</si>
  <si>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</si>
  <si>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</si>
  <si>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</si>
  <si>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</si>
  <si>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</si>
  <si>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</si>
  <si>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</si>
  <si>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</si>
  <si>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</si>
  <si>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</si>
  <si>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</si>
  <si>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</si>
  <si>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</si>
  <si>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</si>
  <si>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</si>
  <si>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</si>
  <si>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</si>
  <si>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</si>
  <si>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</si>
  <si>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</si>
  <si>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</si>
  <si>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</si>
  <si>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</si>
  <si>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</si>
  <si>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</si>
  <si>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</si>
  <si>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</si>
  <si>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</si>
  <si>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</si>
  <si>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</si>
  <si>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</si>
  <si>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</si>
  <si>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</si>
  <si>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</si>
  <si>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</si>
  <si>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</si>
  <si>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</si>
  <si>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</si>
  <si>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</si>
  <si>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</si>
  <si>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</si>
  <si>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</si>
  <si>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</si>
  <si>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</si>
  <si>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</si>
  <si>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</si>
  <si>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</si>
  <si>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</si>
  <si>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</si>
  <si>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</si>
  <si>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</si>
  <si>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</si>
  <si>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</si>
  <si>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</si>
  <si>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</si>
  <si>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</si>
  <si>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</si>
  <si>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</si>
  <si>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</si>
  <si>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</si>
  <si>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</si>
  <si>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</si>
  <si>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</si>
  <si>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</si>
  <si>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</si>
  <si>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</si>
  <si>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</si>
  <si>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</si>
  <si>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</si>
  <si>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</si>
  <si>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</si>
  <si>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</si>
  <si>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</si>
  <si>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</si>
  <si>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</si>
  <si>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</si>
  <si>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</si>
  <si>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</si>
  <si>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</si>
  <si>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</si>
  <si>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</si>
  <si>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</si>
  <si>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</si>
  <si>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</si>
  <si>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</si>
  <si>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</si>
  <si>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</si>
  <si>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</si>
  <si>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</si>
  <si>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</si>
  <si>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</si>
  <si>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</si>
  <si>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</si>
  <si>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</si>
  <si>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</si>
  <si>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</si>
  <si>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</si>
  <si>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</si>
  <si>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</si>
  <si>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</si>
  <si>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</si>
  <si>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</si>
  <si>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</si>
  <si>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</si>
  <si>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</si>
  <si>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</si>
  <si>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</si>
  <si>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</si>
  <si>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</si>
  <si>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</si>
  <si>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</si>
  <si>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</si>
  <si>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</si>
  <si>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</si>
  <si>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</si>
  <si>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</si>
  <si>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</si>
  <si>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</si>
  <si>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</si>
  <si>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</si>
  <si>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</si>
  <si>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</si>
  <si>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</si>
  <si>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</si>
  <si>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</si>
  <si>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</si>
  <si>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</si>
  <si>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</si>
  <si>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</si>
  <si>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</si>
  <si>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</si>
  <si>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</si>
  <si>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</si>
  <si>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</si>
  <si>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</si>
  <si>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</si>
  <si>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</si>
  <si>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</si>
  <si>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</si>
  <si>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</si>
  <si>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</si>
  <si>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</si>
  <si>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</si>
  <si>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</si>
  <si>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</si>
  <si>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</si>
  <si>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</si>
  <si>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</si>
  <si>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</si>
  <si>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</si>
  <si>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</si>
  <si>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</si>
  <si>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</si>
  <si>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</si>
  <si>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</si>
  <si>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</si>
  <si>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</si>
  <si>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</si>
  <si>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</si>
  <si>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</si>
  <si>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</si>
  <si>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</si>
  <si>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</si>
  <si>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</si>
  <si>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</si>
  <si>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</si>
  <si>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</si>
  <si>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</si>
  <si>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</si>
  <si>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</si>
  <si>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</si>
  <si>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</si>
  <si>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</si>
  <si>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</si>
  <si>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</si>
  <si>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</si>
  <si>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</si>
  <si>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</si>
  <si>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</si>
  <si>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</si>
  <si>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</si>
  <si>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</si>
  <si>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</si>
  <si>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</si>
  <si>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</si>
  <si>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</si>
  <si>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</si>
  <si>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</si>
  <si>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</si>
  <si>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</si>
  <si>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</si>
  <si>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</si>
  <si>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</si>
  <si>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</si>
  <si>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</si>
  <si>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</si>
  <si>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</si>
  <si>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</si>
  <si>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</si>
  <si>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</si>
  <si>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</si>
  <si>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</si>
  <si>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</si>
  <si>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</si>
  <si>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</si>
  <si>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</si>
  <si>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</si>
  <si>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</si>
  <si>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</si>
  <si>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</si>
  <si>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</si>
  <si>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</si>
  <si>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</si>
  <si>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</si>
  <si>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</si>
  <si>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</si>
  <si>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</si>
  <si>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</si>
  <si>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</si>
  <si>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</si>
  <si>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</si>
  <si>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</si>
  <si>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</si>
  <si>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</si>
  <si>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</si>
  <si>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</si>
  <si>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</si>
  <si>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</si>
  <si>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</si>
  <si>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</si>
  <si>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</si>
  <si>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</si>
  <si>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</si>
  <si>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</si>
  <si>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</si>
  <si>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</si>
  <si>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</si>
  <si>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</si>
  <si>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</si>
  <si>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</si>
  <si>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</si>
  <si>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</si>
  <si>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</si>
  <si>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</si>
  <si>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</si>
  <si>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</si>
  <si>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</si>
  <si>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</si>
  <si>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</si>
  <si>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</si>
  <si>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</si>
  <si>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</si>
  <si>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</si>
  <si>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</si>
  <si>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</si>
  <si>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</si>
  <si>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</si>
  <si>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</si>
  <si>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</si>
  <si>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</si>
  <si>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</si>
  <si>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</si>
  <si>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</si>
  <si>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</si>
  <si>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</si>
  <si>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</si>
  <si>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</si>
  <si>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</si>
  <si>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</si>
  <si>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</si>
  <si>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</si>
  <si>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</si>
  <si>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</si>
  <si>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</si>
  <si>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</si>
  <si>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</si>
  <si>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</si>
  <si>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</si>
  <si>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</si>
  <si>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</si>
  <si>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</si>
  <si>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</si>
  <si>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</si>
  <si>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</si>
  <si>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</si>
  <si>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</si>
  <si>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</si>
  <si>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</si>
  <si>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</si>
  <si>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</si>
  <si>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</si>
  <si>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</si>
  <si>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</si>
  <si>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</si>
  <si>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</si>
  <si>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</si>
  <si>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</si>
  <si>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</si>
  <si>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</si>
  <si>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</si>
  <si>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</si>
  <si>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</si>
  <si>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</si>
  <si>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</si>
  <si>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</si>
  <si>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</si>
  <si>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</si>
  <si>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</si>
  <si>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</si>
  <si>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</si>
  <si>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</si>
  <si>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</si>
  <si>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</si>
  <si>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</si>
  <si>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</si>
  <si>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</si>
  <si>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</si>
  <si>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</si>
  <si>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</si>
  <si>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</si>
  <si>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</si>
  <si>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</si>
  <si>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</si>
  <si>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</si>
  <si>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</si>
  <si>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</si>
  <si>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</si>
  <si>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</si>
  <si>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</si>
  <si>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</si>
  <si>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</si>
  <si>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</si>
  <si>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</si>
  <si>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</si>
  <si>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</si>
  <si>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</si>
  <si>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</si>
  <si>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</si>
  <si>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</si>
  <si>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</si>
  <si>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</si>
  <si>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</si>
  <si>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</si>
  <si>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</si>
  <si>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</si>
  <si>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</si>
  <si>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</si>
  <si>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</si>
  <si>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</si>
  <si>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</si>
  <si>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</si>
  <si>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</si>
  <si>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</si>
  <si>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</si>
  <si>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</si>
  <si>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</si>
  <si>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</si>
  <si>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</si>
  <si>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</si>
  <si>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</si>
  <si>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</si>
  <si>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</si>
  <si>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</si>
  <si>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</si>
  <si>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</si>
  <si>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</si>
  <si>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</si>
  <si>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</si>
  <si>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</si>
  <si>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</si>
  <si>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</si>
  <si>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</si>
  <si>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</si>
  <si>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</si>
  <si>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</si>
  <si>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</si>
  <si>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</si>
  <si>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</si>
  <si>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</si>
  <si>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</si>
  <si>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</si>
  <si>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</si>
  <si>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</si>
  <si>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</si>
  <si>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</si>
  <si>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</si>
  <si>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</si>
  <si>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</si>
  <si>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</si>
  <si>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</si>
  <si>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</si>
  <si>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</si>
  <si>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</si>
  <si>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</si>
  <si>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</si>
  <si>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</si>
  <si>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</si>
  <si>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</si>
  <si>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</si>
  <si>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</si>
  <si>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</si>
  <si>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</si>
  <si>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</si>
  <si>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</si>
  <si>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</si>
  <si>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</si>
  <si>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</si>
  <si>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</si>
  <si>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</si>
  <si>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</si>
  <si>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</si>
  <si>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</si>
  <si>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</si>
  <si>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</si>
  <si>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</si>
  <si>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</si>
  <si>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</si>
  <si>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</si>
  <si>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</si>
  <si>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</si>
  <si>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</si>
  <si>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</si>
  <si>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</si>
  <si>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</si>
  <si>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</si>
  <si>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</si>
  <si>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</si>
  <si>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</si>
  <si>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</si>
  <si>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</si>
  <si>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</si>
  <si>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</si>
  <si>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</si>
  <si>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</si>
  <si>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</si>
  <si>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</si>
  <si>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</si>
  <si>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</si>
  <si>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</si>
  <si>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</si>
  <si>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</si>
  <si>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</si>
  <si>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</si>
  <si>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</si>
  <si>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</si>
  <si>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</si>
  <si>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</si>
  <si>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</si>
  <si>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</si>
  <si>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</si>
  <si>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</si>
  <si>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</si>
  <si>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</si>
  <si>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</si>
  <si>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</si>
  <si>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</si>
  <si>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</si>
  <si>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</si>
  <si>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</si>
  <si>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</si>
  <si>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</si>
  <si>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</si>
  <si>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</si>
  <si>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</si>
  <si>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</si>
  <si>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</si>
  <si>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</si>
  <si>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</si>
  <si>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</si>
  <si>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</si>
  <si>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</si>
  <si>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</si>
  <si>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</si>
  <si>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</si>
  <si>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</si>
  <si>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</si>
  <si>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</si>
  <si>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</si>
  <si>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</si>
  <si>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</si>
  <si>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</si>
  <si>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</si>
  <si>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</si>
  <si>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</si>
  <si>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</si>
  <si>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</si>
  <si>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</si>
  <si>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</si>
  <si>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</si>
  <si>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</si>
  <si>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</si>
  <si>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</si>
  <si>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</si>
  <si>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</si>
  <si>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</si>
  <si>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</si>
  <si>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</si>
  <si>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</si>
  <si>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</si>
  <si>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</si>
  <si>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</si>
  <si>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</si>
  <si>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</si>
  <si>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</si>
  <si>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</si>
  <si>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</si>
  <si>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</si>
  <si>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</si>
  <si>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</si>
  <si>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</si>
  <si>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</si>
  <si>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</si>
  <si>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</si>
  <si>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</si>
  <si>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</si>
  <si>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</si>
  <si>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</si>
  <si>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</si>
  <si>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</si>
  <si>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</si>
  <si>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</si>
  <si>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</si>
  <si>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</si>
  <si>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</si>
  <si>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</si>
  <si>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</si>
  <si>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</si>
  <si>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</si>
  <si>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</si>
  <si>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</si>
  <si>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</si>
  <si>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</si>
  <si>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</si>
  <si>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</si>
  <si>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</si>
  <si>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</si>
  <si>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</si>
  <si>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</si>
  <si>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</si>
  <si>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</si>
  <si>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</si>
  <si>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</si>
  <si>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</si>
  <si>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</si>
  <si>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</si>
  <si>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</si>
  <si>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</si>
  <si>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</si>
  <si>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</si>
  <si>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</si>
  <si>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</si>
  <si>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</si>
  <si>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</si>
  <si>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</si>
  <si>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</si>
  <si>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</si>
  <si>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</si>
  <si>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</si>
  <si>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</si>
  <si>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</si>
  <si>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</si>
  <si>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</si>
  <si>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</si>
  <si>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</si>
  <si>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</si>
  <si>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</si>
  <si>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</si>
  <si>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</si>
  <si>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</si>
  <si>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</si>
  <si>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</si>
  <si>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</si>
  <si>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</si>
  <si>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</si>
  <si>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</si>
  <si>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</si>
  <si>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</si>
  <si>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</si>
  <si>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</si>
  <si>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</si>
  <si>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</si>
  <si>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</si>
  <si>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</si>
  <si>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</si>
  <si>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</si>
  <si>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</si>
  <si>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</si>
  <si>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</si>
  <si>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</si>
  <si>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</si>
  <si>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</si>
  <si>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</si>
  <si>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</si>
  <si>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</si>
  <si>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</si>
  <si>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</si>
  <si>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</si>
  <si>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</si>
  <si>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</si>
  <si>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</si>
  <si>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</si>
  <si>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</si>
  <si>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</si>
  <si>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</si>
  <si>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</si>
  <si>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</si>
  <si>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</si>
  <si>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</si>
  <si>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</si>
  <si>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</si>
  <si>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</si>
  <si>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</si>
  <si>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</si>
  <si>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</si>
  <si>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</si>
  <si>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</si>
  <si>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</si>
  <si>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</si>
  <si>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</si>
  <si>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</si>
  <si>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</si>
  <si>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</si>
  <si>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</si>
  <si>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</si>
  <si>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</si>
  <si>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</si>
  <si>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</si>
  <si>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</si>
  <si>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</si>
  <si>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</si>
  <si>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</si>
  <si>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</si>
  <si>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</si>
  <si>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</si>
  <si>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</si>
  <si>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</si>
  <si>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</si>
  <si>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</si>
  <si>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</si>
  <si>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</si>
  <si>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</si>
  <si>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</si>
  <si>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</si>
  <si>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</si>
  <si>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</si>
  <si>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</si>
  <si>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</si>
  <si>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</si>
  <si>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</si>
  <si>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</si>
  <si>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</si>
  <si>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</si>
  <si>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</si>
  <si>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</si>
  <si>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</si>
  <si>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</si>
  <si>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</si>
  <si>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</si>
  <si>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</si>
  <si>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</si>
  <si>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</si>
  <si>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</si>
  <si>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</si>
  <si>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</si>
  <si>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</si>
  <si>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</si>
  <si>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</si>
  <si>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</si>
  <si>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</si>
  <si>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</si>
  <si>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</si>
  <si>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</si>
  <si>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</si>
  <si>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</si>
  <si>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</si>
  <si>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</si>
  <si>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</si>
  <si>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</si>
  <si>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</si>
  <si>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</si>
  <si>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</si>
  <si>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</si>
  <si>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</si>
  <si>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</si>
  <si>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</si>
  <si>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</si>
  <si>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</si>
  <si>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</si>
  <si>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</si>
  <si>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</si>
  <si>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</si>
  <si>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</si>
  <si>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</si>
  <si>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</si>
  <si>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</si>
  <si>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</si>
  <si>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</si>
  <si>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</si>
  <si>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</si>
  <si>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</si>
  <si>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</si>
  <si>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</si>
  <si>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</si>
  <si>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</si>
  <si>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</si>
  <si>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</si>
  <si>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</si>
  <si>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</si>
  <si>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</si>
  <si>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</si>
  <si>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</si>
  <si>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</si>
  <si>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</si>
  <si>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</si>
  <si>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</si>
  <si>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</si>
  <si>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</si>
  <si>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</si>
  <si>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</si>
  <si>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</si>
  <si>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</si>
  <si>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</si>
  <si>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</si>
  <si>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</si>
  <si>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</si>
  <si>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</si>
  <si>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</si>
  <si>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</si>
  <si>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</si>
  <si>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</si>
  <si>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</si>
  <si>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</si>
  <si>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</si>
  <si>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</si>
  <si>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</si>
  <si>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</si>
  <si>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</si>
  <si>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</si>
  <si>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</si>
  <si>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</si>
  <si>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</si>
  <si>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</si>
  <si>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</si>
  <si>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</si>
  <si>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</si>
  <si>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</si>
  <si>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</si>
  <si>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</si>
  <si>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</si>
  <si>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</si>
  <si>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</si>
  <si>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</si>
  <si>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</si>
  <si>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</si>
  <si>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</si>
  <si>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</si>
  <si>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</si>
  <si>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</si>
  <si>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</si>
  <si>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</si>
  <si>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</si>
  <si>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</si>
  <si>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</si>
  <si>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</si>
  <si>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</si>
  <si>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</si>
  <si>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</si>
  <si>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</si>
  <si>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</si>
  <si>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</si>
  <si>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</si>
  <si>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</si>
  <si>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</si>
  <si>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</si>
  <si>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</si>
  <si>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</si>
  <si>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</si>
  <si>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</si>
  <si>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</si>
  <si>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</si>
  <si>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</si>
  <si>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</si>
  <si>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</si>
  <si>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</si>
  <si>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</si>
  <si>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</si>
  <si>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</si>
  <si>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</si>
  <si>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</si>
  <si>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</si>
  <si>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</si>
  <si>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</si>
  <si>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</si>
  <si>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</si>
  <si>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</si>
  <si>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</si>
  <si>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</si>
  <si>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</si>
  <si>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</si>
  <si>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</si>
  <si>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</si>
  <si>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</si>
  <si>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</si>
  <si>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</si>
  <si>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</si>
  <si>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</si>
  <si>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</si>
  <si>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</si>
  <si>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</si>
  <si>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</si>
  <si>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</si>
  <si>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</si>
  <si>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</si>
  <si>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</si>
  <si>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</si>
  <si>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</si>
  <si>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</si>
  <si>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</si>
  <si>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</si>
  <si>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</si>
  <si>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</si>
  <si>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</si>
  <si>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</si>
  <si>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</si>
  <si>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</si>
  <si>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</si>
  <si>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</si>
  <si>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</si>
  <si>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</si>
  <si>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</si>
  <si>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</si>
  <si>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</si>
  <si>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</si>
  <si>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</si>
  <si>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</si>
  <si>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</si>
  <si>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</si>
  <si>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</si>
  <si>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</si>
  <si>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</si>
  <si>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</si>
  <si>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</si>
  <si>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</si>
  <si>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</si>
  <si>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</si>
  <si>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</si>
  <si>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</si>
  <si>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</si>
  <si>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</si>
  <si>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</si>
  <si>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</si>
  <si>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</si>
  <si>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</si>
  <si>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</si>
  <si>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</si>
  <si>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</si>
  <si>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</si>
  <si>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</si>
  <si>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</si>
  <si>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</si>
  <si>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</si>
  <si>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</si>
  <si>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</si>
  <si>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</si>
  <si>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</si>
  <si>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</si>
  <si>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</si>
  <si>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</si>
  <si>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</si>
  <si>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</si>
  <si>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</si>
  <si>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</si>
  <si>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</si>
  <si>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</si>
  <si>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</si>
  <si>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</si>
  <si>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</si>
  <si>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</si>
  <si>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</si>
  <si>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</si>
  <si>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</si>
  <si>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</si>
  <si>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</si>
  <si>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</si>
  <si>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</si>
  <si>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</si>
  <si>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</si>
  <si>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</si>
  <si>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</si>
  <si>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</si>
  <si>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</si>
  <si>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</si>
  <si>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</si>
  <si>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</si>
  <si>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</si>
  <si>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</si>
  <si>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</si>
  <si>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</si>
  <si>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</si>
  <si>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</si>
  <si>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</si>
  <si>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</si>
  <si>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</si>
  <si>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</si>
  <si>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</si>
  <si>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</si>
  <si>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</si>
  <si>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</si>
  <si>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</si>
  <si>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</si>
  <si>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</si>
  <si>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</si>
  <si>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</si>
  <si>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</si>
  <si>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</si>
  <si>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</si>
  <si>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</si>
  <si>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</si>
  <si>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</si>
  <si>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</si>
  <si>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</si>
  <si>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</si>
  <si>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</si>
  <si>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</si>
  <si>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</si>
  <si>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</si>
  <si>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</si>
  <si>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</si>
  <si>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</si>
  <si>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</si>
  <si>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</si>
  <si>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</si>
  <si>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</si>
  <si>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</si>
  <si>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</si>
  <si>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</si>
  <si>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</si>
  <si>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</si>
  <si>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</si>
  <si>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</si>
  <si>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</si>
  <si>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</si>
  <si>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</si>
  <si>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</si>
  <si>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</si>
  <si>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</si>
  <si>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</si>
  <si>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</si>
  <si>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</si>
  <si>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</si>
  <si>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</si>
  <si>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</si>
  <si>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</si>
  <si>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</si>
  <si>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</si>
  <si>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</si>
  <si>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</si>
  <si>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</si>
  <si>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</si>
  <si>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</si>
  <si>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</si>
  <si>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</si>
  <si>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</si>
  <si>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</si>
  <si>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</si>
  <si>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</si>
  <si>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</si>
  <si>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</si>
  <si>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</si>
  <si>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</si>
  <si>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</si>
  <si>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</si>
  <si>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</si>
  <si>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</si>
  <si>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</si>
  <si>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</si>
  <si>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</si>
  <si>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</si>
  <si>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</si>
  <si>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</si>
  <si>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</si>
  <si>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</si>
  <si>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</si>
  <si>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</si>
  <si>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*28* KG</t>
  </si>
  <si>
    <t>MARTELO PERFURADOR PNEUMATICO MANUAL, HASTE 19 X 108 MM, *11* KG</t>
  </si>
  <si>
    <t>MARTELO PERFURADOR PNEUMATICO MANUAL, PESO DE 25 KG, COM SILENCIADOR</t>
  </si>
  <si>
    <t>MARTELO ROMPEDOR PNEUMATICO MANUAL, HASTE 22 X 82,5 MM, 10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</si>
  <si>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</si>
  <si>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</si>
  <si>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</si>
  <si>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</si>
  <si>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</si>
  <si>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</si>
  <si>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</si>
  <si>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</si>
  <si>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</si>
  <si>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</si>
  <si>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</si>
  <si>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</si>
  <si>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</si>
  <si>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</si>
  <si>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</si>
  <si>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</si>
  <si>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</si>
  <si>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</si>
  <si>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</si>
  <si>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</si>
  <si>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</si>
  <si>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</si>
  <si>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</si>
  <si>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</si>
  <si>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</si>
  <si>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</si>
  <si>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</si>
  <si>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</si>
  <si>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</si>
  <si>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</si>
  <si>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</si>
  <si>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</si>
  <si>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</si>
  <si>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</si>
  <si>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</si>
  <si>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</si>
  <si>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</si>
  <si>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</si>
  <si>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</si>
  <si>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</si>
  <si>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</si>
  <si>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</si>
  <si>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</si>
  <si>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</si>
  <si>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</si>
  <si>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</si>
  <si>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</si>
  <si>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</si>
  <si>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</si>
  <si>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</si>
  <si>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</si>
  <si>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</si>
  <si>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</si>
  <si>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</si>
  <si>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</si>
  <si>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</si>
  <si>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</si>
  <si>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</si>
  <si>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</si>
  <si>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</si>
  <si>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</si>
  <si>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</si>
  <si>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</si>
  <si>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</si>
  <si>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</si>
  <si>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</si>
  <si>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</si>
  <si>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</si>
  <si>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</si>
  <si>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</si>
  <si>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</si>
  <si>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</si>
  <si>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</si>
  <si>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</si>
  <si>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</si>
  <si>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</si>
  <si>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</si>
  <si>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</si>
  <si>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</si>
  <si>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</si>
  <si>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</si>
  <si>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</si>
  <si>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</si>
  <si>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</si>
  <si>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</si>
  <si>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</si>
  <si>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</si>
  <si>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</si>
  <si>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</si>
  <si>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</si>
  <si>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</si>
  <si>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</si>
  <si>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</si>
  <si>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</si>
  <si>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</si>
  <si>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</si>
  <si>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</si>
  <si>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</si>
  <si>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</si>
  <si>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</si>
  <si>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</si>
  <si>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</si>
  <si>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</si>
  <si>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</si>
  <si>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</si>
  <si>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</si>
  <si>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</si>
  <si>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</si>
  <si>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</si>
  <si>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</si>
  <si>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</si>
  <si>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</si>
  <si>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</si>
  <si>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</si>
  <si>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</si>
  <si>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</si>
  <si>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</si>
  <si>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</si>
  <si>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</si>
  <si>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</si>
  <si>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</si>
  <si>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</si>
  <si>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</si>
  <si>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</si>
  <si>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</si>
  <si>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</si>
  <si>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</si>
  <si>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</si>
  <si>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</si>
  <si>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</si>
  <si>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</si>
  <si>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</si>
  <si>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</si>
  <si>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</si>
  <si>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</si>
  <si>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</si>
  <si>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</si>
  <si>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</si>
  <si>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</si>
  <si>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</si>
  <si>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</si>
  <si>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</si>
  <si>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</si>
  <si>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</si>
  <si>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</si>
  <si>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</si>
  <si>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</si>
  <si>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</si>
  <si>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</si>
  <si>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</si>
  <si>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</si>
  <si>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</si>
  <si>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</si>
  <si>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</si>
  <si>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</si>
  <si>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</si>
  <si>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</si>
  <si>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</si>
  <si>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</si>
  <si>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</si>
  <si>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</si>
  <si>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</si>
  <si>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</si>
  <si>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</si>
  <si>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</si>
  <si>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</si>
  <si>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</si>
  <si>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</si>
  <si>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</si>
  <si>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</si>
  <si>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</si>
  <si>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</si>
  <si>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</si>
  <si>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</si>
  <si>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</si>
  <si>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</si>
  <si>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</si>
  <si>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</si>
  <si>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</si>
  <si>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</si>
  <si>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</si>
  <si>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</si>
  <si>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</si>
  <si>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</si>
  <si>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</si>
  <si>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</si>
  <si>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</si>
  <si>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</si>
  <si>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</si>
  <si>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</si>
  <si>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</si>
  <si>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</si>
  <si>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</si>
  <si>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</si>
  <si>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</si>
  <si>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</si>
  <si>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</si>
  <si>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</si>
  <si>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</si>
  <si>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</si>
  <si>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</si>
  <si>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</si>
  <si>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</si>
  <si>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</si>
  <si>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</si>
  <si>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</si>
  <si>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</si>
  <si>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</si>
  <si>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</si>
  <si>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</si>
  <si>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</si>
  <si>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</si>
  <si>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</si>
  <si>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</si>
  <si>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</si>
  <si>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</si>
  <si>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</si>
  <si>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</si>
  <si>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</si>
  <si>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</si>
  <si>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</si>
  <si>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</si>
  <si>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</si>
  <si>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</si>
  <si>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</si>
  <si>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</si>
  <si>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</si>
  <si>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</si>
  <si>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</si>
  <si>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</si>
  <si>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</si>
  <si>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</si>
  <si>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</si>
  <si>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</si>
  <si>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</si>
  <si>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</si>
  <si>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</si>
  <si>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</si>
  <si>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</si>
  <si>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</si>
  <si>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</si>
  <si>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</si>
  <si>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</si>
  <si>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</si>
  <si>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</si>
  <si>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</si>
  <si>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</si>
  <si>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</si>
  <si>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</si>
  <si>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</si>
  <si>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</si>
  <si>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</si>
  <si>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</si>
  <si>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</si>
  <si>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</si>
  <si>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</si>
  <si>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</si>
  <si>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</si>
  <si>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</si>
  <si>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</si>
  <si>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</si>
  <si>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</si>
  <si>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</si>
  <si>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</si>
  <si>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</si>
  <si>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</si>
  <si>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</si>
  <si>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</si>
  <si>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</si>
  <si>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</si>
  <si>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</si>
  <si>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</si>
  <si>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</si>
  <si>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</si>
  <si>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</si>
  <si>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</si>
  <si>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</si>
  <si>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</si>
  <si>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</si>
  <si>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</si>
  <si>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</si>
  <si>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</si>
  <si>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</si>
  <si>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</si>
  <si>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</si>
  <si>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</si>
  <si>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</si>
  <si>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</si>
  <si>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</si>
  <si>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</si>
  <si>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</si>
  <si>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</si>
  <si>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</si>
  <si>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</si>
  <si>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</si>
  <si>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</si>
  <si>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</si>
  <si>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</si>
  <si>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</si>
  <si>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</si>
  <si>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</si>
  <si>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</si>
  <si>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</si>
  <si>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</si>
  <si>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</si>
  <si>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</si>
  <si>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</si>
  <si>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</si>
  <si>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</si>
  <si>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</si>
  <si>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</si>
  <si>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</si>
  <si>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</si>
  <si>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</si>
  <si>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</si>
  <si>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</si>
  <si>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</si>
  <si>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</si>
  <si>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</si>
  <si>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</si>
  <si>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</si>
  <si>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</si>
  <si>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</si>
  <si>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</si>
  <si>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</si>
  <si>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</si>
  <si>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</si>
  <si>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</si>
  <si>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</si>
  <si>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</si>
  <si>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</si>
  <si>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</si>
  <si>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</si>
  <si>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</si>
  <si>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</si>
  <si>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</si>
  <si>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</si>
  <si>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</si>
  <si>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</si>
  <si>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</si>
  <si>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</si>
  <si>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</si>
  <si>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</si>
  <si>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</si>
  <si>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</si>
  <si>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</si>
  <si>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</si>
  <si>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</si>
  <si>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</si>
  <si>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</si>
  <si>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</si>
  <si>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</si>
  <si>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</si>
  <si>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</si>
  <si>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</si>
  <si>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</si>
  <si>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</si>
  <si>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</si>
  <si>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</si>
  <si>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</si>
  <si>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</si>
  <si>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</si>
  <si>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</si>
  <si>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</si>
  <si>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</si>
  <si>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</si>
  <si>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</si>
  <si>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</si>
  <si>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</si>
  <si>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</si>
  <si>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</si>
  <si>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</si>
  <si>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</si>
  <si>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</si>
  <si>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</si>
  <si>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</si>
  <si>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</si>
  <si>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</si>
  <si>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</si>
  <si>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</si>
  <si>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</si>
  <si>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</si>
  <si>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</si>
  <si>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</si>
  <si>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</si>
  <si>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</si>
  <si>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</si>
  <si>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</si>
  <si>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</si>
  <si>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</si>
  <si>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</si>
  <si>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</si>
  <si>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</si>
  <si>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</si>
  <si>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</si>
  <si>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</si>
  <si>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</si>
  <si>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</si>
  <si>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</si>
  <si>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</si>
  <si>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</si>
  <si>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</si>
  <si>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</si>
  <si>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</si>
  <si>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</si>
  <si>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</si>
  <si>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</si>
  <si>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</si>
  <si>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</si>
  <si>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</si>
  <si>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</si>
  <si>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</si>
  <si>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</si>
  <si>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</si>
  <si>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</si>
  <si>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</si>
  <si>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</si>
  <si>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</si>
  <si>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</si>
  <si>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</si>
  <si>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</si>
  <si>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</si>
  <si>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</si>
  <si>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</si>
  <si>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</si>
  <si>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</si>
  <si>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</si>
  <si>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</si>
  <si>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</si>
  <si>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</si>
  <si>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</si>
  <si>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</si>
  <si>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</si>
  <si>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</si>
  <si>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</si>
  <si>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</si>
  <si>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</si>
  <si>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</si>
  <si>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</si>
  <si>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</si>
  <si>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</si>
  <si>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</si>
  <si>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</si>
  <si>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</si>
  <si>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</si>
  <si>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</si>
  <si>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</si>
  <si>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</si>
  <si>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</si>
  <si>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</si>
  <si>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</si>
  <si>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</si>
  <si>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</si>
  <si>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</si>
  <si>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</si>
  <si>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</si>
  <si>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</si>
  <si>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</si>
  <si>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</si>
  <si>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</si>
  <si>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</si>
  <si>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</si>
  <si>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</si>
  <si>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</si>
  <si>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</si>
  <si>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</si>
  <si>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</si>
  <si>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</si>
  <si>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</si>
  <si>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</si>
  <si>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</si>
  <si>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</si>
  <si>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</si>
  <si>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</si>
  <si>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</si>
  <si>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</si>
  <si>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</si>
  <si>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</si>
  <si>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</si>
  <si>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</si>
  <si>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</si>
  <si>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</si>
  <si>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</si>
  <si>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</si>
  <si>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</si>
  <si>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</si>
  <si>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</si>
  <si>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</si>
  <si>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</si>
  <si>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</si>
  <si>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</si>
  <si>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</si>
  <si>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</si>
  <si>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</si>
  <si>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</si>
  <si>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</si>
  <si>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</si>
  <si>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</si>
  <si>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</si>
  <si>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</si>
  <si>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</si>
  <si>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</si>
  <si>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</si>
  <si>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</si>
  <si>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</si>
  <si>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</si>
  <si>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</si>
  <si>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</si>
  <si>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</si>
  <si>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</si>
  <si>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</si>
  <si>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</si>
  <si>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</si>
  <si>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</si>
  <si>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</si>
  <si>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</si>
  <si>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</si>
  <si>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</si>
  <si>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</si>
  <si>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</si>
  <si>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</si>
  <si>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</si>
  <si>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</si>
  <si>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</si>
  <si>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</si>
  <si>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</si>
  <si>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</si>
  <si>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</si>
  <si>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</si>
  <si>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</si>
  <si>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</si>
  <si>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</si>
  <si>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</si>
  <si>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</si>
  <si>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</si>
  <si>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</si>
  <si>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</si>
  <si>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</si>
  <si>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</si>
  <si>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</si>
  <si>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</si>
  <si>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</si>
  <si>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</si>
  <si>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</si>
  <si>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</si>
  <si>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</si>
  <si>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</si>
  <si>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</si>
  <si>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</si>
  <si>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</si>
  <si>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</si>
  <si>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</si>
  <si>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</si>
  <si>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</si>
  <si>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</si>
  <si>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</si>
  <si>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</si>
  <si>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</si>
  <si>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</si>
  <si>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</si>
  <si>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</si>
  <si>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</si>
  <si>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</si>
  <si>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</si>
  <si>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</si>
  <si>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</si>
  <si>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</si>
  <si>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</si>
  <si>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</si>
  <si>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</si>
  <si>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</si>
  <si>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</si>
  <si>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</si>
  <si>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</si>
  <si>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</si>
  <si>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</si>
  <si>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</si>
  <si>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</si>
  <si>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</si>
  <si>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</si>
  <si>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</si>
  <si>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</si>
  <si>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</si>
  <si>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</si>
  <si>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</si>
  <si>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</si>
  <si>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</si>
  <si>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</si>
  <si>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</si>
  <si>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</si>
  <si>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</si>
  <si>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</si>
  <si>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</si>
  <si>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</si>
  <si>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</si>
  <si>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</si>
  <si>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</si>
  <si>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</si>
  <si>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</si>
  <si>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</si>
  <si>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</si>
  <si>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</si>
  <si>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</si>
  <si>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</si>
  <si>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</si>
  <si>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</si>
  <si>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</si>
  <si>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</si>
  <si>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</si>
  <si>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</si>
  <si>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</si>
  <si>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</si>
  <si>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</si>
  <si>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</si>
  <si>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</si>
  <si>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</si>
  <si>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</si>
  <si>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</si>
  <si>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</si>
  <si>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</si>
  <si>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</si>
  <si>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</si>
  <si>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</si>
  <si>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</si>
  <si>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</si>
  <si>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</si>
  <si>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</si>
  <si>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</si>
  <si>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</si>
  <si>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</si>
  <si>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</si>
  <si>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</si>
  <si>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</si>
  <si>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</si>
  <si>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</si>
  <si>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</si>
  <si>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</si>
  <si>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</si>
  <si>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</si>
  <si>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</si>
  <si>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</si>
  <si>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</si>
  <si>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</si>
  <si>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</si>
  <si>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</si>
  <si>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</si>
  <si>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</si>
  <si>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</si>
  <si>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</si>
  <si>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</si>
  <si>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</si>
  <si>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</si>
  <si>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</si>
  <si>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</si>
  <si>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</si>
  <si>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</si>
  <si>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</si>
  <si>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</si>
  <si>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</si>
  <si>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</si>
  <si>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</si>
  <si>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</si>
  <si>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</si>
  <si>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</si>
  <si>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</si>
  <si>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</si>
  <si>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</si>
  <si>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</si>
  <si>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</si>
  <si>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</si>
  <si>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</si>
  <si>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</si>
  <si>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</si>
  <si>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</si>
  <si>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</si>
  <si>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</si>
  <si>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</si>
  <si>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</si>
  <si>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</si>
  <si>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</si>
  <si>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</si>
  <si>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</si>
  <si>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</si>
  <si>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</si>
  <si>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</si>
  <si>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</si>
  <si>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</si>
  <si>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</si>
  <si>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</si>
  <si>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</si>
  <si>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</si>
  <si>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</si>
  <si>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</si>
  <si>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</si>
  <si>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</si>
  <si>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</si>
  <si>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</si>
  <si>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</si>
  <si>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</si>
  <si>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</si>
  <si>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</si>
  <si>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</si>
  <si>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</si>
  <si>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</si>
  <si>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</si>
  <si>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</si>
  <si>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</si>
  <si>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</si>
  <si>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</si>
  <si>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</si>
  <si>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</si>
  <si>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</si>
  <si>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</si>
  <si>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</si>
  <si>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</si>
  <si>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</si>
  <si>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</si>
  <si>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</si>
  <si>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</si>
  <si>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</si>
  <si>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</si>
  <si>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</si>
  <si>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</si>
  <si>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</si>
  <si>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</si>
  <si>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</si>
  <si>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</si>
  <si>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</si>
  <si>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</si>
  <si>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</si>
  <si>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</si>
  <si>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</si>
  <si>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</si>
  <si>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</si>
  <si>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</si>
  <si>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</si>
  <si>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</si>
  <si>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</si>
  <si>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</si>
  <si>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</si>
  <si>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</si>
  <si>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</si>
  <si>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</si>
  <si>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</si>
  <si>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</si>
  <si>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</si>
  <si>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</si>
  <si>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</si>
  <si>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</si>
  <si>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</si>
  <si>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</si>
  <si>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</si>
  <si>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</si>
  <si>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</si>
  <si>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</si>
  <si>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</si>
  <si>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</si>
  <si>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</si>
  <si>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</si>
  <si>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</si>
  <si>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</si>
  <si>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</si>
  <si>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</si>
  <si>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</si>
  <si>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</si>
  <si>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</si>
  <si>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</si>
  <si>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</si>
  <si>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</si>
  <si>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</si>
  <si>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</si>
  <si>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</si>
  <si>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</si>
  <si>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</si>
  <si>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</si>
  <si>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</si>
  <si>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</si>
  <si>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</si>
  <si>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</si>
  <si>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</si>
  <si>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</si>
  <si>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</si>
  <si>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</si>
  <si>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</si>
  <si>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</si>
  <si>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</si>
  <si>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</si>
  <si>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</si>
  <si>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</si>
  <si>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</si>
  <si>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</si>
  <si>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</si>
  <si>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</si>
  <si>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</si>
  <si>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</si>
  <si>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</si>
  <si>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</si>
  <si>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</si>
  <si>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</si>
  <si>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</si>
  <si>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</si>
  <si>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</si>
  <si>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</si>
  <si>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</si>
  <si>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</si>
  <si>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</si>
  <si>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</si>
  <si>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</si>
  <si>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</si>
  <si>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</si>
  <si>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</si>
  <si>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</si>
  <si>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</si>
  <si>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</si>
  <si>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</si>
  <si>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</si>
  <si>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</si>
  <si>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</si>
  <si>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</si>
  <si>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</si>
  <si>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</si>
  <si>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</si>
  <si>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</si>
  <si>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</si>
  <si>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</si>
  <si>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</si>
  <si>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</si>
  <si>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</si>
  <si>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</si>
  <si>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</si>
  <si>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</si>
  <si>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</si>
  <si>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</si>
  <si>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</si>
  <si>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</si>
  <si>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</si>
  <si>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</si>
  <si>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</si>
  <si>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</si>
  <si>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</si>
  <si>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</si>
  <si>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</si>
  <si>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</si>
  <si>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</si>
  <si>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</si>
  <si>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</si>
  <si>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</si>
  <si>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</si>
  <si>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</si>
  <si>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</si>
  <si>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</si>
  <si>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</si>
  <si>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</si>
  <si>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</si>
  <si>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</si>
  <si>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</si>
  <si>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</si>
  <si>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</si>
  <si>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</si>
  <si>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</si>
  <si>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</si>
  <si>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</si>
  <si>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</si>
  <si>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</si>
  <si>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</si>
  <si>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</si>
  <si>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</si>
  <si>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</si>
  <si>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</si>
  <si>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</si>
  <si>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</si>
  <si>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</si>
  <si>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</si>
  <si>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</si>
  <si>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</si>
  <si>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</si>
  <si>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</si>
  <si>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</si>
  <si>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</si>
  <si>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</si>
  <si>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</si>
  <si>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</si>
  <si>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</si>
  <si>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</si>
  <si>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</si>
  <si>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</si>
  <si>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</si>
  <si>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</si>
  <si>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</si>
  <si>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</si>
  <si>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</si>
  <si>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</si>
  <si>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</si>
  <si>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</si>
  <si>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</si>
  <si>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</si>
  <si>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</si>
  <si>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</si>
  <si>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</si>
  <si>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</si>
  <si>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</si>
  <si>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</si>
  <si>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</si>
  <si>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</si>
  <si>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</si>
  <si>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</si>
  <si>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</si>
  <si>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TICO-TICO COM MOTOR ELETRICO, POTENCIA DE 450 W, 60 HZ, 220 V, 3000 GPM, SEM LAMINA</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</si>
  <si>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</si>
  <si>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</si>
  <si>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</si>
  <si>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</si>
  <si>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</si>
  <si>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</si>
  <si>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</si>
  <si>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</si>
  <si>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</si>
  <si>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</si>
  <si>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</si>
  <si>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</si>
  <si>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</si>
  <si>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</si>
  <si>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</si>
  <si>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</si>
  <si>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</si>
  <si>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</si>
  <si>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</si>
  <si>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</si>
  <si>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</si>
  <si>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</si>
  <si>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</si>
  <si>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</si>
  <si>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</si>
  <si>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</si>
  <si>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</si>
  <si>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</si>
  <si>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</si>
  <si>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</si>
  <si>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</si>
  <si>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</si>
  <si>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</si>
  <si>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</si>
  <si>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</si>
  <si>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</si>
  <si>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</si>
  <si>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</si>
  <si>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</si>
  <si>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</si>
  <si>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</si>
  <si>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</si>
  <si>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</si>
  <si>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</si>
  <si>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</si>
  <si>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</si>
  <si>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</si>
  <si>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</si>
  <si>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</si>
  <si>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</si>
  <si>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</si>
  <si>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</si>
  <si>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</si>
  <si>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</si>
  <si>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</si>
  <si>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</si>
  <si>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</si>
  <si>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</si>
  <si>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</si>
  <si>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</si>
  <si>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</si>
  <si>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</si>
  <si>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</si>
  <si>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</si>
  <si>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</si>
  <si>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</si>
  <si>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</si>
  <si>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</si>
  <si>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</si>
  <si>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</si>
  <si>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</si>
  <si>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</si>
  <si>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</si>
  <si>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</si>
  <si>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</si>
  <si>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</si>
  <si>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</si>
  <si>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</si>
  <si>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</si>
  <si>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</si>
  <si>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</si>
  <si>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</si>
  <si>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</si>
  <si>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</si>
  <si>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</si>
  <si>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</si>
  <si>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</si>
  <si>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</si>
  <si>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</si>
  <si>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</si>
  <si>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</si>
  <si>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</si>
  <si>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</si>
  <si>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</si>
  <si>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</si>
  <si>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</si>
  <si>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</si>
  <si>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</si>
  <si>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</si>
  <si>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</si>
  <si>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</si>
  <si>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</si>
  <si>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</si>
  <si>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</si>
  <si>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</si>
  <si>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</si>
  <si>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</si>
  <si>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</si>
  <si>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</si>
  <si>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</si>
  <si>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</si>
  <si>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</si>
  <si>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</si>
  <si>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</si>
  <si>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</si>
  <si>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</si>
  <si>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</si>
  <si>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</si>
  <si>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</si>
  <si>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</si>
  <si>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</si>
  <si>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</si>
  <si>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</si>
  <si>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</si>
  <si>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</si>
  <si>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</si>
  <si>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</si>
  <si>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</si>
  <si>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</si>
  <si>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</si>
  <si>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</si>
  <si>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</si>
  <si>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</si>
  <si>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</si>
  <si>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</si>
  <si>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</si>
  <si>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</si>
  <si>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</si>
  <si>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</si>
  <si>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</si>
  <si>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</si>
  <si>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</si>
  <si>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</si>
  <si>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</si>
  <si>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</si>
  <si>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</si>
  <si>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</si>
  <si>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</si>
  <si>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</si>
  <si>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</si>
  <si>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</si>
  <si>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</si>
  <si>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</si>
  <si>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</si>
  <si>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</si>
  <si>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</si>
  <si>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</si>
  <si>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</si>
  <si>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</si>
  <si>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</si>
  <si>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</si>
  <si>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</si>
  <si>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</si>
  <si>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</si>
  <si>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</si>
  <si>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</si>
  <si>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</si>
  <si>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</si>
  <si>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</si>
  <si>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</si>
  <si>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</si>
  <si>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</si>
  <si>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</si>
  <si>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</si>
  <si>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</si>
  <si>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</si>
  <si>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</si>
  <si>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</si>
  <si>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</si>
  <si>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</si>
  <si>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</si>
  <si>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</si>
  <si>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</si>
  <si>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</si>
  <si>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</si>
  <si>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</si>
  <si>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</si>
  <si>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</si>
  <si>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</si>
  <si>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</si>
  <si>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</si>
  <si>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</si>
  <si>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</si>
  <si>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</si>
  <si>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</si>
  <si>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</si>
  <si>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</si>
  <si>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</si>
  <si>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</si>
  <si>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</si>
  <si>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</si>
  <si>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</si>
  <si>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</si>
  <si>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</si>
  <si>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</si>
  <si>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</si>
  <si>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</si>
  <si>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</si>
  <si>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</si>
  <si>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</si>
  <si>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</si>
  <si>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</si>
  <si>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</si>
  <si>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</si>
  <si>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</si>
  <si>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</si>
  <si>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</si>
  <si>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</si>
  <si>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</si>
  <si>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</si>
  <si>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</si>
  <si>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</si>
  <si>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</si>
  <si>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</si>
  <si>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</si>
  <si>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</si>
  <si>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</si>
  <si>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</si>
  <si>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</si>
  <si>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</si>
  <si>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</si>
  <si>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</si>
  <si>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</si>
  <si>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</si>
  <si>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</si>
  <si>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</si>
  <si>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</si>
  <si>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</si>
  <si>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</si>
  <si>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</si>
  <si>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</si>
  <si>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</si>
  <si>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</si>
  <si>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</si>
  <si>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</si>
  <si>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</si>
  <si>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</si>
  <si>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</si>
  <si>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</si>
  <si>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</si>
  <si>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</si>
  <si>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</si>
  <si>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</si>
  <si>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</si>
  <si>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</si>
  <si>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</si>
  <si>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</si>
  <si>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</si>
  <si>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</si>
  <si>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</si>
  <si>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</si>
  <si>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</si>
  <si>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</si>
  <si>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</si>
  <si>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</si>
  <si>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</si>
  <si>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</si>
  <si>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</si>
  <si>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</si>
  <si>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</si>
  <si>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</si>
  <si>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</si>
  <si>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</si>
  <si>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</si>
  <si>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</si>
  <si>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</si>
  <si>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</si>
  <si>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</si>
  <si>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</si>
  <si>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</si>
  <si>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</si>
  <si>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</si>
  <si>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</si>
  <si>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</si>
  <si>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</si>
  <si>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</si>
  <si>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</si>
  <si>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</si>
  <si>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</si>
  <si>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</si>
  <si>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</si>
  <si>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</si>
  <si>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</si>
  <si>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</si>
  <si>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</si>
  <si>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</si>
  <si>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</si>
  <si>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</si>
  <si>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</si>
  <si>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</si>
  <si>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</si>
  <si>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</si>
  <si>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</si>
  <si>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</si>
  <si>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</si>
  <si>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</si>
  <si>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</si>
  <si>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</si>
  <si>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</si>
  <si>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</si>
  <si>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</si>
  <si>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</si>
  <si>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</si>
  <si>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</si>
  <si>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</si>
  <si>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</si>
  <si>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</si>
  <si>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</si>
  <si>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</si>
  <si>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</si>
  <si>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</si>
  <si>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</si>
  <si>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</si>
  <si>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</si>
  <si>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</si>
  <si>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</si>
  <si>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</si>
  <si>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</si>
  <si>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</si>
  <si>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</si>
  <si>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</si>
  <si>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</si>
  <si>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</si>
  <si>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</si>
  <si>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</si>
  <si>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</si>
  <si>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</si>
  <si>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</si>
  <si>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</si>
  <si>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</si>
  <si>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</si>
  <si>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</si>
  <si>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</si>
  <si>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</si>
  <si>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</si>
  <si>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</si>
  <si>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</si>
  <si>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</si>
  <si>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</si>
  <si>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</si>
  <si>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</si>
  <si>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</si>
  <si>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</si>
  <si>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</si>
  <si>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</si>
  <si>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</si>
  <si>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</si>
  <si>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</si>
  <si>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</si>
  <si>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</si>
  <si>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</si>
  <si>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</si>
  <si>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</si>
  <si>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</si>
  <si>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</si>
  <si>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</si>
  <si>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</si>
  <si>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</si>
  <si>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</si>
  <si>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</si>
  <si>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</si>
  <si>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</si>
  <si>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</si>
  <si>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</si>
  <si>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</si>
  <si>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</si>
  <si>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</si>
  <si>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</si>
  <si>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</si>
  <si>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</si>
  <si>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</si>
  <si>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</si>
  <si>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</si>
  <si>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</si>
  <si>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</si>
  <si>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</si>
  <si>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</si>
  <si>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</si>
  <si>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</si>
  <si>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</si>
  <si>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</si>
  <si>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</si>
  <si>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</si>
  <si>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</si>
  <si>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</si>
  <si>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</si>
  <si>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</si>
  <si>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</si>
  <si>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</si>
  <si>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</si>
  <si>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</si>
  <si>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</si>
  <si>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</si>
  <si>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</si>
  <si>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</si>
  <si>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</si>
  <si>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</si>
  <si>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</si>
  <si>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</si>
  <si>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</si>
  <si>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</si>
  <si>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</si>
  <si>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</si>
  <si>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</si>
  <si>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</si>
  <si>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</si>
  <si>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</si>
  <si>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</si>
  <si>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</si>
  <si>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</si>
  <si>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</si>
  <si>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</si>
  <si>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</si>
  <si>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</si>
  <si>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</si>
  <si>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</si>
  <si>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</si>
  <si>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</si>
  <si>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</si>
  <si>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</si>
  <si>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</si>
  <si>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</si>
  <si>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</si>
  <si>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</si>
  <si>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</si>
  <si>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</si>
  <si>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</si>
  <si>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</si>
  <si>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</si>
  <si>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</si>
  <si>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</si>
  <si>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</si>
  <si>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</si>
  <si>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</si>
  <si>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</si>
  <si>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</si>
  <si>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</si>
  <si>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</si>
  <si>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</si>
  <si>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</si>
  <si>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</si>
  <si>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</si>
  <si>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</si>
  <si>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</si>
  <si>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</si>
  <si>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</si>
  <si>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</si>
  <si>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</si>
  <si>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</si>
  <si>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</si>
  <si>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</si>
  <si>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</si>
  <si>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</si>
  <si>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</si>
  <si>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</si>
  <si>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</si>
  <si>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</si>
  <si>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</si>
  <si>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</si>
  <si>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</si>
  <si>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</si>
  <si>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</si>
  <si>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</si>
  <si>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</si>
  <si>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</si>
  <si>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</si>
  <si>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</si>
  <si>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</si>
  <si>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</si>
  <si>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</si>
  <si>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</si>
  <si>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</si>
  <si>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</si>
  <si>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</si>
  <si>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</si>
  <si>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</si>
  <si>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</si>
  <si>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</si>
  <si>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</si>
  <si>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</si>
  <si>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</si>
  <si>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</si>
  <si>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</si>
  <si>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</si>
  <si>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</si>
  <si>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</si>
  <si>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</si>
  <si>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</si>
  <si>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</si>
  <si>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</si>
  <si>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</si>
  <si>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</si>
  <si>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</si>
  <si>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</si>
  <si>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</si>
  <si>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</si>
  <si>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</si>
  <si>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</si>
  <si>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</si>
  <si>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</si>
  <si>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</si>
  <si>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</si>
  <si>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</si>
  <si>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</si>
  <si>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</si>
  <si>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</si>
  <si>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</si>
  <si>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</si>
  <si>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</si>
  <si>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</si>
  <si>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</si>
  <si>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</si>
  <si>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</si>
  <si>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</si>
  <si>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</si>
  <si>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</si>
  <si>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</si>
  <si>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</si>
  <si>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</si>
  <si>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</si>
  <si>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</si>
  <si>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</si>
  <si>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</si>
  <si>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</si>
  <si>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</si>
  <si>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</si>
  <si>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</si>
  <si>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</si>
  <si>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</si>
  <si>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</si>
  <si>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</si>
  <si>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</si>
  <si>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</si>
  <si>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</si>
  <si>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</si>
  <si>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</si>
  <si>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</si>
  <si>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</si>
  <si>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</si>
  <si>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</si>
  <si>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</si>
  <si>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</si>
  <si>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</si>
  <si>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</si>
  <si>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</si>
  <si>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</si>
  <si>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</si>
  <si>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</si>
  <si>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</si>
  <si>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</si>
  <si>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</si>
  <si>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</si>
  <si>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</si>
  <si>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</si>
  <si>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</si>
  <si>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</si>
  <si>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</si>
  <si>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</si>
  <si>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</si>
  <si>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</si>
  <si>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</si>
  <si>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</si>
  <si>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</si>
  <si>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</si>
  <si>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</si>
  <si>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</si>
  <si>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</si>
  <si>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</si>
  <si>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</si>
  <si>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</si>
  <si>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</si>
  <si>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</si>
  <si>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</si>
  <si>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</si>
  <si>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</si>
  <si>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</si>
  <si>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</si>
  <si>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</si>
  <si>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</si>
  <si>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</si>
  <si>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</si>
  <si>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</si>
  <si>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</si>
  <si>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</si>
  <si>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</si>
  <si>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</si>
  <si>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</si>
  <si>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</si>
  <si>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</si>
  <si>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</si>
  <si>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</si>
  <si>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</si>
  <si>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</si>
  <si>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</si>
  <si>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</si>
  <si>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</si>
  <si>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</si>
  <si>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</si>
  <si>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</si>
  <si>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</si>
  <si>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</si>
  <si>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</si>
  <si>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</si>
  <si>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</si>
  <si>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</si>
  <si>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</si>
  <si>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</si>
  <si>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</si>
  <si>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</si>
  <si>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</si>
  <si>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</si>
  <si>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</si>
  <si>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</si>
  <si>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</si>
  <si>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</si>
  <si>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</si>
  <si>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</si>
  <si>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</si>
  <si>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</si>
  <si>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</si>
  <si>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</si>
  <si>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</si>
  <si>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</si>
  <si>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</si>
  <si>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</si>
  <si>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</si>
  <si>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</si>
  <si>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</si>
  <si>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</si>
  <si>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</si>
  <si>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</si>
  <si>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</si>
  <si>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</si>
  <si>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</si>
  <si>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</si>
  <si>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</si>
  <si>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</si>
  <si>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</si>
  <si>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</si>
  <si>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</si>
  <si>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</si>
  <si>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</si>
  <si>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</si>
  <si>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</si>
  <si>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</si>
  <si>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</si>
  <si>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</si>
  <si>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</si>
  <si>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</si>
  <si>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</si>
  <si>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</si>
  <si>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</si>
  <si>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</si>
  <si>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</si>
  <si>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</si>
  <si>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</si>
  <si>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</si>
  <si>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</si>
  <si>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</si>
  <si>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</si>
  <si>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</si>
  <si>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</si>
  <si>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</si>
  <si>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</si>
  <si>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</si>
  <si>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</si>
  <si>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</si>
  <si>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</si>
  <si>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</si>
  <si>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</si>
  <si>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</si>
  <si>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</si>
  <si>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</si>
  <si>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</si>
  <si>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</si>
  <si>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</si>
  <si>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</si>
  <si>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</si>
  <si>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</si>
  <si>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</si>
  <si>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</si>
  <si>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</si>
  <si>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</si>
  <si>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</si>
  <si>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</si>
  <si>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</si>
  <si>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</si>
  <si>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</si>
  <si>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</si>
  <si>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</si>
  <si>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</si>
  <si>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</si>
  <si>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</si>
  <si>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</si>
  <si>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</si>
  <si>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</si>
  <si>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</si>
  <si>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</si>
  <si>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</si>
  <si>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</si>
  <si>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</si>
  <si>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</si>
  <si>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</si>
  <si>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</si>
  <si>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</si>
  <si>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</si>
  <si>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</si>
  <si>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</si>
  <si>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</si>
  <si>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</si>
  <si>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</si>
  <si>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</si>
  <si>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</si>
  <si>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</si>
  <si>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</si>
  <si>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</si>
  <si>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</si>
  <si>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</si>
  <si>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</si>
  <si>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</si>
  <si>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</si>
  <si>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</si>
  <si>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</si>
  <si>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</si>
  <si>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</si>
  <si>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</si>
  <si>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</si>
  <si>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</si>
  <si>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</si>
  <si>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</si>
  <si>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</si>
  <si>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</si>
  <si>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</si>
  <si>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</si>
  <si>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</si>
  <si>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</si>
  <si>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</si>
  <si>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</si>
  <si>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</si>
  <si>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</si>
  <si>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</si>
  <si>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</si>
  <si>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</si>
  <si>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</si>
  <si>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</si>
  <si>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</si>
  <si>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</si>
  <si>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</si>
  <si>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</si>
  <si>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</si>
  <si>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</si>
  <si>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</si>
  <si>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</si>
  <si>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</si>
  <si>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</si>
  <si>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</si>
  <si>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</si>
  <si>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</si>
  <si>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</si>
  <si>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</si>
  <si>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</si>
  <si>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</si>
  <si>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</si>
  <si>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</si>
  <si>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</si>
  <si>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</si>
  <si>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</si>
  <si>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</si>
  <si>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</si>
  <si>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</si>
  <si>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</si>
  <si>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</si>
  <si>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</si>
  <si>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</si>
  <si>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</si>
  <si>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</si>
  <si>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</si>
  <si>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</si>
  <si>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</si>
  <si>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</si>
  <si>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</si>
  <si>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</si>
  <si>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</si>
  <si>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</si>
  <si>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</si>
  <si>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</si>
  <si>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</si>
  <si>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</si>
  <si>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</si>
  <si>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</si>
  <si>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</si>
  <si>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</si>
  <si>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</si>
  <si>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</si>
  <si>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</si>
  <si>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</si>
  <si>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</si>
  <si>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</si>
  <si>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</si>
  <si>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</si>
  <si>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</si>
  <si>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</si>
  <si>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</si>
  <si>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</si>
  <si>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</si>
  <si>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</si>
  <si>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</si>
  <si>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</si>
  <si>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</si>
  <si>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</si>
  <si>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</si>
  <si>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</si>
  <si>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</si>
  <si>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</si>
  <si>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</si>
  <si>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</si>
  <si>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</si>
  <si>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</si>
  <si>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</si>
  <si>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</si>
  <si>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</si>
  <si>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</si>
  <si>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</si>
  <si>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</si>
  <si>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</si>
  <si>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</si>
  <si>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</si>
  <si>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</si>
  <si>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</si>
  <si>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</si>
  <si>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</si>
  <si>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</si>
  <si>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</si>
  <si>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</si>
  <si>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</si>
  <si>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</si>
  <si>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</si>
  <si>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</si>
  <si>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</si>
  <si>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</si>
  <si>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</si>
  <si>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</si>
  <si>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</si>
  <si>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</si>
  <si>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</si>
  <si>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</si>
  <si>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</si>
  <si>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</si>
  <si>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</si>
  <si>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</si>
  <si>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</si>
  <si>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</si>
  <si>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</si>
  <si>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</si>
  <si>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</si>
  <si>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</si>
  <si>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</si>
  <si>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</si>
  <si>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</si>
  <si>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</si>
  <si>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</si>
  <si>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</si>
  <si>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</si>
  <si>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</si>
  <si>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</si>
  <si>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</si>
  <si>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</si>
  <si>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</si>
  <si>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</si>
  <si>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</si>
  <si>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</si>
  <si>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</si>
  <si>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</si>
  <si>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</si>
  <si>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</si>
  <si>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</si>
  <si>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</si>
  <si>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</si>
  <si>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</si>
  <si>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</si>
  <si>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</si>
  <si>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</si>
  <si>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</si>
  <si>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</si>
  <si>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</si>
  <si>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</si>
  <si>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</si>
  <si>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</si>
  <si>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</si>
  <si>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</si>
  <si>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</si>
  <si>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</si>
  <si>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</si>
  <si>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</si>
  <si>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</si>
  <si>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</si>
  <si>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</si>
  <si>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</si>
  <si>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</si>
  <si>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</si>
  <si>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</si>
  <si>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</si>
  <si>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</si>
  <si>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</si>
  <si>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</si>
  <si>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</si>
  <si>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</si>
  <si>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</si>
  <si>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</si>
  <si>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</si>
  <si>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</si>
  <si>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</si>
  <si>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</si>
  <si>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</si>
  <si>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</si>
  <si>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</si>
  <si>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</si>
  <si>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</si>
  <si>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</si>
  <si>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</si>
  <si>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</si>
  <si>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</si>
  <si>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</si>
  <si>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</si>
  <si>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</si>
  <si>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</si>
  <si>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</si>
  <si>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</si>
  <si>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</si>
  <si>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</si>
  <si>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</si>
  <si>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</si>
  <si>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</si>
  <si>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</si>
  <si>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</si>
  <si>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</si>
  <si>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</si>
  <si>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</si>
  <si>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</si>
  <si>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</si>
  <si>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</si>
  <si>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</si>
  <si>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</si>
  <si>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</si>
  <si>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</si>
  <si>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</si>
  <si>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</si>
  <si>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</si>
  <si>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</si>
  <si>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</si>
  <si>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</si>
  <si>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</si>
  <si>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</si>
  <si>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</si>
  <si>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</si>
  <si>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</si>
  <si>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</si>
  <si>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</si>
  <si>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</si>
  <si>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</si>
  <si>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</si>
  <si>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</si>
  <si>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</si>
  <si>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</si>
  <si>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</si>
  <si>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</si>
  <si>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</si>
  <si>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</si>
  <si>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</si>
  <si>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</si>
  <si>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</si>
  <si>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</si>
  <si>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</si>
  <si>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</si>
  <si>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</si>
  <si>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</si>
  <si>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</si>
  <si>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</si>
  <si>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</si>
  <si>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</si>
  <si>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</si>
  <si>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</si>
  <si>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</si>
  <si>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</si>
  <si>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</si>
  <si>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</si>
  <si>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</si>
  <si>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</si>
  <si>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</si>
  <si>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</si>
  <si>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</si>
  <si>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</si>
  <si>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</si>
  <si>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</si>
  <si>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</si>
  <si>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</si>
  <si>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</si>
  <si>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</si>
  <si>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</si>
  <si>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</si>
  <si>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</si>
  <si>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</si>
  <si>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</si>
  <si>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</si>
  <si>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</si>
  <si>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</si>
  <si>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</si>
  <si>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</si>
  <si>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</si>
  <si>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</si>
  <si>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</si>
  <si>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</si>
  <si>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</si>
  <si>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</si>
  <si>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</si>
  <si>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</si>
  <si>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</si>
  <si>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</si>
  <si>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</si>
  <si>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</si>
  <si>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</si>
  <si>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</si>
  <si>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</si>
  <si>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</si>
  <si>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</si>
  <si>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</si>
  <si>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</si>
  <si>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</si>
  <si>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</si>
  <si>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</si>
  <si>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</si>
  <si>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</si>
  <si>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</si>
  <si>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</si>
  <si>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</si>
  <si>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</si>
  <si>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</si>
  <si>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</si>
  <si>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Código</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</si>
  <si>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</si>
  <si>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</si>
  <si>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</si>
  <si>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</si>
  <si>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</si>
  <si>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</si>
  <si>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</si>
  <si>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</si>
  <si>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</si>
  <si>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</si>
  <si>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</si>
  <si>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</si>
  <si>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</si>
  <si>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</si>
  <si>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</si>
  <si>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</si>
  <si>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</si>
  <si>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</si>
  <si>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</si>
  <si>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</si>
  <si>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</si>
  <si>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</si>
  <si>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</si>
  <si>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</si>
  <si>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</si>
  <si>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</si>
  <si>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</si>
  <si>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</si>
  <si>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</si>
  <si>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</si>
  <si>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</si>
  <si>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</si>
  <si>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</si>
  <si>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</si>
  <si>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</si>
  <si>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</si>
  <si>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</si>
  <si>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</si>
  <si>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</si>
  <si>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</si>
  <si>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</si>
  <si>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</si>
  <si>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</si>
  <si>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</si>
  <si>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</si>
  <si>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</si>
  <si>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</si>
  <si>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</si>
  <si>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</si>
  <si>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</si>
  <si>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</si>
  <si>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</si>
  <si>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</si>
  <si>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</si>
  <si>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</si>
  <si>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</si>
  <si>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</si>
  <si>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</si>
  <si>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</si>
  <si>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</si>
  <si>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</si>
  <si>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</si>
  <si>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</si>
  <si>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</si>
  <si>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</si>
  <si>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</si>
  <si>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</si>
  <si>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</si>
  <si>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</si>
  <si>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</si>
  <si>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</si>
  <si>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</si>
  <si>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</si>
  <si>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</si>
  <si>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</si>
  <si>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</si>
  <si>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</si>
  <si>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</si>
  <si>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</si>
  <si>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</si>
  <si>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</si>
  <si>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</si>
  <si>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</si>
  <si>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</si>
  <si>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</si>
  <si>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</si>
  <si>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</si>
  <si>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</si>
  <si>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</si>
  <si>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</si>
  <si>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</si>
  <si>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</si>
  <si>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</si>
  <si>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</si>
  <si>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</si>
  <si>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</si>
  <si>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</si>
  <si>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</si>
  <si>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</si>
  <si>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</si>
  <si>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</si>
  <si>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</si>
  <si>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</si>
  <si>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</si>
  <si>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</si>
  <si>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</si>
  <si>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</si>
  <si>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</si>
  <si>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</si>
  <si>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</si>
  <si>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</si>
  <si>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</si>
  <si>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</si>
  <si>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</si>
  <si>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</si>
  <si>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</si>
  <si>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 elétrica manual angular - 2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</si>
  <si>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</si>
  <si>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</si>
  <si>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</si>
  <si>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</si>
  <si>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</si>
  <si>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</si>
  <si>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</si>
  <si>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</si>
  <si>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</si>
  <si>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</si>
  <si>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</si>
  <si>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</si>
  <si>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</si>
  <si>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</si>
  <si>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</si>
  <si>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</si>
  <si>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</si>
  <si>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</si>
  <si>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</si>
  <si>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</si>
  <si>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</si>
  <si>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</si>
  <si>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</si>
  <si>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</si>
  <si>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</si>
  <si>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</si>
  <si>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</si>
  <si>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</si>
  <si>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</si>
  <si>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</si>
  <si>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</si>
  <si>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</si>
  <si>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</si>
  <si>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</si>
  <si>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</si>
  <si>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</si>
  <si>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</si>
  <si>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</si>
  <si>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</si>
  <si>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</si>
  <si>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</si>
  <si>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</si>
  <si>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</si>
  <si>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</si>
  <si>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</si>
  <si>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</si>
  <si>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</si>
  <si>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</si>
  <si>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</si>
  <si>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</si>
  <si>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</si>
  <si>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</si>
  <si>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</si>
  <si>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</si>
  <si>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</si>
  <si>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</si>
  <si>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</si>
  <si>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</si>
  <si>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</si>
  <si>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</si>
  <si>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</si>
  <si>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</si>
  <si>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</si>
  <si>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</si>
  <si>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empurradora multipropósito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</si>
  <si>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</si>
  <si>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</si>
  <si>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</si>
  <si>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</si>
  <si>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</si>
  <si>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</si>
  <si>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</si>
  <si>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</si>
  <si>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</si>
  <si>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</si>
  <si>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</si>
  <si>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</si>
  <si>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</si>
  <si>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</si>
  <si>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</si>
  <si>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</si>
  <si>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</si>
  <si>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</si>
  <si>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</si>
  <si>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</si>
  <si>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</si>
  <si>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</si>
  <si>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</si>
  <si>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</si>
  <si>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</si>
  <si>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</si>
  <si>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</si>
  <si>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</si>
  <si>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</si>
  <si>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</si>
  <si>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</si>
  <si>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</si>
  <si>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E9134</t>
  </si>
  <si>
    <t>Miniônibus com capacidade para 30 passageiros - 111 kW</t>
  </si>
  <si>
    <t>E9141</t>
  </si>
  <si>
    <t>Rebarbador hidráulico com bomba manual com capacidade de força de 9.000 kgf</t>
  </si>
  <si>
    <t>E9144</t>
  </si>
  <si>
    <t>Pórtico metálico rolante com talha com capacidade de 5 t - 10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</si>
  <si>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</si>
  <si>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</si>
  <si>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</si>
  <si>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</si>
  <si>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</si>
  <si>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</si>
  <si>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</si>
  <si>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</si>
  <si>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</si>
  <si>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</si>
  <si>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</si>
  <si>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</si>
  <si>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</si>
  <si>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</si>
  <si>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</si>
  <si>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</si>
  <si>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</si>
  <si>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</si>
  <si>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</si>
  <si>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</si>
  <si>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</si>
  <si>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</si>
  <si>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</si>
  <si>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</si>
  <si>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</si>
  <si>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</si>
  <si>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</si>
  <si>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</si>
  <si>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</si>
  <si>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</si>
  <si>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</si>
  <si>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</si>
  <si>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</si>
  <si>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</si>
  <si>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</si>
  <si>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</si>
  <si>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</si>
  <si>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</si>
  <si>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</si>
  <si>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</si>
  <si>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</si>
  <si>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</si>
  <si>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</si>
  <si>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</si>
  <si>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E9206</t>
  </si>
  <si>
    <t>Equipamento de solda MIG automática com acessórios - 14,6 kVA</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</si>
  <si>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</si>
  <si>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</si>
  <si>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</si>
  <si>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</si>
  <si>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</si>
  <si>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</si>
  <si>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E9231</t>
  </si>
  <si>
    <t>Maçarico lança-chamas a gás liquefeito de petróleo (GLP)</t>
  </si>
  <si>
    <t>E9239</t>
  </si>
  <si>
    <t>Miniônibus com capacidade para 30 passageiros - 111 kW (sem motorista)</t>
  </si>
  <si>
    <t>E9240</t>
  </si>
  <si>
    <t>Ônibus com capacidade para 80 passageiros - 175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</si>
  <si>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</si>
  <si>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</si>
  <si>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</si>
  <si>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</si>
  <si>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</si>
  <si>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</si>
  <si>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</si>
  <si>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</si>
  <si>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</si>
  <si>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</si>
  <si>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</si>
  <si>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</si>
  <si>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</si>
  <si>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</si>
  <si>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</si>
  <si>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</si>
  <si>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</si>
  <si>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</si>
  <si>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</si>
  <si>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</si>
  <si>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</si>
  <si>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</si>
  <si>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</si>
  <si>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</si>
  <si>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</si>
  <si>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</si>
  <si>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</si>
  <si>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</si>
  <si>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</si>
  <si>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</si>
  <si>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</si>
  <si>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</si>
  <si>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</si>
  <si>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</si>
  <si>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</si>
  <si>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</si>
  <si>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</si>
  <si>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</si>
  <si>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</si>
  <si>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</si>
  <si>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</si>
  <si>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</si>
  <si>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</si>
  <si>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</si>
  <si>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</si>
  <si>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</si>
  <si>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</si>
  <si>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</si>
  <si>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</si>
  <si>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</si>
  <si>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</si>
  <si>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</si>
  <si>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</si>
  <si>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</si>
  <si>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</si>
  <si>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</si>
  <si>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</si>
  <si>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</si>
  <si>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</si>
  <si>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</si>
  <si>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</si>
  <si>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</si>
  <si>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</si>
  <si>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</si>
  <si>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</si>
  <si>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</si>
  <si>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</si>
  <si>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</si>
  <si>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</si>
  <si>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</si>
  <si>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</si>
  <si>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</si>
  <si>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</si>
  <si>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</si>
  <si>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</si>
  <si>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</si>
  <si>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</si>
  <si>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</si>
  <si>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</si>
  <si>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</si>
  <si>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</si>
  <si>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</si>
  <si>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</si>
  <si>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</si>
  <si>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</si>
  <si>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</si>
  <si>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</si>
  <si>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</si>
  <si>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</si>
  <si>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estruturas metálicas com transportador a roletes - 22 kW</t>
  </si>
  <si>
    <t>E9530</t>
  </si>
  <si>
    <t>Rolo compactador liso vibratório autopropelido por pneus de 11 t - 97 kW</t>
  </si>
  <si>
    <t>E9532</t>
  </si>
  <si>
    <t>Equipamento de solda MIG com acessórios - 14,6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</si>
  <si>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</si>
  <si>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</si>
  <si>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</si>
  <si>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</si>
  <si>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</si>
  <si>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</si>
  <si>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</si>
  <si>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</si>
  <si>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</si>
  <si>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</si>
  <si>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</si>
  <si>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</si>
  <si>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</si>
  <si>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</si>
  <si>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</si>
  <si>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</si>
  <si>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</si>
  <si>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</si>
  <si>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E9547</t>
  </si>
  <si>
    <t>Máquina de solda elétrica transformadora 250 A - 9,20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</si>
  <si>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</si>
  <si>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</si>
  <si>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</si>
  <si>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</si>
  <si>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</si>
  <si>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</si>
  <si>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</si>
  <si>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</si>
  <si>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</si>
  <si>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</si>
  <si>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</si>
  <si>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</si>
  <si>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</si>
  <si>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</si>
  <si>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</si>
  <si>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80 passageiros - 175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</si>
  <si>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</si>
  <si>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</si>
  <si>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</si>
  <si>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</si>
  <si>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</si>
  <si>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</si>
  <si>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</si>
  <si>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</si>
  <si>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</si>
  <si>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</si>
  <si>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</si>
  <si>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</si>
  <si>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</si>
  <si>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</si>
  <si>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</si>
  <si>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</si>
  <si>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</si>
  <si>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</si>
  <si>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</si>
  <si>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</si>
  <si>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</si>
  <si>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</si>
  <si>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</si>
  <si>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</si>
  <si>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</si>
  <si>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</si>
  <si>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</si>
  <si>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</si>
  <si>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</si>
  <si>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</si>
  <si>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</si>
  <si>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</si>
  <si>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</si>
  <si>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</si>
  <si>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</si>
  <si>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</si>
  <si>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</si>
  <si>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</si>
  <si>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</si>
  <si>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</si>
  <si>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</si>
  <si>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</si>
  <si>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</si>
  <si>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</si>
  <si>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</si>
  <si>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</si>
  <si>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</si>
  <si>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</si>
  <si>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</si>
  <si>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</si>
  <si>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</si>
  <si>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</si>
  <si>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</si>
  <si>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</si>
  <si>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</si>
  <si>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</si>
  <si>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</si>
  <si>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</si>
  <si>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</si>
  <si>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</si>
  <si>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</si>
  <si>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</si>
  <si>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</si>
  <si>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</si>
  <si>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</si>
  <si>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empurradora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</si>
  <si>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</si>
  <si>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</si>
  <si>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</si>
  <si>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</si>
  <si>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</si>
  <si>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</si>
  <si>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</si>
  <si>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</si>
  <si>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</si>
  <si>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</si>
  <si>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</si>
  <si>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</si>
  <si>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</si>
  <si>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</si>
  <si>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</si>
  <si>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</si>
  <si>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</si>
  <si>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</si>
  <si>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</si>
  <si>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</si>
  <si>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</si>
  <si>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</si>
  <si>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</si>
  <si>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</si>
  <si>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</si>
  <si>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</si>
  <si>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</si>
  <si>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</si>
  <si>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</si>
  <si>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</si>
  <si>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</si>
  <si>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</si>
  <si>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</si>
  <si>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</si>
  <si>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</si>
  <si>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</si>
  <si>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</si>
  <si>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</si>
  <si>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</si>
  <si>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</si>
  <si>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</si>
  <si>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</si>
  <si>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</si>
  <si>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</si>
  <si>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</si>
  <si>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</si>
  <si>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</si>
  <si>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</si>
  <si>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</si>
  <si>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</si>
  <si>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</si>
  <si>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</si>
  <si>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</si>
  <si>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</si>
  <si>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</si>
  <si>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</si>
  <si>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</si>
  <si>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</si>
  <si>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</si>
  <si>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</si>
  <si>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</si>
  <si>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</si>
  <si>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</si>
  <si>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</si>
  <si>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</si>
  <si>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</si>
  <si>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</si>
  <si>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</si>
  <si>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</si>
  <si>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</si>
  <si>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</si>
  <si>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</si>
  <si>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</si>
  <si>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</si>
  <si>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</si>
  <si>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</si>
  <si>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</si>
  <si>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</si>
  <si>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</si>
  <si>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</si>
  <si>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</si>
  <si>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</si>
  <si>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</si>
  <si>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</si>
  <si>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</si>
  <si>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</si>
  <si>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</si>
  <si>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</si>
  <si>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</si>
  <si>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</si>
  <si>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</si>
  <si>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</si>
  <si>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</si>
  <si>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</si>
  <si>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</si>
  <si>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</si>
  <si>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</si>
  <si>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</si>
  <si>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</si>
  <si>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</si>
  <si>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</si>
  <si>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</si>
  <si>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</si>
  <si>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</si>
  <si>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</si>
  <si>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</si>
  <si>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</si>
  <si>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</si>
  <si>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</si>
  <si>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</si>
  <si>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</si>
  <si>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</si>
  <si>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</si>
  <si>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</si>
  <si>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</si>
  <si>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</si>
  <si>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</si>
  <si>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</si>
  <si>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</si>
  <si>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</si>
  <si>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</si>
  <si>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</si>
  <si>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</si>
  <si>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4 x 4 com capacidade de 1,10 t - 147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</si>
  <si>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</si>
  <si>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</si>
  <si>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</si>
  <si>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</si>
  <si>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</si>
  <si>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</si>
  <si>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</si>
  <si>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</si>
  <si>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</si>
  <si>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</si>
  <si>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</si>
  <si>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</si>
  <si>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</si>
  <si>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</si>
  <si>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</si>
  <si>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</si>
  <si>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</si>
  <si>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</si>
  <si>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</si>
  <si>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</si>
  <si>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</si>
  <si>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</si>
  <si>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</si>
  <si>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</si>
  <si>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</si>
  <si>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</si>
  <si>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</si>
  <si>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</si>
  <si>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</si>
  <si>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</si>
  <si>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</si>
  <si>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</si>
  <si>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</si>
  <si>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</si>
  <si>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</si>
  <si>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</si>
  <si>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</si>
  <si>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</si>
  <si>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</si>
  <si>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</si>
  <si>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</si>
  <si>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</si>
  <si>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</si>
  <si>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</si>
  <si>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</si>
  <si>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</si>
  <si>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</si>
  <si>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</si>
  <si>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</si>
  <si>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</si>
  <si>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</si>
  <si>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</si>
  <si>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</si>
  <si>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</si>
  <si>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</si>
  <si>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</si>
  <si>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</si>
  <si>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</si>
  <si>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</si>
  <si>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</si>
  <si>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</si>
  <si>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</si>
  <si>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</si>
  <si>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</si>
  <si>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</si>
  <si>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</si>
  <si>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</si>
  <si>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</si>
  <si>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</si>
  <si>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</si>
  <si>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</si>
  <si>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</si>
  <si>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</si>
  <si>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</si>
  <si>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</si>
  <si>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</si>
  <si>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</si>
  <si>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</si>
  <si>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</si>
  <si>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</si>
  <si>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</si>
  <si>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</si>
  <si>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</si>
  <si>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</si>
  <si>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</si>
  <si>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</si>
  <si>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</si>
  <si>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</si>
  <si>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</si>
  <si>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</si>
  <si>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</si>
  <si>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</si>
  <si>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</si>
  <si>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</si>
  <si>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</si>
  <si>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</si>
  <si>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</si>
  <si>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</si>
  <si>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</si>
  <si>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</si>
  <si>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</si>
  <si>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</si>
  <si>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</si>
  <si>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</si>
  <si>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</si>
  <si>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</si>
  <si>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</si>
  <si>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</si>
  <si>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</si>
  <si>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</si>
  <si>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</si>
  <si>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</si>
  <si>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</si>
  <si>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</si>
  <si>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</si>
  <si>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</si>
  <si>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</si>
  <si>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</si>
  <si>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</si>
  <si>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</si>
  <si>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</si>
  <si>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</si>
  <si>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</si>
  <si>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</si>
  <si>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</si>
  <si>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</si>
  <si>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</si>
  <si>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</si>
  <si>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</si>
  <si>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</si>
  <si>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</si>
  <si>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</si>
  <si>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</si>
  <si>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</si>
  <si>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</si>
  <si>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</si>
  <si>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</si>
  <si>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</si>
  <si>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</si>
  <si>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</si>
  <si>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</si>
  <si>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</si>
  <si>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</si>
  <si>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</si>
  <si>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</si>
  <si>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</si>
  <si>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</si>
  <si>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</si>
  <si>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</si>
  <si>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</si>
  <si>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</si>
  <si>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</si>
  <si>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</si>
  <si>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</si>
  <si>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</si>
  <si>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</si>
  <si>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</si>
  <si>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</si>
  <si>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</si>
  <si>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</si>
  <si>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</si>
  <si>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</si>
  <si>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</si>
  <si>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</si>
  <si>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</si>
  <si>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</si>
  <si>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</si>
  <si>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</si>
  <si>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</si>
  <si>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</si>
  <si>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</si>
  <si>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</si>
  <si>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</si>
  <si>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</si>
  <si>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</si>
  <si>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</si>
  <si>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</si>
  <si>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</si>
  <si>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</si>
  <si>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</si>
  <si>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</si>
  <si>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</si>
  <si>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</si>
  <si>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</si>
  <si>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</si>
  <si>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</si>
  <si>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</si>
  <si>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</si>
  <si>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</si>
  <si>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</si>
  <si>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</si>
  <si>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</si>
  <si>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</si>
  <si>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</si>
  <si>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</si>
  <si>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</si>
  <si>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</si>
  <si>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</si>
  <si>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</si>
  <si>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</si>
  <si>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</si>
  <si>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</si>
  <si>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</si>
  <si>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</si>
  <si>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</si>
  <si>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</si>
  <si>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</si>
  <si>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</si>
  <si>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</si>
  <si>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</si>
  <si>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</si>
  <si>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</si>
  <si>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</si>
  <si>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</si>
  <si>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</si>
  <si>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</si>
  <si>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</si>
  <si>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</si>
  <si>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</si>
  <si>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</si>
  <si>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</si>
  <si>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</si>
  <si>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</si>
  <si>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</si>
  <si>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</si>
  <si>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</si>
  <si>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</si>
  <si>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</si>
  <si>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</si>
  <si>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</si>
  <si>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</si>
  <si>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</si>
  <si>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</si>
  <si>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</si>
  <si>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</si>
  <si>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</si>
  <si>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</si>
  <si>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</si>
  <si>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</si>
  <si>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</si>
  <si>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</si>
  <si>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</si>
  <si>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</si>
  <si>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</si>
  <si>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</si>
  <si>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</si>
  <si>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</si>
  <si>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</si>
  <si>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</si>
  <si>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</si>
  <si>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</si>
  <si>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</si>
  <si>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</si>
  <si>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</si>
  <si>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</si>
  <si>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</si>
  <si>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</si>
  <si>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</si>
  <si>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</si>
  <si>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</si>
  <si>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</si>
  <si>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</si>
  <si>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</si>
  <si>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</si>
  <si>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</si>
  <si>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</si>
  <si>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</si>
  <si>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</si>
  <si>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</si>
  <si>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</si>
  <si>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</si>
  <si>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</si>
  <si>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</si>
  <si>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</si>
  <si>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</si>
  <si>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</si>
  <si>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</si>
  <si>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</si>
  <si>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</si>
  <si>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</si>
  <si>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</si>
  <si>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</si>
  <si>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</si>
  <si>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</si>
  <si>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</si>
  <si>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</si>
  <si>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</si>
  <si>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</si>
  <si>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</si>
  <si>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</si>
  <si>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</si>
  <si>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</si>
  <si>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</si>
  <si>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</si>
  <si>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</si>
  <si>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</si>
  <si>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</si>
  <si>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</si>
  <si>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</si>
  <si>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</si>
  <si>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</si>
  <si>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</si>
  <si>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</si>
  <si>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</si>
  <si>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</si>
  <si>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</si>
  <si>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</si>
  <si>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</si>
  <si>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</si>
  <si>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</si>
  <si>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</si>
  <si>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</si>
  <si>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</si>
  <si>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</si>
  <si>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</si>
  <si>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</si>
  <si>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</si>
  <si>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</si>
  <si>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</si>
  <si>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</si>
  <si>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</si>
  <si>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</si>
  <si>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</si>
  <si>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</si>
  <si>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</si>
  <si>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</si>
  <si>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</si>
  <si>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</si>
  <si>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</si>
  <si>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</si>
  <si>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</si>
  <si>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</si>
  <si>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</si>
  <si>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</si>
  <si>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</si>
  <si>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</si>
  <si>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</si>
  <si>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</si>
  <si>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</si>
  <si>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</si>
  <si>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</si>
  <si>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</si>
  <si>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</si>
  <si>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</si>
  <si>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</si>
  <si>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</si>
  <si>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</si>
  <si>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</si>
  <si>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</si>
  <si>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</si>
  <si>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</si>
  <si>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</si>
  <si>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</si>
  <si>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</si>
  <si>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</si>
  <si>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</si>
  <si>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</si>
  <si>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</si>
  <si>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</si>
  <si>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</si>
  <si>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</si>
  <si>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</si>
  <si>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</si>
  <si>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</si>
  <si>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</si>
  <si>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</si>
  <si>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</si>
  <si>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</si>
  <si>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</si>
  <si>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</si>
  <si>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</si>
  <si>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</si>
  <si>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</si>
  <si>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</si>
  <si>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</si>
  <si>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</si>
  <si>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</si>
  <si>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</si>
  <si>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</si>
  <si>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</si>
  <si>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</si>
  <si>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</si>
  <si>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</si>
  <si>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</si>
  <si>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</si>
  <si>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</si>
  <si>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</si>
  <si>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</si>
  <si>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</si>
  <si>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</si>
  <si>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</si>
  <si>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</si>
  <si>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</si>
  <si>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</si>
  <si>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</si>
  <si>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</si>
  <si>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</si>
  <si>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</si>
  <si>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</si>
  <si>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</si>
  <si>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</si>
  <si>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</si>
  <si>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</si>
  <si>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</si>
  <si>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</si>
  <si>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</si>
  <si>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</si>
  <si>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</si>
  <si>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</si>
  <si>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</si>
  <si>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</si>
  <si>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</si>
  <si>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</si>
  <si>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</si>
  <si>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</si>
  <si>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</si>
  <si>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</si>
  <si>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</si>
  <si>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</si>
  <si>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</si>
  <si>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</si>
  <si>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</si>
  <si>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</si>
  <si>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</si>
  <si>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</si>
  <si>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</si>
  <si>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</si>
  <si>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</si>
  <si>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</si>
  <si>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</si>
  <si>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</si>
  <si>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</si>
  <si>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</si>
  <si>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</si>
  <si>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</si>
  <si>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</si>
  <si>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</si>
  <si>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</si>
  <si>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</si>
  <si>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</si>
  <si>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</si>
  <si>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</si>
  <si>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</si>
  <si>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</si>
  <si>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</si>
  <si>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</si>
  <si>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</si>
  <si>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</si>
  <si>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</si>
  <si>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</si>
  <si>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MAPA DE COTAÇÕES</t>
  </si>
  <si>
    <t>OBJETO:</t>
  </si>
  <si>
    <t>N</t>
  </si>
  <si>
    <t>CNPJ</t>
  </si>
  <si>
    <t>NOME DA EMPRESA FORNECEDORA</t>
  </si>
  <si>
    <t>TELEFONE</t>
  </si>
  <si>
    <t>CONTATO</t>
  </si>
  <si>
    <t>ENDEREÇO</t>
  </si>
  <si>
    <t>DATA COTAÇÃO</t>
  </si>
  <si>
    <t>PREÇO COTADO</t>
  </si>
  <si>
    <t>COT 01</t>
  </si>
  <si>
    <t>COT 02</t>
  </si>
  <si>
    <t>COT 03</t>
  </si>
  <si>
    <t>COT 04</t>
  </si>
  <si>
    <t>025198-4</t>
  </si>
  <si>
    <t>015213-7</t>
  </si>
  <si>
    <t>COT 05</t>
  </si>
  <si>
    <t>COT 06</t>
  </si>
  <si>
    <t>COT 07</t>
  </si>
  <si>
    <t>COT 08</t>
  </si>
  <si>
    <t>COT 09</t>
  </si>
  <si>
    <t>COT 10</t>
  </si>
  <si>
    <t>COT 11</t>
  </si>
  <si>
    <t>COT 12</t>
  </si>
  <si>
    <t>COT 13</t>
  </si>
  <si>
    <t>COT 14</t>
  </si>
  <si>
    <t>COT 15</t>
  </si>
  <si>
    <t>COT 16</t>
  </si>
  <si>
    <t>COT 17</t>
  </si>
  <si>
    <t>COT 18</t>
  </si>
  <si>
    <t>COT 19</t>
  </si>
  <si>
    <t>COT 20</t>
  </si>
  <si>
    <t>COT 21</t>
  </si>
  <si>
    <t>COT 22</t>
  </si>
  <si>
    <t>PREFEITURA MUNICIPAL</t>
  </si>
  <si>
    <r>
      <t xml:space="preserve">DATA BASE:
</t>
    </r>
    <r>
      <rPr>
        <sz val="11"/>
        <rFont val="Aptos Narrow"/>
        <family val="2"/>
        <scheme val="minor"/>
      </rPr>
      <t>OUT / 25</t>
    </r>
  </si>
  <si>
    <t>CAPINA ELÉTRICA</t>
  </si>
  <si>
    <t>Capina Elétrica (R$ / m2)</t>
  </si>
  <si>
    <t>Coleta, Transporte, Descarga E Disposição Final  de Resíduos Inertes, Entulhos e RCC</t>
  </si>
  <si>
    <t>PODA</t>
  </si>
  <si>
    <t>Poda de Árvores e Trituração de Troncos e Galhos</t>
  </si>
  <si>
    <t>DISPOSIÇÃO FINAL DOS RESÍDUOS</t>
  </si>
  <si>
    <t>M / mês</t>
  </si>
  <si>
    <t>R$ / M</t>
  </si>
  <si>
    <t>M DE SARJETA</t>
  </si>
  <si>
    <t>m (sarjeta)</t>
  </si>
  <si>
    <t>COT 23</t>
  </si>
  <si>
    <t>DESTINAÇÃO FINAL ENTULHOS E INERTES</t>
  </si>
  <si>
    <t>DESTINAÇÃO FINAL ENTULHO E INERTES</t>
  </si>
  <si>
    <t>COLETOR MATUTINO</t>
  </si>
  <si>
    <t>COLETOR VESPERTINO</t>
  </si>
  <si>
    <t>MOTORISTA MATUTINO</t>
  </si>
  <si>
    <t>MOTORISTA VESPERTINO</t>
  </si>
  <si>
    <t>COMPACTADOR 15M3 - 2 TURNOS</t>
  </si>
  <si>
    <t>COMPACTADOR 15M3 - 1 TURNO</t>
  </si>
  <si>
    <t>1.6</t>
  </si>
  <si>
    <t>1.7</t>
  </si>
  <si>
    <t>Coletor Vespertino</t>
  </si>
  <si>
    <t>Coletor Matutino</t>
  </si>
  <si>
    <t>Motorista Compactador Matutino</t>
  </si>
  <si>
    <t>Motorista Compactador Vespertino</t>
  </si>
  <si>
    <t>Veículo Utilitário - Encarregado</t>
  </si>
  <si>
    <t>Veículo Utilitário</t>
  </si>
  <si>
    <t>Caminhão coletor compactador - matutino</t>
  </si>
  <si>
    <t>Caminhão coletor compactador - vespertino</t>
  </si>
  <si>
    <t>ALTERNADO 3X (MATUTINO)</t>
  </si>
  <si>
    <t>DIARIO (VESPERTINO)</t>
  </si>
  <si>
    <t>OBSERVAÇÕES:</t>
  </si>
  <si>
    <t>01: AS TABELAS ESTÃO COMPOSTAS RELACIONANDO PREÇOS VINCULADOS A TABELAS REFERENCIAS E PREÇOS DE MERCADO, NA ABA MAPA DE COTAÇÕES A EMPRESA DEVERÁ PREENCHER SEUS DADOS E O RESPECTIVO VALOR PARA CADA ITEM EM QUESTÃO.</t>
  </si>
  <si>
    <t>02: OS ENCARGOS SOCIAIS E O PERCENTUAL DE BDI DEVERÁ REFLETIR A REALIDADE DA EMPRESA.</t>
  </si>
  <si>
    <t>03: OS QUANTITATIVOS DE MÃO DE OBRA, INSUMOS, VEICULOS, EQUIPAMENTOS E SERVIÇOS NÃO PODERÃO SER ALTERADOS EM HIPÓTESE ALGUMA.</t>
  </si>
  <si>
    <t>CAMINHÃO VARREDEIRA AUTOPROPELIDA</t>
  </si>
  <si>
    <t>CAMINHÃO OU TRATOR AGRÍCOLA C/ EQUIPAMENTO DE CAPINA ELÉTRICA</t>
  </si>
  <si>
    <t>Caminhão ou Trator Agrícola c/ Equipamento de Capina Elétrica</t>
  </si>
  <si>
    <t>Ajudante de Operação Diurno</t>
  </si>
  <si>
    <t>DIMENSIONAMENTO DA VARRIÇÃO DE PRAÇAS</t>
  </si>
  <si>
    <t>Caminhão baú- 2 turnos</t>
  </si>
  <si>
    <t>Caminhão baú - Frota Reserva</t>
  </si>
  <si>
    <t>DIMENSIONAMENTO DA COLETA SELETIVA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</si>
</sst>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quot;R$&quot;\ #,##0.00"/>
    <numFmt numFmtId="165" formatCode="_-* #,##0.00_-;\-* #,##0.00_-;_-* \-??_-;_-@_-"/>
    <numFmt numFmtId="166" formatCode="#,##0.00000000000"/>
    <numFmt numFmtId="167" formatCode="_(&quot;R$&quot;* #,##0.00_);_(&quot;R$&quot;* \(#,##0.00\);_(&quot;R$&quot;* &quot;-&quot;??_);_(@_)"/>
    <numFmt numFmtId="168" formatCode="0.000"/>
    <numFmt numFmtId="169" formatCode="#,##0.000"/>
    <numFmt numFmtId="170" formatCode="0.0"/>
    <numFmt numFmtId="171" formatCode="#,##0.00000"/>
    <numFmt numFmtId="172" formatCode="0.0%"/>
    <numFmt numFmtId="173" formatCode="#,##0.0000"/>
  </numFmts>
  <fonts count="53"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0"/>
      <name val="Arial"/>
      <family val="2"/>
    </font>
    <font>
      <b/>
      <sz val="10"/>
      <color theme="1"/>
      <name val="Aptos Narrow"/>
      <family val="2"/>
      <scheme val="minor"/>
    </font>
    <font>
      <sz val="10"/>
      <color theme="1"/>
      <name val="Aptos Narrow"/>
      <family val="2"/>
      <scheme val="minor"/>
    </font>
    <font>
      <b/>
      <sz val="10"/>
      <name val="Aptos Narrow"/>
      <family val="2"/>
      <scheme val="minor"/>
    </font>
    <font>
      <sz val="10"/>
      <name val="Aptos Narrow"/>
      <family val="2"/>
      <scheme val="minor"/>
    </font>
    <font>
      <sz val="8"/>
      <name val="Aptos Narrow"/>
      <family val="2"/>
      <scheme val="minor"/>
    </font>
    <font>
      <b/>
      <sz val="8"/>
      <name val="Aptos Narrow"/>
      <family val="2"/>
      <scheme val="minor"/>
    </font>
    <font>
      <b/>
      <sz val="10"/>
      <color theme="0"/>
      <name val="Aptos Narrow"/>
      <family val="2"/>
      <scheme val="minor"/>
    </font>
    <font>
      <b/>
      <i/>
      <sz val="12"/>
      <name val="Aptos Narrow"/>
      <family val="2"/>
      <scheme val="minor"/>
    </font>
    <font>
      <sz val="10"/>
      <color theme="0"/>
      <name val="Aptos Narrow"/>
      <family val="2"/>
      <scheme val="minor"/>
    </font>
    <font>
      <sz val="10"/>
      <color rgb="FFFF0000"/>
      <name val="Aptos Narrow"/>
      <family val="2"/>
      <scheme val="minor"/>
    </font>
    <font>
      <sz val="8"/>
      <color theme="1"/>
      <name val="Aptos Narrow"/>
      <family val="2"/>
      <scheme val="minor"/>
    </font>
    <font>
      <b/>
      <sz val="8"/>
      <color rgb="FFFF0000"/>
      <name val="Aptos Narrow"/>
      <family val="2"/>
      <scheme val="minor"/>
    </font>
    <font>
      <sz val="8"/>
      <color rgb="FFFF0000"/>
      <name val="Aptos Narrow"/>
      <family val="2"/>
      <scheme val="minor"/>
    </font>
    <font>
      <b/>
      <sz val="9"/>
      <color rgb="FFFF0000"/>
      <name val="Aptos Narrow"/>
      <family val="2"/>
      <scheme val="minor"/>
    </font>
    <font>
      <sz val="9"/>
      <color rgb="FFFF0000"/>
      <name val="Aptos Narrow"/>
      <family val="2"/>
      <scheme val="minor"/>
    </font>
    <font>
      <b/>
      <sz val="8"/>
      <color theme="1"/>
      <name val="Aptos Narrow"/>
      <family val="2"/>
      <scheme val="minor"/>
    </font>
    <font>
      <b/>
      <sz val="9"/>
      <color theme="1"/>
      <name val="Aptos Narrow"/>
      <family val="2"/>
      <scheme val="minor"/>
    </font>
    <font>
      <b/>
      <sz val="7"/>
      <color theme="1"/>
      <name val="Aptos Narrow"/>
      <family val="2"/>
      <scheme val="minor"/>
    </font>
    <font>
      <b/>
      <sz val="10"/>
      <color rgb="FFFF0000"/>
      <name val="Aptos Narrow"/>
      <family val="2"/>
      <scheme val="minor"/>
    </font>
    <font>
      <b/>
      <sz val="12"/>
      <color rgb="FFFF0000"/>
      <name val="Aptos Narrow"/>
      <family val="2"/>
      <scheme val="minor"/>
    </font>
    <font>
      <i/>
      <sz val="11"/>
      <color theme="1"/>
      <name val="Aptos Narrow"/>
      <family val="2"/>
      <scheme val="minor"/>
    </font>
    <font>
      <b/>
      <i/>
      <sz val="8"/>
      <name val="Arial"/>
      <family val="2"/>
    </font>
    <font>
      <i/>
      <sz val="8"/>
      <name val="Arial"/>
      <family val="2"/>
    </font>
    <font>
      <i/>
      <sz val="8"/>
      <color theme="1"/>
      <name val="Arial"/>
      <family val="2"/>
    </font>
    <font>
      <b/>
      <sz val="10"/>
      <name val="Arial"/>
      <family val="2"/>
    </font>
    <font>
      <sz val="10"/>
      <color indexed="8"/>
      <name val="Aptos Narrow"/>
      <family val="2"/>
      <scheme val="minor"/>
    </font>
    <font>
      <b/>
      <sz val="9"/>
      <color indexed="8"/>
      <name val="Aptos Narrow"/>
      <family val="2"/>
      <scheme val="minor"/>
    </font>
    <font>
      <sz val="9"/>
      <color indexed="8"/>
      <name val="Aptos Narrow"/>
      <family val="2"/>
      <scheme val="minor"/>
    </font>
    <font>
      <b/>
      <sz val="8"/>
      <color indexed="8"/>
      <name val="Aptos Narrow"/>
      <family val="2"/>
      <scheme val="minor"/>
    </font>
    <font>
      <b/>
      <sz val="10"/>
      <color indexed="8"/>
      <name val="Aptos Narrow"/>
      <family val="2"/>
      <scheme val="minor"/>
    </font>
    <font>
      <b/>
      <sz val="12"/>
      <color indexed="8"/>
      <name val="Aptos Narrow"/>
      <family val="2"/>
      <scheme val="minor"/>
    </font>
    <font>
      <b/>
      <sz val="11"/>
      <color indexed="8"/>
      <name val="Aptos Narrow"/>
      <family val="2"/>
      <scheme val="minor"/>
    </font>
    <font>
      <b/>
      <sz val="9.5"/>
      <name val="Calibri"/>
      <family val="2"/>
    </font>
    <font>
      <b/>
      <sz val="9.5"/>
      <name val="Calibri"/>
      <family val="1"/>
    </font>
    <font>
      <b/>
      <sz val="9.5"/>
      <color rgb="FFFFFFFF"/>
      <name val="Calibri"/>
      <family val="1"/>
    </font>
    <font>
      <sz val="9.5"/>
      <name val="Calibri"/>
      <family val="2"/>
    </font>
    <font>
      <sz val="9.5"/>
      <name val="Calibri"/>
      <family val="1"/>
    </font>
    <font>
      <sz val="9.5"/>
      <color rgb="FF000000"/>
      <name val="Calibri"/>
      <family val="2"/>
    </font>
    <font>
      <b/>
      <sz val="9.5"/>
      <color rgb="FF000000"/>
      <name val="Calibri"/>
      <family val="2"/>
    </font>
    <font>
      <b/>
      <sz val="9.5"/>
      <color rgb="FFFFFFFF"/>
      <name val="Calibri"/>
      <family val="2"/>
    </font>
    <font>
      <b/>
      <sz val="11"/>
      <color theme="1"/>
      <name val="Arial"/>
      <family val="2"/>
    </font>
    <font>
      <sz val="11"/>
      <name val="Arial"/>
      <family val="2"/>
    </font>
    <font>
      <b/>
      <sz val="11"/>
      <name val="Arial"/>
      <family val="2"/>
    </font>
    <font>
      <b/>
      <sz val="12"/>
      <name val="Arial"/>
      <family val="2"/>
    </font>
    <font>
      <sz val="10"/>
      <color rgb="FF000000"/>
      <name val="Arial"/>
      <family val="2"/>
    </font>
    <font>
      <b/>
      <sz val="10"/>
      <color rgb="FFFFFFFF"/>
      <name val="Arial"/>
      <family val="2"/>
    </font>
    <font>
      <sz val="14"/>
      <color theme="1"/>
      <name val="Aptos Narrow"/>
      <family val="2"/>
      <scheme val="minor"/>
    </font>
  </fonts>
  <fills count="20">
    <fill>
      <patternFill patternType="none"/>
    </fill>
    <fill>
      <patternFill patternType="gray125"/>
    </fill>
    <fill>
      <patternFill patternType="solid">
        <fgColor theme="8" tint="0.79998168889431442"/>
        <bgColor indexed="64"/>
      </patternFill>
    </fill>
    <fill>
      <patternFill patternType="solid">
        <fgColor rgb="FF00B0F0"/>
        <bgColor indexed="64"/>
      </patternFill>
    </fill>
    <fill>
      <patternFill patternType="solid">
        <fgColor indexed="9"/>
        <bgColor indexed="26"/>
      </patternFill>
    </fill>
    <fill>
      <patternFill patternType="solid">
        <fgColor theme="0" tint="-0.49998474074526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538DD3"/>
      </patternFill>
    </fill>
    <fill>
      <patternFill patternType="solid">
        <fgColor rgb="FFB8CCE3"/>
      </patternFill>
    </fill>
    <fill>
      <patternFill patternType="solid">
        <fgColor rgb="FFFFC000"/>
        <bgColor indexed="64"/>
      </patternFill>
    </fill>
    <fill>
      <patternFill patternType="solid">
        <fgColor theme="0" tint="-0.249977111117893"/>
        <bgColor indexed="64"/>
      </patternFill>
    </fill>
    <fill>
      <patternFill patternType="solid">
        <fgColor theme="0"/>
        <bgColor indexed="26"/>
      </patternFill>
    </fill>
    <fill>
      <patternFill patternType="solid">
        <fgColor theme="0" tint="-0.34998626667073579"/>
        <bgColor indexed="64"/>
      </patternFill>
    </fill>
    <fill>
      <patternFill patternType="solid">
        <fgColor rgb="FF002060"/>
        <bgColor indexed="64"/>
      </patternFill>
    </fill>
    <fill>
      <patternFill patternType="solid">
        <fgColor rgb="FF002E6E"/>
        <bgColor indexed="64"/>
      </patternFill>
    </fill>
    <fill>
      <patternFill patternType="solid">
        <fgColor theme="0"/>
        <bgColor rgb="FFFFFFCC"/>
      </patternFill>
    </fill>
    <fill>
      <patternFill patternType="solid">
        <fgColor rgb="FFFFFF00"/>
        <bgColor indexed="64"/>
      </patternFill>
    </fill>
    <fill>
      <patternFill patternType="solid">
        <fgColor rgb="FFFFFF00"/>
        <bgColor indexed="26"/>
      </patternFill>
    </fill>
  </fills>
  <borders count="13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hair">
        <color indexed="8"/>
      </top>
      <bottom/>
      <diagonal/>
    </border>
    <border>
      <left style="thin">
        <color indexed="8"/>
      </left>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top style="thin">
        <color indexed="8"/>
      </top>
      <bottom style="hair">
        <color indexed="8"/>
      </bottom>
      <diagonal/>
    </border>
    <border>
      <left style="thin">
        <color indexed="8"/>
      </left>
      <right style="thin">
        <color indexed="8"/>
      </right>
      <top style="thin">
        <color indexed="8"/>
      </top>
      <bottom style="hair">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8"/>
      </left>
      <right style="thin">
        <color indexed="8"/>
      </right>
      <top style="hair">
        <color indexed="8"/>
      </top>
      <bottom style="thin">
        <color indexed="8"/>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8"/>
      </top>
      <bottom style="hair">
        <color indexed="8"/>
      </bottom>
      <diagonal/>
    </border>
    <border>
      <left style="thin">
        <color indexed="8"/>
      </left>
      <right style="thin">
        <color indexed="64"/>
      </right>
      <top style="thin">
        <color indexed="8"/>
      </top>
      <bottom style="hair">
        <color indexed="8"/>
      </bottom>
      <diagonal/>
    </border>
    <border>
      <left style="thin">
        <color indexed="64"/>
      </left>
      <right style="thin">
        <color indexed="8"/>
      </right>
      <top style="hair">
        <color indexed="8"/>
      </top>
      <bottom style="hair">
        <color indexed="8"/>
      </bottom>
      <diagonal/>
    </border>
    <border>
      <left style="thin">
        <color indexed="8"/>
      </left>
      <right style="thin">
        <color indexed="64"/>
      </right>
      <top style="hair">
        <color indexed="8"/>
      </top>
      <bottom style="hair">
        <color indexed="8"/>
      </bottom>
      <diagonal/>
    </border>
    <border>
      <left style="thin">
        <color indexed="8"/>
      </left>
      <right style="thin">
        <color indexed="64"/>
      </right>
      <top style="thin">
        <color indexed="8"/>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top style="thin">
        <color indexed="64"/>
      </top>
      <bottom style="thin">
        <color indexed="64"/>
      </bottom>
      <diagonal/>
    </border>
    <border>
      <left/>
      <right/>
      <top/>
      <bottom style="thin">
        <color indexed="8"/>
      </bottom>
      <diagonal/>
    </border>
    <border>
      <left style="thin">
        <color indexed="64"/>
      </left>
      <right style="thin">
        <color indexed="8"/>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8"/>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hair">
        <color indexed="8"/>
      </top>
      <bottom/>
      <diagonal/>
    </border>
    <border>
      <left style="thin">
        <color indexed="8"/>
      </left>
      <right/>
      <top style="hair">
        <color indexed="8"/>
      </top>
      <bottom/>
      <diagonal/>
    </border>
    <border>
      <left style="thin">
        <color indexed="8"/>
      </left>
      <right style="thin">
        <color indexed="64"/>
      </right>
      <top style="thin">
        <color indexed="8"/>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64"/>
      </left>
      <right style="thin">
        <color indexed="8"/>
      </right>
      <top/>
      <bottom/>
      <diagonal/>
    </border>
    <border>
      <left style="thin">
        <color indexed="64"/>
      </left>
      <right style="thin">
        <color indexed="8"/>
      </right>
      <top/>
      <bottom style="hair">
        <color indexed="8"/>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thin">
        <color indexed="64"/>
      </right>
      <top style="hair">
        <color indexed="8"/>
      </top>
      <bottom style="thin">
        <color indexed="64"/>
      </bottom>
      <diagonal/>
    </border>
    <border>
      <left style="thin">
        <color indexed="8"/>
      </left>
      <right style="thin">
        <color indexed="64"/>
      </right>
      <top style="hair">
        <color indexed="8"/>
      </top>
      <bottom/>
      <diagonal/>
    </border>
    <border>
      <left style="thin">
        <color indexed="8"/>
      </left>
      <right style="thin">
        <color indexed="8"/>
      </right>
      <top style="thin">
        <color indexed="64"/>
      </top>
      <bottom style="thin">
        <color indexed="8"/>
      </bottom>
      <diagonal/>
    </border>
    <border>
      <left style="thin">
        <color indexed="64"/>
      </left>
      <right style="thin">
        <color indexed="64"/>
      </right>
      <top style="hair">
        <color indexed="8"/>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top/>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rgb="FF7A9FCD"/>
      </left>
      <right style="thin">
        <color rgb="FF7A9FCD"/>
      </right>
      <top style="thin">
        <color rgb="FF7A9FCD"/>
      </top>
      <bottom/>
      <diagonal/>
    </border>
    <border>
      <left/>
      <right style="thin">
        <color rgb="FF7A9FCD"/>
      </right>
      <top style="thin">
        <color rgb="FF7A9FCD"/>
      </top>
      <bottom style="thin">
        <color rgb="FF7A9FCD"/>
      </bottom>
      <diagonal/>
    </border>
    <border>
      <left style="thin">
        <color rgb="FF7A9FCD"/>
      </left>
      <right style="thin">
        <color rgb="FF7A9FCD"/>
      </right>
      <top/>
      <bottom style="thin">
        <color rgb="FF7A9FCD"/>
      </bottom>
      <diagonal/>
    </border>
    <border>
      <left style="thin">
        <color rgb="FF7A9FCD"/>
      </left>
      <right style="thin">
        <color rgb="FF7A9FCD"/>
      </right>
      <top style="thin">
        <color rgb="FF7A9FCD"/>
      </top>
      <bottom style="thin">
        <color rgb="FF7A9FCD"/>
      </bottom>
      <diagonal/>
    </border>
    <border>
      <left style="thin">
        <color rgb="FF7A9FCD"/>
      </left>
      <right/>
      <top style="thin">
        <color rgb="FF7A9FCD"/>
      </top>
      <bottom style="thin">
        <color rgb="FF7A9FCD"/>
      </bottom>
      <diagonal/>
    </border>
    <border>
      <left/>
      <right/>
      <top style="thin">
        <color rgb="FF7A9FCD"/>
      </top>
      <bottom style="thin">
        <color rgb="FF7A9FCD"/>
      </bottom>
      <diagonal/>
    </border>
    <border>
      <left/>
      <right/>
      <top style="hair">
        <color indexed="8"/>
      </top>
      <bottom style="hair">
        <color indexed="8"/>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8"/>
      </right>
      <top style="thin">
        <color indexed="8"/>
      </top>
      <bottom/>
      <diagonal/>
    </border>
    <border>
      <left style="thin">
        <color theme="1"/>
      </left>
      <right style="medium">
        <color indexed="64"/>
      </right>
      <top style="thin">
        <color theme="1"/>
      </top>
      <bottom style="medium">
        <color indexed="64"/>
      </bottom>
      <diagonal/>
    </border>
    <border>
      <left style="thin">
        <color theme="1"/>
      </left>
      <right style="thin">
        <color theme="1"/>
      </right>
      <top style="thin">
        <color theme="1"/>
      </top>
      <bottom style="medium">
        <color indexed="64"/>
      </bottom>
      <diagonal/>
    </border>
    <border>
      <left style="medium">
        <color indexed="64"/>
      </left>
      <right style="thin">
        <color theme="1"/>
      </right>
      <top style="thin">
        <color theme="1"/>
      </top>
      <bottom style="medium">
        <color indexed="64"/>
      </bottom>
      <diagonal/>
    </border>
    <border>
      <left style="thin">
        <color theme="1"/>
      </left>
      <right style="medium">
        <color indexed="64"/>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medium">
        <color indexed="64"/>
      </top>
      <bottom style="thin">
        <color theme="1"/>
      </bottom>
      <diagonal/>
    </border>
    <border>
      <left style="thin">
        <color theme="1"/>
      </left>
      <right style="thin">
        <color theme="1"/>
      </right>
      <top style="medium">
        <color indexed="64"/>
      </top>
      <bottom style="thin">
        <color theme="1"/>
      </bottom>
      <diagonal/>
    </border>
    <border>
      <left style="medium">
        <color indexed="64"/>
      </left>
      <right style="thin">
        <color theme="1"/>
      </right>
      <top style="medium">
        <color indexed="64"/>
      </top>
      <bottom style="thin">
        <color theme="1"/>
      </bottom>
      <diagonal/>
    </border>
    <border>
      <left style="thin">
        <color theme="1"/>
      </left>
      <right style="medium">
        <color indexed="64"/>
      </right>
      <top style="thin">
        <color theme="1"/>
      </top>
      <bottom style="medium">
        <color theme="1"/>
      </bottom>
      <diagonal/>
    </border>
    <border>
      <left style="thin">
        <color theme="1"/>
      </left>
      <right style="thin">
        <color theme="1"/>
      </right>
      <top style="thin">
        <color theme="1"/>
      </top>
      <bottom style="medium">
        <color theme="1"/>
      </bottom>
      <diagonal/>
    </border>
    <border>
      <left style="medium">
        <color indexed="64"/>
      </left>
      <right style="thin">
        <color theme="1"/>
      </right>
      <top style="thin">
        <color theme="1"/>
      </top>
      <bottom style="medium">
        <color theme="1"/>
      </bottom>
      <diagonal/>
    </border>
    <border>
      <left style="thin">
        <color theme="1"/>
      </left>
      <right style="medium">
        <color indexed="64"/>
      </right>
      <top style="medium">
        <color theme="1"/>
      </top>
      <bottom style="thin">
        <color theme="1"/>
      </bottom>
      <diagonal/>
    </border>
    <border>
      <left style="thin">
        <color theme="1"/>
      </left>
      <right style="thin">
        <color theme="1"/>
      </right>
      <top style="medium">
        <color theme="1"/>
      </top>
      <bottom style="thin">
        <color theme="1"/>
      </bottom>
      <diagonal/>
    </border>
    <border>
      <left style="medium">
        <color indexed="64"/>
      </left>
      <right style="thin">
        <color theme="1"/>
      </right>
      <top style="medium">
        <color theme="1"/>
      </top>
      <bottom style="thin">
        <color theme="1"/>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top style="thin">
        <color rgb="FFA0A0A0"/>
      </top>
      <bottom/>
      <diagonal/>
    </border>
    <border>
      <left/>
      <right/>
      <top/>
      <bottom style="thin">
        <color rgb="FFA0A0A0"/>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8"/>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s>
  <cellStyleXfs count="11">
    <xf numFmtId="0" fontId="0" fillId="0" borderId="0"/>
    <xf numFmtId="9" fontId="1" fillId="0" borderId="0" applyFont="0" applyFill="0" applyBorder="0" applyAlignment="0" applyProtection="0"/>
    <xf numFmtId="0" fontId="5" fillId="0" borderId="0"/>
    <xf numFmtId="0" fontId="1" fillId="0" borderId="0"/>
    <xf numFmtId="165" fontId="5" fillId="0" borderId="0" applyFill="0" applyBorder="0" applyAlignment="0" applyProtection="0"/>
    <xf numFmtId="9" fontId="5" fillId="0" borderId="0" applyFill="0" applyBorder="0" applyAlignment="0" applyProtection="0"/>
    <xf numFmtId="9" fontId="5" fillId="0" borderId="0" applyFont="0" applyFill="0" applyBorder="0" applyAlignment="0" applyProtection="0"/>
    <xf numFmtId="0" fontId="1" fillId="0" borderId="0"/>
    <xf numFmtId="167" fontId="5" fillId="0" borderId="0" applyFont="0" applyFill="0" applyBorder="0" applyAlignment="0" applyProtection="0"/>
    <xf numFmtId="43" fontId="1" fillId="0" borderId="0" applyFont="0" applyFill="0" applyBorder="0" applyAlignment="0" applyProtection="0"/>
    <xf numFmtId="0" fontId="5" fillId="0" borderId="0"/>
  </cellStyleXfs>
  <cellXfs count="769">
    <xf numFmtId="0" fontId="0" fillId="0" borderId="0" xfId="0"/>
    <xf numFmtId="0" fontId="4"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0" borderId="10" xfId="0" applyFont="1" applyBorder="1" applyAlignment="1">
      <alignment horizontal="center"/>
    </xf>
    <xf numFmtId="0" fontId="4" fillId="0" borderId="9"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left" vertical="center"/>
    </xf>
    <xf numFmtId="0" fontId="0" fillId="0" borderId="5" xfId="0" applyBorder="1" applyAlignment="1">
      <alignment horizontal="center" vertical="center"/>
    </xf>
    <xf numFmtId="0" fontId="4" fillId="0" borderId="5" xfId="0" applyFont="1" applyBorder="1" applyAlignment="1">
      <alignment horizontal="center"/>
    </xf>
    <xf numFmtId="0" fontId="4" fillId="0" borderId="6" xfId="0" applyFont="1" applyBorder="1" applyAlignment="1">
      <alignment horizontal="left" vertical="center"/>
    </xf>
    <xf numFmtId="4" fontId="0" fillId="0" borderId="5" xfId="0" applyNumberFormat="1" applyBorder="1"/>
    <xf numFmtId="4" fontId="2" fillId="0" borderId="5" xfId="0" applyNumberFormat="1" applyFont="1" applyBorder="1"/>
    <xf numFmtId="0" fontId="3" fillId="0" borderId="6" xfId="0" applyFont="1" applyBorder="1" applyAlignment="1">
      <alignment horizontal="left"/>
    </xf>
    <xf numFmtId="10" fontId="0" fillId="0" borderId="5" xfId="1" applyNumberFormat="1" applyFont="1" applyBorder="1"/>
    <xf numFmtId="0" fontId="4" fillId="0" borderId="6" xfId="0" applyFont="1" applyBorder="1" applyAlignment="1">
      <alignment horizontal="left"/>
    </xf>
    <xf numFmtId="2" fontId="0" fillId="0" borderId="5" xfId="0" applyNumberFormat="1" applyBorder="1" applyAlignment="1">
      <alignment horizontal="right"/>
    </xf>
    <xf numFmtId="4" fontId="0" fillId="0" borderId="5" xfId="0" applyNumberFormat="1" applyBorder="1" applyAlignment="1">
      <alignment horizontal="right"/>
    </xf>
    <xf numFmtId="2" fontId="0" fillId="0" borderId="3" xfId="0" applyNumberFormat="1" applyBorder="1" applyAlignment="1">
      <alignment horizontal="right"/>
    </xf>
    <xf numFmtId="4" fontId="0" fillId="0" borderId="3" xfId="0" applyNumberFormat="1" applyBorder="1" applyAlignment="1">
      <alignment horizontal="right"/>
    </xf>
    <xf numFmtId="0" fontId="0" fillId="0" borderId="3" xfId="0" applyBorder="1"/>
    <xf numFmtId="4" fontId="2" fillId="0" borderId="3" xfId="0" applyNumberFormat="1" applyFont="1" applyBorder="1"/>
    <xf numFmtId="0" fontId="3" fillId="0" borderId="4" xfId="0" applyFont="1" applyBorder="1" applyAlignment="1">
      <alignment horizontal="left"/>
    </xf>
    <xf numFmtId="0" fontId="3" fillId="0" borderId="1" xfId="0" applyFont="1" applyBorder="1" applyAlignment="1">
      <alignment horizontal="center"/>
    </xf>
    <xf numFmtId="0" fontId="3" fillId="0" borderId="2" xfId="0" applyFont="1" applyBorder="1" applyAlignment="1">
      <alignment horizontal="left"/>
    </xf>
    <xf numFmtId="0" fontId="0" fillId="0" borderId="1" xfId="0" applyBorder="1"/>
    <xf numFmtId="4" fontId="2" fillId="0" borderId="1" xfId="0" applyNumberFormat="1" applyFont="1" applyBorder="1"/>
    <xf numFmtId="0" fontId="2" fillId="2" borderId="1" xfId="0" applyFont="1" applyFill="1" applyBorder="1" applyAlignment="1">
      <alignment horizontal="center" vertical="center"/>
    </xf>
    <xf numFmtId="0" fontId="0" fillId="0" borderId="10" xfId="0" applyBorder="1" applyAlignment="1">
      <alignment horizontal="center"/>
    </xf>
    <xf numFmtId="0" fontId="2" fillId="0" borderId="5" xfId="0" applyFont="1" applyBorder="1" applyAlignment="1">
      <alignment horizontal="center"/>
    </xf>
    <xf numFmtId="0" fontId="2" fillId="0" borderId="5" xfId="0" applyFont="1" applyBorder="1" applyAlignment="1">
      <alignment horizontal="left" vertical="center"/>
    </xf>
    <xf numFmtId="0" fontId="0" fillId="0" borderId="5" xfId="0" applyBorder="1" applyAlignment="1">
      <alignment horizontal="center"/>
    </xf>
    <xf numFmtId="0" fontId="0" fillId="0" borderId="5" xfId="0" applyBorder="1" applyAlignment="1">
      <alignment horizontal="left" vertical="center"/>
    </xf>
    <xf numFmtId="4" fontId="0" fillId="4" borderId="5" xfId="0" applyNumberFormat="1" applyFill="1" applyBorder="1"/>
    <xf numFmtId="9" fontId="0" fillId="0" borderId="5" xfId="1" applyFont="1" applyBorder="1"/>
    <xf numFmtId="0" fontId="2" fillId="0" borderId="5" xfId="0" applyFont="1"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0" borderId="3" xfId="0" applyFont="1" applyBorder="1" applyAlignment="1">
      <alignment horizontal="left"/>
    </xf>
    <xf numFmtId="0" fontId="0" fillId="0" borderId="16" xfId="0" applyBorder="1" applyAlignment="1">
      <alignment horizontal="center"/>
    </xf>
    <xf numFmtId="0" fontId="2" fillId="0" borderId="16" xfId="0" applyFont="1" applyBorder="1" applyAlignment="1">
      <alignment horizontal="left"/>
    </xf>
    <xf numFmtId="0" fontId="0" fillId="0" borderId="16" xfId="0" applyBorder="1"/>
    <xf numFmtId="4" fontId="2" fillId="0" borderId="16" xfId="0" applyNumberFormat="1" applyFont="1" applyBorder="1"/>
    <xf numFmtId="0" fontId="2" fillId="0" borderId="1" xfId="0" applyFont="1" applyBorder="1" applyAlignment="1">
      <alignment horizontal="center"/>
    </xf>
    <xf numFmtId="0" fontId="2" fillId="0" borderId="1" xfId="0" applyFont="1" applyBorder="1" applyAlignment="1">
      <alignment horizontal="left"/>
    </xf>
    <xf numFmtId="0" fontId="3" fillId="0" borderId="5" xfId="0" applyFont="1" applyBorder="1" applyAlignment="1">
      <alignment horizontal="left"/>
    </xf>
    <xf numFmtId="4" fontId="4" fillId="0" borderId="5" xfId="0" applyNumberFormat="1" applyFont="1" applyBorder="1"/>
    <xf numFmtId="0" fontId="9" fillId="0" borderId="0" xfId="2" applyFont="1" applyAlignment="1">
      <alignment vertical="center"/>
    </xf>
    <xf numFmtId="0" fontId="10" fillId="0" borderId="0" xfId="2" applyFont="1" applyAlignment="1">
      <alignment vertical="center"/>
    </xf>
    <xf numFmtId="0" fontId="10" fillId="4" borderId="0" xfId="2" applyFont="1" applyFill="1" applyAlignment="1">
      <alignment vertical="center"/>
    </xf>
    <xf numFmtId="43" fontId="11" fillId="0" borderId="0" xfId="2" applyNumberFormat="1" applyFont="1" applyAlignment="1">
      <alignment vertical="center"/>
    </xf>
    <xf numFmtId="4" fontId="8" fillId="0" borderId="0" xfId="2" applyNumberFormat="1" applyFont="1" applyAlignment="1">
      <alignment vertical="center"/>
    </xf>
    <xf numFmtId="0" fontId="9" fillId="4" borderId="0" xfId="2" applyFont="1" applyFill="1" applyAlignment="1">
      <alignment vertical="center"/>
    </xf>
    <xf numFmtId="164" fontId="12" fillId="5" borderId="27" xfId="3" applyNumberFormat="1" applyFont="1" applyFill="1" applyBorder="1" applyAlignment="1">
      <alignment horizontal="center"/>
    </xf>
    <xf numFmtId="0" fontId="12" fillId="5" borderId="28" xfId="3" applyFont="1" applyFill="1" applyBorder="1"/>
    <xf numFmtId="0" fontId="12" fillId="5" borderId="28" xfId="3" applyFont="1" applyFill="1" applyBorder="1" applyAlignment="1">
      <alignment horizontal="center"/>
    </xf>
    <xf numFmtId="4" fontId="9" fillId="0" borderId="29" xfId="4" applyNumberFormat="1" applyFont="1" applyBorder="1" applyAlignment="1">
      <alignment horizontal="center" vertical="center"/>
    </xf>
    <xf numFmtId="4" fontId="9" fillId="0" borderId="1" xfId="2" applyNumberFormat="1" applyFont="1" applyBorder="1" applyAlignment="1">
      <alignment horizontal="center" vertical="center"/>
    </xf>
    <xf numFmtId="10" fontId="9" fillId="0" borderId="1" xfId="2" applyNumberFormat="1" applyFont="1" applyBorder="1" applyAlignment="1">
      <alignment horizontal="right" vertical="center"/>
    </xf>
    <xf numFmtId="0" fontId="9" fillId="0" borderId="1" xfId="2" applyFont="1" applyBorder="1" applyAlignment="1">
      <alignment horizontal="center" vertical="center"/>
    </xf>
    <xf numFmtId="0" fontId="9" fillId="0" borderId="30" xfId="3" applyFont="1" applyBorder="1"/>
    <xf numFmtId="4" fontId="9" fillId="0" borderId="1" xfId="4" applyNumberFormat="1" applyFont="1" applyBorder="1" applyAlignment="1">
      <alignment horizontal="center" vertical="center"/>
    </xf>
    <xf numFmtId="4" fontId="8" fillId="0" borderId="1" xfId="2" applyNumberFormat="1" applyFont="1" applyBorder="1" applyAlignment="1">
      <alignment vertical="center"/>
    </xf>
    <xf numFmtId="4" fontId="9" fillId="4" borderId="1" xfId="2" applyNumberFormat="1" applyFont="1" applyFill="1" applyBorder="1" applyAlignment="1">
      <alignment vertical="center"/>
    </xf>
    <xf numFmtId="4" fontId="9" fillId="4" borderId="1" xfId="2" applyNumberFormat="1" applyFont="1" applyFill="1" applyBorder="1" applyAlignment="1">
      <alignment horizontal="center" vertical="center"/>
    </xf>
    <xf numFmtId="0" fontId="9" fillId="0" borderId="30" xfId="3" applyFont="1" applyBorder="1" applyAlignment="1">
      <alignment horizontal="left"/>
    </xf>
    <xf numFmtId="4" fontId="9" fillId="0" borderId="10" xfId="4" applyNumberFormat="1" applyFont="1" applyBorder="1" applyAlignment="1">
      <alignment horizontal="center" vertical="center"/>
    </xf>
    <xf numFmtId="0" fontId="12" fillId="5" borderId="27" xfId="3" applyFont="1" applyFill="1" applyBorder="1"/>
    <xf numFmtId="164" fontId="9" fillId="0" borderId="31" xfId="2" applyNumberFormat="1" applyFont="1" applyBorder="1" applyAlignment="1">
      <alignment horizontal="center" vertical="center"/>
    </xf>
    <xf numFmtId="164" fontId="9" fillId="0" borderId="30" xfId="2" applyNumberFormat="1" applyFont="1" applyBorder="1" applyAlignment="1">
      <alignment horizontal="center" vertical="center"/>
    </xf>
    <xf numFmtId="4" fontId="9" fillId="0" borderId="30" xfId="2" applyNumberFormat="1" applyFont="1" applyBorder="1"/>
    <xf numFmtId="0" fontId="7" fillId="0" borderId="30" xfId="2" applyFont="1" applyBorder="1" applyAlignment="1">
      <alignment horizontal="center"/>
    </xf>
    <xf numFmtId="0" fontId="7" fillId="0" borderId="30" xfId="2" applyFont="1" applyBorder="1"/>
    <xf numFmtId="0" fontId="9" fillId="0" borderId="32" xfId="2" applyFont="1" applyBorder="1" applyAlignment="1">
      <alignment horizontal="center"/>
    </xf>
    <xf numFmtId="4" fontId="8" fillId="6" borderId="33" xfId="2" applyNumberFormat="1" applyFont="1" applyFill="1" applyBorder="1" applyAlignment="1">
      <alignment vertical="center"/>
    </xf>
    <xf numFmtId="0" fontId="9" fillId="6" borderId="34" xfId="2" applyFont="1" applyFill="1" applyBorder="1" applyAlignment="1">
      <alignment vertical="center"/>
    </xf>
    <xf numFmtId="4" fontId="9" fillId="6" borderId="34" xfId="2" applyNumberFormat="1" applyFont="1" applyFill="1" applyBorder="1" applyAlignment="1">
      <alignment vertical="center"/>
    </xf>
    <xf numFmtId="0" fontId="8" fillId="6" borderId="34" xfId="2" applyFont="1" applyFill="1" applyBorder="1" applyAlignment="1">
      <alignment vertical="center"/>
    </xf>
    <xf numFmtId="0" fontId="8" fillId="6" borderId="35" xfId="2" applyFont="1" applyFill="1" applyBorder="1" applyAlignment="1">
      <alignment horizontal="center" vertical="center"/>
    </xf>
    <xf numFmtId="0" fontId="10" fillId="7" borderId="0" xfId="2" applyFont="1" applyFill="1" applyAlignment="1">
      <alignment vertical="center"/>
    </xf>
    <xf numFmtId="0" fontId="4" fillId="0" borderId="0" xfId="2" applyFont="1" applyAlignment="1">
      <alignment vertical="center"/>
    </xf>
    <xf numFmtId="4" fontId="10" fillId="0" borderId="0" xfId="2" applyNumberFormat="1" applyFont="1" applyAlignment="1">
      <alignment vertical="center"/>
    </xf>
    <xf numFmtId="4" fontId="9" fillId="0" borderId="0" xfId="2" applyNumberFormat="1" applyFont="1" applyAlignment="1">
      <alignment vertical="center"/>
    </xf>
    <xf numFmtId="4" fontId="11" fillId="0" borderId="0" xfId="2" applyNumberFormat="1" applyFont="1" applyAlignment="1">
      <alignment vertical="center"/>
    </xf>
    <xf numFmtId="4" fontId="8" fillId="6" borderId="36" xfId="2" applyNumberFormat="1" applyFont="1" applyFill="1" applyBorder="1" applyAlignment="1">
      <alignment horizontal="center" vertical="center" wrapText="1"/>
    </xf>
    <xf numFmtId="0" fontId="8" fillId="6" borderId="37" xfId="2" applyFont="1" applyFill="1" applyBorder="1" applyAlignment="1">
      <alignment horizontal="center" vertical="center" wrapText="1"/>
    </xf>
    <xf numFmtId="4" fontId="8" fillId="6" borderId="37" xfId="2" applyNumberFormat="1" applyFont="1" applyFill="1" applyBorder="1" applyAlignment="1">
      <alignment horizontal="center" vertical="center" wrapText="1"/>
    </xf>
    <xf numFmtId="0" fontId="8" fillId="6" borderId="37" xfId="2" applyFont="1" applyFill="1" applyBorder="1" applyAlignment="1">
      <alignment vertical="center" wrapText="1"/>
    </xf>
    <xf numFmtId="0" fontId="8" fillId="6" borderId="38" xfId="2" applyFont="1" applyFill="1" applyBorder="1" applyAlignment="1">
      <alignment horizontal="center" vertical="center" wrapText="1"/>
    </xf>
    <xf numFmtId="0" fontId="8" fillId="0" borderId="0" xfId="2" applyFont="1" applyAlignment="1">
      <alignment vertical="center"/>
    </xf>
    <xf numFmtId="0" fontId="10" fillId="4" borderId="0" xfId="2" applyFont="1" applyFill="1" applyAlignment="1">
      <alignment horizontal="right" vertical="center"/>
    </xf>
    <xf numFmtId="0" fontId="11" fillId="0" borderId="0" xfId="2" applyFont="1" applyAlignment="1">
      <alignment horizontal="center" vertical="center"/>
    </xf>
    <xf numFmtId="0" fontId="3" fillId="0" borderId="0" xfId="2" applyFont="1" applyAlignment="1">
      <alignment vertical="center"/>
    </xf>
    <xf numFmtId="0" fontId="7" fillId="0" borderId="0" xfId="3" applyFont="1"/>
    <xf numFmtId="0" fontId="14" fillId="0" borderId="0" xfId="3" applyFont="1"/>
    <xf numFmtId="0" fontId="12" fillId="0" borderId="0" xfId="3" applyFont="1"/>
    <xf numFmtId="0" fontId="9" fillId="0" borderId="0" xfId="3" applyFont="1"/>
    <xf numFmtId="164" fontId="9" fillId="0" borderId="0" xfId="3" applyNumberFormat="1" applyFont="1"/>
    <xf numFmtId="0" fontId="7" fillId="0" borderId="30" xfId="3" applyFont="1" applyBorder="1"/>
    <xf numFmtId="0" fontId="9" fillId="0" borderId="30" xfId="3" applyFont="1" applyBorder="1" applyAlignment="1">
      <alignment horizontal="center"/>
    </xf>
    <xf numFmtId="0" fontId="9" fillId="0" borderId="32" xfId="3" applyFont="1" applyBorder="1"/>
    <xf numFmtId="4" fontId="9" fillId="0" borderId="30" xfId="3" applyNumberFormat="1" applyFont="1" applyBorder="1" applyAlignment="1">
      <alignment horizontal="center"/>
    </xf>
    <xf numFmtId="0" fontId="8" fillId="0" borderId="30" xfId="3" applyFont="1" applyBorder="1"/>
    <xf numFmtId="0" fontId="8" fillId="0" borderId="32" xfId="3" applyFont="1" applyBorder="1" applyAlignment="1">
      <alignment horizontal="center"/>
    </xf>
    <xf numFmtId="164" fontId="8" fillId="0" borderId="31" xfId="3" applyNumberFormat="1" applyFont="1" applyBorder="1" applyAlignment="1">
      <alignment horizontal="center" vertical="center"/>
    </xf>
    <xf numFmtId="164" fontId="8" fillId="7" borderId="30" xfId="3" applyNumberFormat="1" applyFont="1" applyFill="1" applyBorder="1" applyAlignment="1">
      <alignment horizontal="center" vertical="center"/>
    </xf>
    <xf numFmtId="4" fontId="9" fillId="7" borderId="30" xfId="3" applyNumberFormat="1" applyFont="1" applyFill="1" applyBorder="1"/>
    <xf numFmtId="4" fontId="7" fillId="0" borderId="30" xfId="3" applyNumberFormat="1" applyFont="1" applyBorder="1" applyAlignment="1">
      <alignment horizontal="center"/>
    </xf>
    <xf numFmtId="0" fontId="6" fillId="0" borderId="30" xfId="3" applyFont="1" applyBorder="1"/>
    <xf numFmtId="164" fontId="9" fillId="0" borderId="31" xfId="3" applyNumberFormat="1" applyFont="1" applyBorder="1" applyAlignment="1">
      <alignment horizontal="center" vertical="center"/>
    </xf>
    <xf numFmtId="4" fontId="9" fillId="0" borderId="30" xfId="3" applyNumberFormat="1" applyFont="1" applyBorder="1"/>
    <xf numFmtId="0" fontId="7" fillId="0" borderId="30" xfId="3" applyFont="1" applyBorder="1" applyAlignment="1">
      <alignment horizontal="center"/>
    </xf>
    <xf numFmtId="0" fontId="9" fillId="0" borderId="32" xfId="3" applyFont="1" applyBorder="1" applyAlignment="1">
      <alignment horizontal="center"/>
    </xf>
    <xf numFmtId="164" fontId="8" fillId="6" borderId="31" xfId="3" applyNumberFormat="1" applyFont="1" applyFill="1" applyBorder="1" applyAlignment="1">
      <alignment horizontal="center" vertical="center"/>
    </xf>
    <xf numFmtId="164" fontId="9" fillId="6" borderId="30" xfId="3" applyNumberFormat="1" applyFont="1" applyFill="1" applyBorder="1" applyAlignment="1">
      <alignment horizontal="center" vertical="center"/>
    </xf>
    <xf numFmtId="4" fontId="9" fillId="6" borderId="30" xfId="3" applyNumberFormat="1" applyFont="1" applyFill="1" applyBorder="1"/>
    <xf numFmtId="0" fontId="7" fillId="6" borderId="30" xfId="3" applyFont="1" applyFill="1" applyBorder="1" applyAlignment="1">
      <alignment horizontal="center"/>
    </xf>
    <xf numFmtId="0" fontId="6" fillId="6" borderId="30" xfId="3" applyFont="1" applyFill="1" applyBorder="1"/>
    <xf numFmtId="0" fontId="8" fillId="6" borderId="32" xfId="3" applyFont="1" applyFill="1" applyBorder="1" applyAlignment="1">
      <alignment horizontal="center"/>
    </xf>
    <xf numFmtId="164" fontId="9" fillId="0" borderId="30" xfId="3" applyNumberFormat="1" applyFont="1" applyBorder="1" applyAlignment="1">
      <alignment horizontal="center" vertical="center"/>
    </xf>
    <xf numFmtId="0" fontId="7" fillId="7" borderId="30" xfId="3" applyFont="1" applyFill="1" applyBorder="1"/>
    <xf numFmtId="4" fontId="8" fillId="0" borderId="30" xfId="3" applyNumberFormat="1" applyFont="1" applyBorder="1"/>
    <xf numFmtId="4" fontId="6" fillId="0" borderId="30" xfId="3" applyNumberFormat="1" applyFont="1" applyBorder="1" applyAlignment="1">
      <alignment horizontal="center"/>
    </xf>
    <xf numFmtId="164" fontId="7" fillId="7" borderId="30" xfId="3" applyNumberFormat="1" applyFont="1" applyFill="1" applyBorder="1" applyAlignment="1">
      <alignment horizontal="center" vertical="center"/>
    </xf>
    <xf numFmtId="4" fontId="7" fillId="7" borderId="30" xfId="3" applyNumberFormat="1" applyFont="1" applyFill="1" applyBorder="1" applyAlignment="1">
      <alignment horizontal="right"/>
    </xf>
    <xf numFmtId="4" fontId="7" fillId="7" borderId="30" xfId="3" applyNumberFormat="1" applyFont="1" applyFill="1" applyBorder="1" applyAlignment="1">
      <alignment horizontal="center"/>
    </xf>
    <xf numFmtId="0" fontId="7" fillId="7" borderId="32" xfId="3" applyFont="1" applyFill="1" applyBorder="1" applyAlignment="1">
      <alignment horizontal="center"/>
    </xf>
    <xf numFmtId="4" fontId="8" fillId="6" borderId="39" xfId="3" applyNumberFormat="1" applyFont="1" applyFill="1" applyBorder="1"/>
    <xf numFmtId="0" fontId="9" fillId="6" borderId="40" xfId="3" applyFont="1" applyFill="1" applyBorder="1"/>
    <xf numFmtId="4" fontId="9" fillId="6" borderId="40" xfId="3" applyNumberFormat="1" applyFont="1" applyFill="1" applyBorder="1"/>
    <xf numFmtId="0" fontId="8" fillId="6" borderId="40" xfId="3" applyFont="1" applyFill="1" applyBorder="1"/>
    <xf numFmtId="0" fontId="8" fillId="6" borderId="41" xfId="3" applyFont="1" applyFill="1" applyBorder="1" applyAlignment="1">
      <alignment horizontal="center"/>
    </xf>
    <xf numFmtId="164" fontId="7" fillId="0" borderId="0" xfId="3" applyNumberFormat="1" applyFont="1"/>
    <xf numFmtId="4" fontId="7" fillId="0" borderId="0" xfId="3" applyNumberFormat="1" applyFont="1"/>
    <xf numFmtId="166" fontId="7" fillId="0" borderId="0" xfId="3" applyNumberFormat="1" applyFont="1"/>
    <xf numFmtId="0" fontId="7" fillId="7" borderId="0" xfId="3" applyFont="1" applyFill="1"/>
    <xf numFmtId="0" fontId="6" fillId="7" borderId="0" xfId="3" applyFont="1" applyFill="1"/>
    <xf numFmtId="2" fontId="9" fillId="0" borderId="0" xfId="3" applyNumberFormat="1" applyFont="1"/>
    <xf numFmtId="4" fontId="9" fillId="0" borderId="0" xfId="3" applyNumberFormat="1" applyFont="1"/>
    <xf numFmtId="10" fontId="9" fillId="0" borderId="0" xfId="3" applyNumberFormat="1" applyFont="1"/>
    <xf numFmtId="0" fontId="12" fillId="5" borderId="43" xfId="3" applyFont="1" applyFill="1" applyBorder="1"/>
    <xf numFmtId="4" fontId="7" fillId="0" borderId="30" xfId="3" applyNumberFormat="1" applyFont="1" applyBorder="1"/>
    <xf numFmtId="0" fontId="7" fillId="0" borderId="32" xfId="3" applyFont="1" applyBorder="1"/>
    <xf numFmtId="0" fontId="7" fillId="0" borderId="32" xfId="3" applyFont="1" applyBorder="1" applyAlignment="1">
      <alignment horizontal="center"/>
    </xf>
    <xf numFmtId="49" fontId="7" fillId="0" borderId="30" xfId="3" applyNumberFormat="1" applyFont="1" applyBorder="1"/>
    <xf numFmtId="4" fontId="7" fillId="6" borderId="30" xfId="3" applyNumberFormat="1" applyFont="1" applyFill="1" applyBorder="1"/>
    <xf numFmtId="0" fontId="6" fillId="6" borderId="32" xfId="3" applyFont="1" applyFill="1" applyBorder="1" applyAlignment="1">
      <alignment horizontal="center"/>
    </xf>
    <xf numFmtId="2" fontId="8" fillId="0" borderId="0" xfId="3" applyNumberFormat="1" applyFont="1"/>
    <xf numFmtId="4" fontId="7" fillId="7" borderId="30" xfId="3" applyNumberFormat="1" applyFont="1" applyFill="1" applyBorder="1"/>
    <xf numFmtId="0" fontId="8" fillId="0" borderId="0" xfId="3" applyFont="1"/>
    <xf numFmtId="0" fontId="9" fillId="6" borderId="34" xfId="3" applyFont="1" applyFill="1" applyBorder="1"/>
    <xf numFmtId="4" fontId="9" fillId="6" borderId="34" xfId="3" applyNumberFormat="1" applyFont="1" applyFill="1" applyBorder="1"/>
    <xf numFmtId="0" fontId="8" fillId="6" borderId="34" xfId="3" applyFont="1" applyFill="1" applyBorder="1"/>
    <xf numFmtId="0" fontId="8" fillId="6" borderId="35" xfId="3" applyFont="1" applyFill="1" applyBorder="1" applyAlignment="1">
      <alignment horizontal="center"/>
    </xf>
    <xf numFmtId="10" fontId="9" fillId="0" borderId="0" xfId="2" applyNumberFormat="1" applyFont="1" applyAlignment="1">
      <alignment horizontal="center" vertical="center"/>
    </xf>
    <xf numFmtId="0" fontId="9" fillId="0" borderId="0" xfId="2" applyFont="1" applyAlignment="1">
      <alignment horizontal="center" vertical="center"/>
    </xf>
    <xf numFmtId="10" fontId="9" fillId="0" borderId="0" xfId="5" applyNumberFormat="1" applyFont="1" applyFill="1" applyBorder="1" applyAlignment="1" applyProtection="1">
      <alignment vertical="center"/>
    </xf>
    <xf numFmtId="165" fontId="9" fillId="0" borderId="0" xfId="2" applyNumberFormat="1" applyFont="1" applyAlignment="1">
      <alignment horizontal="center" vertical="center"/>
    </xf>
    <xf numFmtId="165" fontId="8" fillId="0" borderId="0" xfId="2" applyNumberFormat="1" applyFont="1" applyAlignment="1">
      <alignment vertical="center"/>
    </xf>
    <xf numFmtId="165" fontId="9" fillId="0" borderId="0" xfId="4" applyFont="1" applyFill="1" applyBorder="1" applyAlignment="1" applyProtection="1">
      <alignment vertical="center"/>
    </xf>
    <xf numFmtId="4" fontId="9" fillId="0" borderId="0" xfId="2" applyNumberFormat="1" applyFont="1" applyAlignment="1">
      <alignment horizontal="right" vertical="center"/>
    </xf>
    <xf numFmtId="10" fontId="8" fillId="0" borderId="0" xfId="2" applyNumberFormat="1" applyFont="1" applyAlignment="1">
      <alignment vertical="center"/>
    </xf>
    <xf numFmtId="164" fontId="12" fillId="5" borderId="27" xfId="3" applyNumberFormat="1" applyFont="1" applyFill="1" applyBorder="1" applyAlignment="1">
      <alignment horizontal="center" vertical="center"/>
    </xf>
    <xf numFmtId="0" fontId="12" fillId="5" borderId="28" xfId="3" applyFont="1" applyFill="1" applyBorder="1" applyAlignment="1">
      <alignment vertical="center"/>
    </xf>
    <xf numFmtId="0" fontId="12" fillId="5" borderId="28" xfId="3" applyFont="1" applyFill="1" applyBorder="1" applyAlignment="1">
      <alignment horizontal="center" vertical="center"/>
    </xf>
    <xf numFmtId="0" fontId="7" fillId="0" borderId="30" xfId="3" applyFont="1" applyBorder="1" applyAlignment="1">
      <alignment vertical="center"/>
    </xf>
    <xf numFmtId="0" fontId="9" fillId="0" borderId="30" xfId="3" applyFont="1" applyBorder="1" applyAlignment="1">
      <alignment horizontal="center" vertical="center"/>
    </xf>
    <xf numFmtId="0" fontId="9" fillId="0" borderId="30" xfId="3" applyFont="1" applyBorder="1" applyAlignment="1">
      <alignment vertical="center"/>
    </xf>
    <xf numFmtId="0" fontId="9" fillId="0" borderId="32" xfId="3" applyFont="1" applyBorder="1" applyAlignment="1">
      <alignment vertical="center"/>
    </xf>
    <xf numFmtId="4" fontId="9" fillId="0" borderId="30" xfId="3" applyNumberFormat="1" applyFont="1" applyBorder="1" applyAlignment="1">
      <alignment horizontal="center" vertical="center"/>
    </xf>
    <xf numFmtId="0" fontId="8" fillId="0" borderId="30" xfId="3" applyFont="1" applyBorder="1" applyAlignment="1">
      <alignment vertical="center"/>
    </xf>
    <xf numFmtId="0" fontId="9" fillId="0" borderId="30" xfId="3" applyFont="1" applyBorder="1" applyAlignment="1">
      <alignment horizontal="left" vertical="center"/>
    </xf>
    <xf numFmtId="0" fontId="8" fillId="0" borderId="32" xfId="3" applyFont="1" applyBorder="1" applyAlignment="1">
      <alignment horizontal="center" vertical="center"/>
    </xf>
    <xf numFmtId="0" fontId="12" fillId="5" borderId="27" xfId="3" applyFont="1" applyFill="1" applyBorder="1" applyAlignment="1">
      <alignment vertical="center"/>
    </xf>
    <xf numFmtId="0" fontId="12" fillId="5" borderId="43" xfId="3" applyFont="1" applyFill="1" applyBorder="1" applyAlignment="1">
      <alignment vertical="center"/>
    </xf>
    <xf numFmtId="0" fontId="9" fillId="0" borderId="1" xfId="2" applyFont="1" applyBorder="1" applyAlignment="1">
      <alignment vertical="center"/>
    </xf>
    <xf numFmtId="4" fontId="9" fillId="0" borderId="1" xfId="2" applyNumberFormat="1" applyFont="1" applyBorder="1" applyAlignment="1">
      <alignment vertical="center"/>
    </xf>
    <xf numFmtId="49" fontId="9" fillId="0" borderId="1" xfId="2" applyNumberFormat="1" applyFont="1" applyBorder="1" applyAlignment="1">
      <alignment vertical="center"/>
    </xf>
    <xf numFmtId="3" fontId="9" fillId="0" borderId="0" xfId="2" applyNumberFormat="1" applyFont="1" applyAlignment="1">
      <alignment vertical="center"/>
    </xf>
    <xf numFmtId="0" fontId="8" fillId="0" borderId="0" xfId="2" applyFont="1" applyAlignment="1">
      <alignment horizontal="center" vertical="center"/>
    </xf>
    <xf numFmtId="0" fontId="8" fillId="7" borderId="42" xfId="3" applyFont="1" applyFill="1" applyBorder="1" applyAlignment="1">
      <alignment horizontal="left" vertical="justify"/>
    </xf>
    <xf numFmtId="0" fontId="15" fillId="0" borderId="0" xfId="2" applyFont="1"/>
    <xf numFmtId="10" fontId="16" fillId="0" borderId="45" xfId="2" applyNumberFormat="1" applyFont="1" applyBorder="1"/>
    <xf numFmtId="0" fontId="16" fillId="0" borderId="46" xfId="2" applyFont="1" applyBorder="1"/>
    <xf numFmtId="0" fontId="16" fillId="0" borderId="45" xfId="2" applyFont="1" applyBorder="1" applyAlignment="1">
      <alignment horizontal="center"/>
    </xf>
    <xf numFmtId="4" fontId="16" fillId="0" borderId="47" xfId="2" applyNumberFormat="1" applyFont="1" applyBorder="1"/>
    <xf numFmtId="4" fontId="16" fillId="0" borderId="24" xfId="2" applyNumberFormat="1" applyFont="1" applyBorder="1"/>
    <xf numFmtId="0" fontId="16" fillId="0" borderId="6" xfId="2" applyFont="1" applyBorder="1"/>
    <xf numFmtId="0" fontId="16" fillId="0" borderId="24" xfId="2" applyFont="1" applyBorder="1" applyAlignment="1">
      <alignment horizontal="center"/>
    </xf>
    <xf numFmtId="10" fontId="16" fillId="0" borderId="48" xfId="6" applyNumberFormat="1" applyFont="1" applyBorder="1"/>
    <xf numFmtId="10" fontId="16" fillId="0" borderId="49" xfId="6" applyNumberFormat="1" applyFont="1" applyBorder="1" applyAlignment="1"/>
    <xf numFmtId="0" fontId="16" fillId="0" borderId="50" xfId="2" applyFont="1" applyBorder="1"/>
    <xf numFmtId="0" fontId="16" fillId="0" borderId="49" xfId="2" applyFont="1" applyBorder="1" applyAlignment="1">
      <alignment horizontal="center"/>
    </xf>
    <xf numFmtId="0" fontId="7" fillId="0" borderId="0" xfId="2" applyFont="1"/>
    <xf numFmtId="4" fontId="17" fillId="0" borderId="0" xfId="2" applyNumberFormat="1" applyFont="1"/>
    <xf numFmtId="0" fontId="18" fillId="0" borderId="0" xfId="2" applyFont="1"/>
    <xf numFmtId="49" fontId="18" fillId="0" borderId="0" xfId="2" applyNumberFormat="1" applyFont="1" applyAlignment="1">
      <alignment horizontal="center"/>
    </xf>
    <xf numFmtId="4" fontId="19" fillId="0" borderId="51" xfId="2" applyNumberFormat="1" applyFont="1" applyBorder="1" applyAlignment="1">
      <alignment horizontal="right"/>
    </xf>
    <xf numFmtId="0" fontId="20" fillId="0" borderId="52" xfId="2" applyFont="1" applyBorder="1"/>
    <xf numFmtId="49" fontId="18" fillId="0" borderId="51" xfId="2" applyNumberFormat="1" applyFont="1" applyBorder="1" applyAlignment="1">
      <alignment horizontal="center"/>
    </xf>
    <xf numFmtId="4" fontId="21" fillId="0" borderId="22" xfId="2" applyNumberFormat="1" applyFont="1" applyBorder="1"/>
    <xf numFmtId="0" fontId="21" fillId="0" borderId="9" xfId="2" applyFont="1" applyBorder="1"/>
    <xf numFmtId="0" fontId="21" fillId="0" borderId="10" xfId="2" applyFont="1" applyBorder="1" applyAlignment="1">
      <alignment horizontal="center"/>
    </xf>
    <xf numFmtId="4" fontId="16" fillId="0" borderId="53" xfId="2" applyNumberFormat="1" applyFont="1" applyBorder="1"/>
    <xf numFmtId="0" fontId="16" fillId="0" borderId="54" xfId="2" applyFont="1" applyBorder="1"/>
    <xf numFmtId="0" fontId="16" fillId="0" borderId="3" xfId="2" applyFont="1" applyBorder="1" applyAlignment="1">
      <alignment horizontal="center"/>
    </xf>
    <xf numFmtId="4" fontId="16" fillId="0" borderId="25" xfId="2" applyNumberFormat="1" applyFont="1" applyBorder="1"/>
    <xf numFmtId="0" fontId="16" fillId="0" borderId="5" xfId="2" applyFont="1" applyBorder="1"/>
    <xf numFmtId="0" fontId="16" fillId="0" borderId="5" xfId="2" applyFont="1" applyBorder="1" applyAlignment="1">
      <alignment horizontal="center"/>
    </xf>
    <xf numFmtId="0" fontId="16" fillId="0" borderId="0" xfId="2" applyFont="1"/>
    <xf numFmtId="4" fontId="21" fillId="0" borderId="49" xfId="2" applyNumberFormat="1" applyFont="1" applyBorder="1"/>
    <xf numFmtId="0" fontId="21" fillId="0" borderId="50" xfId="2" applyFont="1" applyBorder="1"/>
    <xf numFmtId="0" fontId="21" fillId="0" borderId="49" xfId="2" applyFont="1" applyBorder="1" applyAlignment="1">
      <alignment horizontal="center"/>
    </xf>
    <xf numFmtId="0" fontId="16" fillId="0" borderId="3" xfId="2" applyFont="1" applyBorder="1"/>
    <xf numFmtId="4" fontId="21" fillId="0" borderId="24" xfId="2" applyNumberFormat="1" applyFont="1" applyBorder="1"/>
    <xf numFmtId="4" fontId="21" fillId="0" borderId="23" xfId="2" applyNumberFormat="1" applyFont="1" applyBorder="1"/>
    <xf numFmtId="0" fontId="21" fillId="0" borderId="55" xfId="2" applyFont="1" applyBorder="1" applyAlignment="1">
      <alignment horizontal="center" vertical="center"/>
    </xf>
    <xf numFmtId="0" fontId="22" fillId="2" borderId="20" xfId="2" applyFont="1" applyFill="1" applyBorder="1" applyAlignment="1">
      <alignment horizontal="center" vertical="center" wrapText="1"/>
    </xf>
    <xf numFmtId="0" fontId="23" fillId="2" borderId="21" xfId="2" applyFont="1" applyFill="1" applyBorder="1" applyAlignment="1">
      <alignment horizontal="center" vertical="center" wrapText="1"/>
    </xf>
    <xf numFmtId="0" fontId="24" fillId="0" borderId="0" xfId="2" applyFont="1" applyAlignment="1">
      <alignment horizontal="right"/>
    </xf>
    <xf numFmtId="0" fontId="24" fillId="0" borderId="0" xfId="2" applyFont="1" applyAlignment="1">
      <alignment horizontal="left" vertical="top" wrapText="1"/>
    </xf>
    <xf numFmtId="4" fontId="15" fillId="0" borderId="0" xfId="2" applyNumberFormat="1" applyFont="1"/>
    <xf numFmtId="10" fontId="18" fillId="0" borderId="0" xfId="2" applyNumberFormat="1" applyFont="1"/>
    <xf numFmtId="4" fontId="19" fillId="0" borderId="56" xfId="2" applyNumberFormat="1" applyFont="1" applyBorder="1" applyAlignment="1">
      <alignment horizontal="right"/>
    </xf>
    <xf numFmtId="0" fontId="20" fillId="0" borderId="26" xfId="2" applyFont="1" applyBorder="1"/>
    <xf numFmtId="49" fontId="18" fillId="0" borderId="57" xfId="2" applyNumberFormat="1" applyFont="1" applyBorder="1" applyAlignment="1">
      <alignment horizontal="center"/>
    </xf>
    <xf numFmtId="4" fontId="16" fillId="0" borderId="58" xfId="2" applyNumberFormat="1" applyFont="1" applyBorder="1"/>
    <xf numFmtId="4" fontId="16" fillId="0" borderId="5" xfId="2" applyNumberFormat="1" applyFont="1" applyBorder="1"/>
    <xf numFmtId="4" fontId="21" fillId="0" borderId="59" xfId="2" applyNumberFormat="1" applyFont="1" applyBorder="1"/>
    <xf numFmtId="0" fontId="21" fillId="0" borderId="60" xfId="2" applyFont="1" applyBorder="1"/>
    <xf numFmtId="0" fontId="21" fillId="0" borderId="61" xfId="2" applyFont="1" applyBorder="1" applyAlignment="1">
      <alignment horizontal="center"/>
    </xf>
    <xf numFmtId="10" fontId="16" fillId="0" borderId="62" xfId="2" applyNumberFormat="1" applyFont="1" applyBorder="1"/>
    <xf numFmtId="0" fontId="16" fillId="0" borderId="24" xfId="2" applyFont="1" applyBorder="1"/>
    <xf numFmtId="4" fontId="16" fillId="0" borderId="63" xfId="2" applyNumberFormat="1" applyFont="1" applyBorder="1"/>
    <xf numFmtId="4" fontId="16" fillId="0" borderId="3" xfId="2" applyNumberFormat="1" applyFont="1" applyBorder="1"/>
    <xf numFmtId="0" fontId="22" fillId="2" borderId="21" xfId="2" applyFont="1" applyFill="1" applyBorder="1" applyAlignment="1">
      <alignment horizontal="center" vertical="center" wrapText="1"/>
    </xf>
    <xf numFmtId="0" fontId="22" fillId="2" borderId="64" xfId="2" applyFont="1" applyFill="1" applyBorder="1" applyAlignment="1">
      <alignment horizontal="center" vertical="center" wrapText="1"/>
    </xf>
    <xf numFmtId="4" fontId="16" fillId="0" borderId="65" xfId="2" applyNumberFormat="1" applyFont="1" applyBorder="1"/>
    <xf numFmtId="4" fontId="16" fillId="0" borderId="45" xfId="2" applyNumberFormat="1" applyFont="1" applyBorder="1"/>
    <xf numFmtId="0" fontId="20" fillId="0" borderId="9" xfId="2" applyFont="1" applyBorder="1"/>
    <xf numFmtId="49" fontId="18" fillId="0" borderId="10" xfId="2" applyNumberFormat="1" applyFont="1" applyBorder="1" applyAlignment="1">
      <alignment horizontal="center"/>
    </xf>
    <xf numFmtId="0" fontId="1" fillId="0" borderId="0" xfId="7"/>
    <xf numFmtId="0" fontId="26" fillId="0" borderId="0" xfId="7" applyFont="1"/>
    <xf numFmtId="0" fontId="28" fillId="0" borderId="66" xfId="7" applyFont="1" applyBorder="1" applyAlignment="1">
      <alignment horizontal="left"/>
    </xf>
    <xf numFmtId="0" fontId="28" fillId="0" borderId="67" xfId="7" applyFont="1" applyBorder="1" applyAlignment="1">
      <alignment horizontal="left"/>
    </xf>
    <xf numFmtId="0" fontId="28" fillId="0" borderId="34" xfId="7" applyFont="1" applyBorder="1" applyAlignment="1">
      <alignment horizontal="left"/>
    </xf>
    <xf numFmtId="0" fontId="28" fillId="0" borderId="68" xfId="7" applyFont="1" applyBorder="1" applyAlignment="1">
      <alignment horizontal="left"/>
    </xf>
    <xf numFmtId="0" fontId="11" fillId="2" borderId="1" xfId="7" applyFont="1" applyFill="1" applyBorder="1" applyAlignment="1">
      <alignment horizontal="center" vertical="center"/>
    </xf>
    <xf numFmtId="0" fontId="28" fillId="0" borderId="0" xfId="7" applyFont="1" applyAlignment="1">
      <alignment vertical="center"/>
    </xf>
    <xf numFmtId="44" fontId="27" fillId="0" borderId="34" xfId="8" applyNumberFormat="1" applyFont="1" applyFill="1" applyBorder="1"/>
    <xf numFmtId="0" fontId="29" fillId="0" borderId="34" xfId="7" applyFont="1" applyBorder="1"/>
    <xf numFmtId="44" fontId="27" fillId="0" borderId="66" xfId="8" applyNumberFormat="1" applyFont="1" applyFill="1" applyBorder="1"/>
    <xf numFmtId="0" fontId="29" fillId="0" borderId="66" xfId="7" applyFont="1" applyBorder="1"/>
    <xf numFmtId="44" fontId="27" fillId="0" borderId="67" xfId="8" applyNumberFormat="1" applyFont="1" applyFill="1" applyBorder="1"/>
    <xf numFmtId="0" fontId="29" fillId="0" borderId="67" xfId="7" applyFont="1" applyBorder="1"/>
    <xf numFmtId="0" fontId="11" fillId="2" borderId="11" xfId="7" applyFont="1" applyFill="1" applyBorder="1" applyAlignment="1">
      <alignment vertical="center"/>
    </xf>
    <xf numFmtId="0" fontId="11" fillId="2" borderId="2" xfId="7" applyFont="1" applyFill="1" applyBorder="1" applyAlignment="1">
      <alignment vertical="center"/>
    </xf>
    <xf numFmtId="44" fontId="27" fillId="0" borderId="28" xfId="8" applyNumberFormat="1" applyFont="1" applyFill="1" applyBorder="1"/>
    <xf numFmtId="0" fontId="28" fillId="0" borderId="28" xfId="7" applyFont="1" applyBorder="1" applyAlignment="1">
      <alignment horizontal="left"/>
    </xf>
    <xf numFmtId="0" fontId="27" fillId="0" borderId="0" xfId="7" applyFont="1" applyAlignment="1">
      <alignment vertical="center"/>
    </xf>
    <xf numFmtId="0" fontId="1" fillId="0" borderId="0" xfId="7" applyAlignment="1">
      <alignment vertical="center"/>
    </xf>
    <xf numFmtId="44" fontId="1" fillId="0" borderId="0" xfId="7" applyNumberFormat="1" applyAlignment="1">
      <alignment vertical="center"/>
    </xf>
    <xf numFmtId="0" fontId="1" fillId="0" borderId="0" xfId="7" applyAlignment="1">
      <alignment horizontal="center" vertical="center"/>
    </xf>
    <xf numFmtId="44" fontId="1" fillId="0" borderId="30" xfId="7" applyNumberFormat="1" applyBorder="1" applyAlignment="1">
      <alignment vertical="center"/>
    </xf>
    <xf numFmtId="0" fontId="1" fillId="0" borderId="30" xfId="7" applyBorder="1" applyAlignment="1">
      <alignment vertical="center"/>
    </xf>
    <xf numFmtId="0" fontId="1" fillId="0" borderId="30" xfId="7" applyBorder="1" applyAlignment="1">
      <alignment horizontal="center" vertical="center"/>
    </xf>
    <xf numFmtId="0" fontId="1" fillId="0" borderId="30" xfId="7" applyBorder="1" applyAlignment="1">
      <alignment vertical="center" wrapText="1"/>
    </xf>
    <xf numFmtId="4" fontId="1" fillId="0" borderId="0" xfId="7" applyNumberFormat="1" applyAlignment="1">
      <alignment vertical="center"/>
    </xf>
    <xf numFmtId="0" fontId="1" fillId="0" borderId="30" xfId="7" applyBorder="1" applyAlignment="1">
      <alignment horizontal="center" vertical="center" wrapText="1"/>
    </xf>
    <xf numFmtId="0" fontId="8" fillId="7" borderId="42" xfId="3" applyFont="1" applyFill="1" applyBorder="1" applyAlignment="1">
      <alignment vertical="justify"/>
    </xf>
    <xf numFmtId="0" fontId="0" fillId="0" borderId="30" xfId="7" applyFont="1" applyBorder="1" applyAlignment="1">
      <alignment horizontal="center" vertical="center"/>
    </xf>
    <xf numFmtId="0" fontId="0" fillId="0" borderId="30" xfId="7" applyFont="1" applyBorder="1" applyAlignment="1">
      <alignment horizontal="center" vertical="center" wrapText="1"/>
    </xf>
    <xf numFmtId="0" fontId="0" fillId="0" borderId="30" xfId="7" applyFont="1" applyBorder="1" applyAlignment="1">
      <alignment vertical="center"/>
    </xf>
    <xf numFmtId="167" fontId="28" fillId="0" borderId="66" xfId="8" applyFont="1" applyFill="1" applyBorder="1"/>
    <xf numFmtId="167" fontId="28" fillId="0" borderId="67" xfId="8" applyFont="1" applyFill="1" applyBorder="1"/>
    <xf numFmtId="0" fontId="28" fillId="0" borderId="68" xfId="7" applyFont="1" applyBorder="1" applyAlignment="1">
      <alignment horizontal="center"/>
    </xf>
    <xf numFmtId="0" fontId="28" fillId="0" borderId="66" xfId="7" applyFont="1" applyBorder="1" applyAlignment="1">
      <alignment horizontal="center"/>
    </xf>
    <xf numFmtId="0" fontId="31" fillId="0" borderId="0" xfId="2" applyFont="1"/>
    <xf numFmtId="10" fontId="32" fillId="8" borderId="57" xfId="2" applyNumberFormat="1" applyFont="1" applyFill="1" applyBorder="1" applyAlignment="1">
      <alignment horizontal="center" vertical="center"/>
    </xf>
    <xf numFmtId="10" fontId="33" fillId="0" borderId="0" xfId="2" applyNumberFormat="1" applyFont="1" applyAlignment="1">
      <alignment horizontal="center"/>
    </xf>
    <xf numFmtId="49" fontId="33" fillId="0" borderId="0" xfId="2" applyNumberFormat="1" applyFont="1" applyAlignment="1">
      <alignment horizontal="justify"/>
    </xf>
    <xf numFmtId="49" fontId="33" fillId="0" borderId="71" xfId="2" applyNumberFormat="1" applyFont="1" applyBorder="1" applyAlignment="1">
      <alignment horizontal="center"/>
    </xf>
    <xf numFmtId="10" fontId="33" fillId="0" borderId="72" xfId="2" applyNumberFormat="1" applyFont="1" applyBorder="1" applyAlignment="1">
      <alignment horizontal="center"/>
    </xf>
    <xf numFmtId="49" fontId="33" fillId="0" borderId="72" xfId="2" applyNumberFormat="1" applyFont="1" applyBorder="1" applyAlignment="1">
      <alignment horizontal="justify"/>
    </xf>
    <xf numFmtId="49" fontId="33" fillId="0" borderId="73" xfId="2" applyNumberFormat="1" applyFont="1" applyBorder="1" applyAlignment="1">
      <alignment horizontal="center"/>
    </xf>
    <xf numFmtId="10" fontId="32" fillId="0" borderId="72" xfId="2" applyNumberFormat="1" applyFont="1" applyBorder="1" applyAlignment="1">
      <alignment horizontal="center"/>
    </xf>
    <xf numFmtId="49" fontId="32" fillId="0" borderId="72" xfId="2" applyNumberFormat="1" applyFont="1" applyBorder="1"/>
    <xf numFmtId="49" fontId="32" fillId="0" borderId="73" xfId="2" applyNumberFormat="1" applyFont="1" applyBorder="1" applyAlignment="1">
      <alignment horizontal="center"/>
    </xf>
    <xf numFmtId="49" fontId="33" fillId="0" borderId="72" xfId="2" applyNumberFormat="1" applyFont="1" applyBorder="1"/>
    <xf numFmtId="49" fontId="32" fillId="0" borderId="72" xfId="2" applyNumberFormat="1" applyFont="1" applyBorder="1" applyAlignment="1">
      <alignment horizontal="justify"/>
    </xf>
    <xf numFmtId="0" fontId="36" fillId="0" borderId="0" xfId="2" applyFont="1" applyAlignment="1">
      <alignment horizontal="center"/>
    </xf>
    <xf numFmtId="0" fontId="37" fillId="0" borderId="0" xfId="2" applyFont="1" applyAlignment="1">
      <alignment vertical="center"/>
    </xf>
    <xf numFmtId="0" fontId="31" fillId="0" borderId="0" xfId="2" applyFont="1" applyAlignment="1">
      <alignment vertical="center"/>
    </xf>
    <xf numFmtId="0" fontId="31" fillId="0" borderId="0" xfId="2" applyFont="1" applyAlignment="1">
      <alignment horizontal="center" vertical="center"/>
    </xf>
    <xf numFmtId="0" fontId="38" fillId="0" borderId="75" xfId="0" applyFont="1" applyBorder="1" applyAlignment="1">
      <alignment horizontal="center" vertical="center" wrapText="1"/>
    </xf>
    <xf numFmtId="0" fontId="0" fillId="0" borderId="77" xfId="0" applyBorder="1" applyAlignment="1">
      <alignment horizontal="center" vertical="center" wrapText="1"/>
    </xf>
    <xf numFmtId="0" fontId="41" fillId="0" borderId="77" xfId="0" applyFont="1" applyBorder="1" applyAlignment="1">
      <alignment horizontal="center" vertical="center" wrapText="1"/>
    </xf>
    <xf numFmtId="0" fontId="41" fillId="0" borderId="77" xfId="0" applyFont="1" applyBorder="1" applyAlignment="1">
      <alignment horizontal="left" vertical="center" wrapText="1"/>
    </xf>
    <xf numFmtId="10" fontId="43" fillId="0" borderId="77" xfId="0" applyNumberFormat="1" applyFont="1" applyBorder="1" applyAlignment="1">
      <alignment horizontal="center" vertical="center" shrinkToFit="1"/>
    </xf>
    <xf numFmtId="0" fontId="41" fillId="10" borderId="77" xfId="0" applyFont="1" applyFill="1" applyBorder="1" applyAlignment="1">
      <alignment horizontal="center" vertical="center" wrapText="1"/>
    </xf>
    <xf numFmtId="0" fontId="41" fillId="10" borderId="77" xfId="0" applyFont="1" applyFill="1" applyBorder="1" applyAlignment="1">
      <alignment horizontal="left" vertical="center" wrapText="1"/>
    </xf>
    <xf numFmtId="10" fontId="43" fillId="10" borderId="77" xfId="0" applyNumberFormat="1" applyFont="1" applyFill="1" applyBorder="1" applyAlignment="1">
      <alignment horizontal="center" vertical="center" shrinkToFit="1"/>
    </xf>
    <xf numFmtId="0" fontId="38" fillId="10" borderId="77" xfId="0" applyFont="1" applyFill="1" applyBorder="1" applyAlignment="1">
      <alignment horizontal="center" vertical="center" wrapText="1"/>
    </xf>
    <xf numFmtId="10" fontId="44" fillId="10" borderId="77" xfId="0" applyNumberFormat="1" applyFont="1" applyFill="1" applyBorder="1" applyAlignment="1">
      <alignment horizontal="center" vertical="center" shrinkToFit="1"/>
    </xf>
    <xf numFmtId="0" fontId="38" fillId="0" borderId="77" xfId="0" applyFont="1" applyBorder="1" applyAlignment="1">
      <alignment horizontal="center" vertical="center" wrapText="1"/>
    </xf>
    <xf numFmtId="10" fontId="44" fillId="0" borderId="77" xfId="0" applyNumberFormat="1" applyFont="1" applyBorder="1" applyAlignment="1">
      <alignment horizontal="center" vertical="center" shrinkToFit="1"/>
    </xf>
    <xf numFmtId="0" fontId="0" fillId="10" borderId="77" xfId="0" applyFill="1" applyBorder="1" applyAlignment="1">
      <alignment horizontal="left" vertical="center" wrapText="1"/>
    </xf>
    <xf numFmtId="10" fontId="45" fillId="9" borderId="77" xfId="0" applyNumberFormat="1" applyFont="1" applyFill="1" applyBorder="1" applyAlignment="1">
      <alignment horizontal="center" vertical="center" shrinkToFit="1"/>
    </xf>
    <xf numFmtId="10" fontId="28" fillId="0" borderId="66" xfId="1" applyNumberFormat="1" applyFont="1" applyFill="1" applyBorder="1"/>
    <xf numFmtId="4" fontId="16" fillId="0" borderId="80" xfId="2" applyNumberFormat="1" applyFont="1" applyBorder="1"/>
    <xf numFmtId="10" fontId="16" fillId="0" borderId="24" xfId="1" applyNumberFormat="1" applyFont="1" applyBorder="1"/>
    <xf numFmtId="0" fontId="4" fillId="0" borderId="0" xfId="2" applyFont="1"/>
    <xf numFmtId="0" fontId="3" fillId="0" borderId="0" xfId="2" applyFont="1"/>
    <xf numFmtId="0" fontId="2" fillId="2" borderId="1" xfId="2" applyFont="1" applyFill="1" applyBorder="1" applyAlignment="1">
      <alignment horizontal="center" vertical="center"/>
    </xf>
    <xf numFmtId="0" fontId="2" fillId="2" borderId="2" xfId="2" applyFont="1" applyFill="1" applyBorder="1" applyAlignment="1">
      <alignment horizontal="center" vertical="center"/>
    </xf>
    <xf numFmtId="0" fontId="1" fillId="0" borderId="10" xfId="2" applyFont="1" applyBorder="1" applyAlignment="1">
      <alignment horizontal="center"/>
    </xf>
    <xf numFmtId="0" fontId="1" fillId="0" borderId="9" xfId="2" applyFont="1" applyBorder="1" applyAlignment="1">
      <alignment horizontal="center"/>
    </xf>
    <xf numFmtId="0" fontId="2" fillId="0" borderId="5" xfId="2" applyFont="1" applyBorder="1" applyAlignment="1">
      <alignment horizontal="center"/>
    </xf>
    <xf numFmtId="0" fontId="2" fillId="0" borderId="6" xfId="2" applyFont="1" applyBorder="1" applyAlignment="1">
      <alignment horizontal="left" vertical="center"/>
    </xf>
    <xf numFmtId="0" fontId="1" fillId="0" borderId="5" xfId="2" applyFont="1" applyBorder="1" applyAlignment="1">
      <alignment horizontal="center" vertical="center"/>
    </xf>
    <xf numFmtId="0" fontId="1" fillId="0" borderId="5" xfId="2" applyFont="1" applyBorder="1" applyAlignment="1">
      <alignment horizontal="center"/>
    </xf>
    <xf numFmtId="0" fontId="1" fillId="0" borderId="6" xfId="2" applyFont="1" applyBorder="1" applyAlignment="1">
      <alignment horizontal="left" vertical="center"/>
    </xf>
    <xf numFmtId="4" fontId="1" fillId="0" borderId="5" xfId="2" applyNumberFormat="1" applyFont="1" applyBorder="1"/>
    <xf numFmtId="4" fontId="2" fillId="0" borderId="5" xfId="2" applyNumberFormat="1" applyFont="1" applyBorder="1"/>
    <xf numFmtId="0" fontId="2" fillId="0" borderId="5" xfId="2" applyFont="1" applyBorder="1" applyAlignment="1">
      <alignment horizontal="left"/>
    </xf>
    <xf numFmtId="0" fontId="2" fillId="0" borderId="6" xfId="2" applyFont="1" applyBorder="1" applyAlignment="1">
      <alignment horizontal="left"/>
    </xf>
    <xf numFmtId="0" fontId="1" fillId="0" borderId="6" xfId="2" applyFont="1" applyBorder="1" applyAlignment="1">
      <alignment horizontal="left"/>
    </xf>
    <xf numFmtId="2" fontId="1" fillId="0" borderId="5" xfId="2" applyNumberFormat="1" applyFont="1" applyBorder="1" applyAlignment="1">
      <alignment horizontal="right"/>
    </xf>
    <xf numFmtId="4" fontId="1" fillId="0" borderId="5" xfId="2" applyNumberFormat="1" applyFont="1" applyBorder="1" applyAlignment="1">
      <alignment horizontal="right"/>
    </xf>
    <xf numFmtId="4" fontId="1" fillId="0" borderId="3" xfId="2" applyNumberFormat="1" applyFont="1" applyBorder="1" applyAlignment="1">
      <alignment horizontal="right"/>
    </xf>
    <xf numFmtId="0" fontId="1" fillId="0" borderId="3" xfId="2" applyFont="1" applyBorder="1"/>
    <xf numFmtId="4" fontId="2" fillId="0" borderId="3" xfId="2" applyNumberFormat="1" applyFont="1" applyBorder="1"/>
    <xf numFmtId="0" fontId="2" fillId="0" borderId="4" xfId="2" applyFont="1" applyBorder="1" applyAlignment="1">
      <alignment horizontal="left"/>
    </xf>
    <xf numFmtId="0" fontId="2" fillId="0" borderId="1" xfId="2" applyFont="1" applyBorder="1" applyAlignment="1">
      <alignment horizontal="center"/>
    </xf>
    <xf numFmtId="0" fontId="2" fillId="0" borderId="2" xfId="2" applyFont="1" applyBorder="1" applyAlignment="1">
      <alignment horizontal="left"/>
    </xf>
    <xf numFmtId="0" fontId="1" fillId="0" borderId="1" xfId="2" applyFont="1" applyBorder="1"/>
    <xf numFmtId="4" fontId="2" fillId="0" borderId="1" xfId="2" applyNumberFormat="1" applyFont="1" applyBorder="1"/>
    <xf numFmtId="0" fontId="2" fillId="0" borderId="5" xfId="2" applyFont="1" applyBorder="1" applyAlignment="1">
      <alignment horizontal="left" vertical="center"/>
    </xf>
    <xf numFmtId="0" fontId="1" fillId="0" borderId="5" xfId="2" applyFont="1" applyBorder="1" applyAlignment="1">
      <alignment horizontal="left" vertical="center"/>
    </xf>
    <xf numFmtId="4" fontId="1" fillId="4" borderId="5" xfId="2" applyNumberFormat="1" applyFont="1" applyFill="1" applyBorder="1"/>
    <xf numFmtId="0" fontId="1" fillId="0" borderId="5" xfId="2" applyFont="1" applyBorder="1" applyAlignment="1">
      <alignment horizontal="left"/>
    </xf>
    <xf numFmtId="0" fontId="2" fillId="0" borderId="3" xfId="2" applyFont="1" applyBorder="1" applyAlignment="1">
      <alignment horizontal="left"/>
    </xf>
    <xf numFmtId="0" fontId="1" fillId="0" borderId="16" xfId="2" applyFont="1" applyBorder="1" applyAlignment="1">
      <alignment horizontal="center"/>
    </xf>
    <xf numFmtId="0" fontId="2" fillId="0" borderId="16" xfId="2" applyFont="1" applyBorder="1" applyAlignment="1">
      <alignment horizontal="left"/>
    </xf>
    <xf numFmtId="0" fontId="1" fillId="0" borderId="16" xfId="2" applyFont="1" applyBorder="1"/>
    <xf numFmtId="4" fontId="2" fillId="0" borderId="16" xfId="2" applyNumberFormat="1" applyFont="1" applyBorder="1"/>
    <xf numFmtId="0" fontId="2" fillId="0" borderId="1" xfId="2" applyFont="1" applyBorder="1" applyAlignment="1">
      <alignment horizontal="left"/>
    </xf>
    <xf numFmtId="0" fontId="3" fillId="0" borderId="5" xfId="2" applyFont="1" applyBorder="1" applyAlignment="1">
      <alignment horizontal="left"/>
    </xf>
    <xf numFmtId="4" fontId="4" fillId="0" borderId="5" xfId="2" applyNumberFormat="1" applyFont="1" applyBorder="1"/>
    <xf numFmtId="4" fontId="2" fillId="0" borderId="5" xfId="2" applyNumberFormat="1" applyFont="1" applyBorder="1" applyAlignment="1">
      <alignment horizontal="right"/>
    </xf>
    <xf numFmtId="164" fontId="9" fillId="6" borderId="34" xfId="2" applyNumberFormat="1" applyFont="1" applyFill="1" applyBorder="1" applyAlignment="1">
      <alignment vertical="center"/>
    </xf>
    <xf numFmtId="164" fontId="8" fillId="6" borderId="33" xfId="2" applyNumberFormat="1" applyFont="1" applyFill="1" applyBorder="1" applyAlignment="1">
      <alignment vertical="center"/>
    </xf>
    <xf numFmtId="164" fontId="8" fillId="6" borderId="37" xfId="2" applyNumberFormat="1" applyFont="1" applyFill="1" applyBorder="1" applyAlignment="1">
      <alignment horizontal="center" vertical="center" wrapText="1"/>
    </xf>
    <xf numFmtId="164" fontId="8" fillId="6" borderId="36" xfId="2" applyNumberFormat="1" applyFont="1" applyFill="1" applyBorder="1" applyAlignment="1">
      <alignment horizontal="center" vertical="center" wrapText="1"/>
    </xf>
    <xf numFmtId="164" fontId="9" fillId="6" borderId="34" xfId="3" applyNumberFormat="1" applyFont="1" applyFill="1" applyBorder="1" applyAlignment="1">
      <alignment horizontal="center" vertical="center"/>
    </xf>
    <xf numFmtId="164" fontId="8" fillId="6" borderId="33" xfId="3" applyNumberFormat="1" applyFont="1" applyFill="1" applyBorder="1" applyAlignment="1">
      <alignment horizontal="center" vertical="center"/>
    </xf>
    <xf numFmtId="164" fontId="9" fillId="0" borderId="1" xfId="2" applyNumberFormat="1" applyFont="1" applyBorder="1" applyAlignment="1">
      <alignment horizontal="center" vertical="center"/>
    </xf>
    <xf numFmtId="164" fontId="8" fillId="0" borderId="1" xfId="2" applyNumberFormat="1" applyFont="1" applyBorder="1" applyAlignment="1">
      <alignment horizontal="center" vertical="center"/>
    </xf>
    <xf numFmtId="0" fontId="9" fillId="7" borderId="0" xfId="2" applyFont="1" applyFill="1"/>
    <xf numFmtId="0" fontId="7" fillId="7" borderId="0" xfId="2" applyFont="1" applyFill="1" applyAlignment="1">
      <alignment vertical="center"/>
    </xf>
    <xf numFmtId="3" fontId="6" fillId="6" borderId="84" xfId="2" applyNumberFormat="1" applyFont="1" applyFill="1" applyBorder="1" applyAlignment="1">
      <alignment horizontal="center" vertical="center"/>
    </xf>
    <xf numFmtId="4" fontId="7" fillId="7" borderId="84" xfId="2" applyNumberFormat="1" applyFont="1" applyFill="1" applyBorder="1" applyAlignment="1">
      <alignment vertical="center"/>
    </xf>
    <xf numFmtId="4" fontId="7" fillId="7" borderId="85" xfId="2" applyNumberFormat="1" applyFont="1" applyFill="1" applyBorder="1" applyAlignment="1">
      <alignment vertical="center"/>
    </xf>
    <xf numFmtId="4" fontId="7" fillId="7" borderId="86" xfId="2" applyNumberFormat="1" applyFont="1" applyFill="1" applyBorder="1" applyAlignment="1">
      <alignment vertical="center"/>
    </xf>
    <xf numFmtId="4" fontId="7" fillId="7" borderId="87" xfId="2" applyNumberFormat="1" applyFont="1" applyFill="1" applyBorder="1" applyAlignment="1">
      <alignment vertical="center"/>
    </xf>
    <xf numFmtId="0" fontId="9" fillId="7" borderId="0" xfId="2" applyFont="1" applyFill="1" applyAlignment="1">
      <alignment vertical="center"/>
    </xf>
    <xf numFmtId="169" fontId="6" fillId="7" borderId="81" xfId="2" applyNumberFormat="1" applyFont="1" applyFill="1" applyBorder="1" applyAlignment="1">
      <alignment vertical="center"/>
    </xf>
    <xf numFmtId="4" fontId="6" fillId="7" borderId="81" xfId="2" applyNumberFormat="1" applyFont="1" applyFill="1" applyBorder="1" applyAlignment="1">
      <alignment vertical="center"/>
    </xf>
    <xf numFmtId="4" fontId="7" fillId="7" borderId="33" xfId="2" applyNumberFormat="1" applyFont="1" applyFill="1" applyBorder="1" applyAlignment="1">
      <alignment vertical="center"/>
    </xf>
    <xf numFmtId="168" fontId="7" fillId="7" borderId="34" xfId="2" applyNumberFormat="1" applyFont="1" applyFill="1" applyBorder="1" applyAlignment="1">
      <alignment horizontal="center" vertical="center"/>
    </xf>
    <xf numFmtId="2" fontId="7" fillId="7" borderId="34" xfId="2" applyNumberFormat="1" applyFont="1" applyFill="1" applyBorder="1" applyAlignment="1">
      <alignment horizontal="center" vertical="center"/>
    </xf>
    <xf numFmtId="4" fontId="7" fillId="7" borderId="34" xfId="2" applyNumberFormat="1" applyFont="1" applyFill="1" applyBorder="1" applyAlignment="1">
      <alignment horizontal="center" vertical="center"/>
    </xf>
    <xf numFmtId="0" fontId="7" fillId="7" borderId="34" xfId="2" applyFont="1" applyFill="1" applyBorder="1" applyAlignment="1">
      <alignment horizontal="left" vertical="center" wrapText="1"/>
    </xf>
    <xf numFmtId="0" fontId="7" fillId="7" borderId="35" xfId="2" applyFont="1" applyFill="1" applyBorder="1" applyAlignment="1">
      <alignment horizontal="center" vertical="center"/>
    </xf>
    <xf numFmtId="0" fontId="6" fillId="7" borderId="81" xfId="2" applyFont="1" applyFill="1" applyBorder="1" applyAlignment="1">
      <alignment horizontal="center" vertical="center" wrapText="1"/>
    </xf>
    <xf numFmtId="0" fontId="6" fillId="7" borderId="81" xfId="2" applyFont="1" applyFill="1" applyBorder="1" applyAlignment="1">
      <alignment horizontal="center" vertical="center"/>
    </xf>
    <xf numFmtId="4" fontId="7" fillId="0" borderId="30" xfId="3" applyNumberFormat="1" applyFont="1" applyBorder="1" applyAlignment="1">
      <alignment horizontal="right"/>
    </xf>
    <xf numFmtId="164" fontId="7" fillId="0" borderId="30" xfId="3" applyNumberFormat="1" applyFont="1" applyBorder="1" applyAlignment="1">
      <alignment horizontal="center" vertical="center"/>
    </xf>
    <xf numFmtId="164" fontId="7" fillId="0" borderId="31" xfId="3" applyNumberFormat="1" applyFont="1" applyBorder="1" applyAlignment="1">
      <alignment horizontal="center" vertical="center"/>
    </xf>
    <xf numFmtId="164" fontId="6" fillId="7" borderId="30" xfId="3" applyNumberFormat="1" applyFont="1" applyFill="1" applyBorder="1" applyAlignment="1">
      <alignment horizontal="center" vertical="center"/>
    </xf>
    <xf numFmtId="164" fontId="6" fillId="0" borderId="30" xfId="3" applyNumberFormat="1" applyFont="1" applyBorder="1" applyAlignment="1">
      <alignment horizontal="center" vertical="center"/>
    </xf>
    <xf numFmtId="164" fontId="6" fillId="0" borderId="31" xfId="3" applyNumberFormat="1" applyFont="1" applyBorder="1" applyAlignment="1">
      <alignment horizontal="center" vertical="center"/>
    </xf>
    <xf numFmtId="164" fontId="7" fillId="6" borderId="30" xfId="3" applyNumberFormat="1" applyFont="1" applyFill="1" applyBorder="1" applyAlignment="1">
      <alignment horizontal="center" vertical="center"/>
    </xf>
    <xf numFmtId="164" fontId="6" fillId="6" borderId="31" xfId="3" applyNumberFormat="1" applyFont="1" applyFill="1" applyBorder="1" applyAlignment="1">
      <alignment horizontal="center" vertical="center"/>
    </xf>
    <xf numFmtId="3" fontId="6" fillId="6" borderId="86" xfId="2" applyNumberFormat="1" applyFont="1" applyFill="1" applyBorder="1" applyAlignment="1">
      <alignment horizontal="center" vertical="center"/>
    </xf>
    <xf numFmtId="3" fontId="7" fillId="7" borderId="84" xfId="2" applyNumberFormat="1" applyFont="1" applyFill="1" applyBorder="1" applyAlignment="1">
      <alignment horizontal="center" vertical="center"/>
    </xf>
    <xf numFmtId="4" fontId="1" fillId="0" borderId="3" xfId="2" applyNumberFormat="1" applyFont="1" applyBorder="1"/>
    <xf numFmtId="9" fontId="1" fillId="0" borderId="5" xfId="1" applyFont="1" applyBorder="1"/>
    <xf numFmtId="0" fontId="3" fillId="2" borderId="1" xfId="2" applyFont="1" applyFill="1" applyBorder="1" applyAlignment="1">
      <alignment horizontal="center" vertical="center"/>
    </xf>
    <xf numFmtId="0" fontId="3" fillId="2" borderId="2" xfId="2" applyFont="1" applyFill="1" applyBorder="1" applyAlignment="1">
      <alignment horizontal="center" vertical="center"/>
    </xf>
    <xf numFmtId="0" fontId="4" fillId="0" borderId="10" xfId="2" applyFont="1" applyBorder="1" applyAlignment="1">
      <alignment horizontal="center"/>
    </xf>
    <xf numFmtId="0" fontId="4" fillId="0" borderId="9" xfId="2" applyFont="1" applyBorder="1" applyAlignment="1">
      <alignment horizontal="center"/>
    </xf>
    <xf numFmtId="0" fontId="3" fillId="0" borderId="5" xfId="2" applyFont="1" applyBorder="1" applyAlignment="1">
      <alignment horizontal="center"/>
    </xf>
    <xf numFmtId="0" fontId="3" fillId="0" borderId="6" xfId="2" applyFont="1" applyBorder="1" applyAlignment="1">
      <alignment horizontal="left" vertical="center"/>
    </xf>
    <xf numFmtId="0" fontId="4" fillId="0" borderId="5" xfId="2" applyFont="1" applyBorder="1" applyAlignment="1">
      <alignment horizontal="center"/>
    </xf>
    <xf numFmtId="0" fontId="4" fillId="0" borderId="6" xfId="2" applyFont="1" applyBorder="1" applyAlignment="1">
      <alignment horizontal="left" vertical="center"/>
    </xf>
    <xf numFmtId="0" fontId="3" fillId="0" borderId="6" xfId="2" applyFont="1" applyBorder="1" applyAlignment="1">
      <alignment horizontal="left"/>
    </xf>
    <xf numFmtId="10" fontId="1" fillId="0" borderId="5" xfId="1" applyNumberFormat="1" applyFont="1" applyBorder="1"/>
    <xf numFmtId="0" fontId="4" fillId="0" borderId="6" xfId="2" applyFont="1" applyBorder="1" applyAlignment="1">
      <alignment horizontal="left"/>
    </xf>
    <xf numFmtId="0" fontId="3" fillId="0" borderId="4" xfId="2" applyFont="1" applyBorder="1" applyAlignment="1">
      <alignment horizontal="left"/>
    </xf>
    <xf numFmtId="0" fontId="3" fillId="0" borderId="1" xfId="2" applyFont="1" applyBorder="1" applyAlignment="1">
      <alignment horizontal="center"/>
    </xf>
    <xf numFmtId="0" fontId="3" fillId="0" borderId="2" xfId="2" applyFont="1" applyBorder="1" applyAlignment="1">
      <alignment horizontal="left"/>
    </xf>
    <xf numFmtId="0" fontId="4" fillId="0" borderId="5" xfId="2" applyFont="1" applyBorder="1" applyAlignment="1">
      <alignment horizontal="center" vertical="center"/>
    </xf>
    <xf numFmtId="4" fontId="3" fillId="0" borderId="5" xfId="2" applyNumberFormat="1" applyFont="1" applyBorder="1"/>
    <xf numFmtId="4" fontId="4" fillId="0" borderId="5" xfId="2" applyNumberFormat="1" applyFont="1" applyBorder="1" applyAlignment="1">
      <alignment horizontal="right"/>
    </xf>
    <xf numFmtId="0" fontId="4" fillId="0" borderId="3" xfId="2" applyFont="1" applyBorder="1"/>
    <xf numFmtId="4" fontId="3" fillId="0" borderId="3" xfId="2" applyNumberFormat="1" applyFont="1" applyBorder="1"/>
    <xf numFmtId="0" fontId="4" fillId="0" borderId="1" xfId="2" applyFont="1" applyBorder="1"/>
    <xf numFmtId="4" fontId="3" fillId="0" borderId="1" xfId="2" applyNumberFormat="1" applyFont="1" applyBorder="1"/>
    <xf numFmtId="0" fontId="0" fillId="0" borderId="0" xfId="0" applyAlignment="1">
      <alignment vertical="center"/>
    </xf>
    <xf numFmtId="44" fontId="46" fillId="0" borderId="1" xfId="0" applyNumberFormat="1" applyFont="1" applyBorder="1" applyAlignment="1">
      <alignment vertical="center"/>
    </xf>
    <xf numFmtId="0" fontId="46" fillId="0" borderId="11" xfId="0" applyFont="1" applyBorder="1" applyAlignment="1">
      <alignment horizontal="center" vertical="center"/>
    </xf>
    <xf numFmtId="44" fontId="47" fillId="0" borderId="1" xfId="0" applyNumberFormat="1" applyFont="1" applyBorder="1" applyAlignment="1">
      <alignment vertical="center"/>
    </xf>
    <xf numFmtId="4" fontId="47" fillId="0" borderId="1" xfId="0" applyNumberFormat="1" applyFont="1" applyBorder="1" applyAlignment="1">
      <alignment horizontal="center" vertical="center"/>
    </xf>
    <xf numFmtId="0" fontId="47" fillId="0" borderId="1" xfId="0" applyFont="1" applyBorder="1" applyAlignment="1">
      <alignment vertical="center"/>
    </xf>
    <xf numFmtId="4" fontId="47" fillId="4" borderId="1" xfId="0" applyNumberFormat="1" applyFont="1" applyFill="1" applyBorder="1" applyAlignment="1">
      <alignment horizontal="center" vertical="center"/>
    </xf>
    <xf numFmtId="0" fontId="47" fillId="0" borderId="1" xfId="0" applyFont="1" applyBorder="1" applyAlignment="1">
      <alignment vertical="center" wrapText="1"/>
    </xf>
    <xf numFmtId="0" fontId="47" fillId="0" borderId="1" xfId="0" applyFont="1" applyBorder="1" applyAlignment="1">
      <alignment horizontal="center" vertical="center"/>
    </xf>
    <xf numFmtId="4" fontId="48" fillId="0" borderId="1" xfId="0" applyNumberFormat="1" applyFont="1" applyBorder="1" applyAlignment="1">
      <alignment vertical="center"/>
    </xf>
    <xf numFmtId="0" fontId="47" fillId="4" borderId="1" xfId="0" applyFont="1" applyFill="1" applyBorder="1" applyAlignment="1">
      <alignment vertical="center"/>
    </xf>
    <xf numFmtId="4" fontId="47" fillId="0" borderId="1" xfId="0" applyNumberFormat="1" applyFont="1" applyBorder="1" applyAlignment="1">
      <alignment vertical="center"/>
    </xf>
    <xf numFmtId="0" fontId="48" fillId="0" borderId="1" xfId="0" applyFont="1" applyBorder="1" applyAlignment="1">
      <alignment vertical="center"/>
    </xf>
    <xf numFmtId="0" fontId="48" fillId="0" borderId="1" xfId="0" applyFont="1" applyBorder="1" applyAlignment="1">
      <alignment horizontal="center" vertical="center"/>
    </xf>
    <xf numFmtId="0" fontId="30" fillId="0" borderId="29" xfId="0" applyFont="1" applyBorder="1" applyAlignment="1">
      <alignment horizontal="center" vertical="center" wrapText="1"/>
    </xf>
    <xf numFmtId="0" fontId="30" fillId="0" borderId="94" xfId="0" applyFont="1" applyBorder="1" applyAlignment="1">
      <alignment horizontal="center" vertical="center" wrapText="1"/>
    </xf>
    <xf numFmtId="0" fontId="30" fillId="4" borderId="29" xfId="0" applyFont="1" applyFill="1" applyBorder="1" applyAlignment="1">
      <alignment horizontal="center" vertical="center" wrapText="1"/>
    </xf>
    <xf numFmtId="4" fontId="30" fillId="0" borderId="29" xfId="0" applyNumberFormat="1" applyFont="1" applyBorder="1" applyAlignment="1">
      <alignment horizontal="center" vertical="center"/>
    </xf>
    <xf numFmtId="0" fontId="30" fillId="0" borderId="29" xfId="0" applyFont="1" applyBorder="1" applyAlignment="1">
      <alignment horizontal="center" vertical="center"/>
    </xf>
    <xf numFmtId="0" fontId="0" fillId="0" borderId="44" xfId="0" applyBorder="1" applyAlignment="1">
      <alignment horizontal="right" vertical="center"/>
    </xf>
    <xf numFmtId="0" fontId="0" fillId="0" borderId="44" xfId="0" applyBorder="1" applyAlignment="1">
      <alignment vertical="center"/>
    </xf>
    <xf numFmtId="0" fontId="49" fillId="0" borderId="0" xfId="0" applyFont="1" applyAlignment="1">
      <alignment horizontal="center" vertical="center"/>
    </xf>
    <xf numFmtId="0" fontId="30" fillId="0" borderId="0" xfId="0" applyFont="1" applyAlignment="1">
      <alignment vertical="center"/>
    </xf>
    <xf numFmtId="4" fontId="3" fillId="0" borderId="0" xfId="2" applyNumberFormat="1" applyFont="1"/>
    <xf numFmtId="0" fontId="2" fillId="0" borderId="0" xfId="2" applyFont="1" applyAlignment="1">
      <alignment horizontal="left"/>
    </xf>
    <xf numFmtId="0" fontId="2" fillId="0" borderId="0" xfId="2" applyFont="1" applyAlignment="1">
      <alignment horizontal="center"/>
    </xf>
    <xf numFmtId="0" fontId="0" fillId="0" borderId="30" xfId="0" applyBorder="1" applyAlignment="1">
      <alignment vertical="center"/>
    </xf>
    <xf numFmtId="164" fontId="9" fillId="0" borderId="0" xfId="2" applyNumberFormat="1" applyFont="1" applyAlignment="1">
      <alignment horizontal="center" vertical="center"/>
    </xf>
    <xf numFmtId="0" fontId="22" fillId="2" borderId="64" xfId="0" applyFont="1" applyFill="1" applyBorder="1" applyAlignment="1">
      <alignment horizontal="center" vertical="center" wrapText="1"/>
    </xf>
    <xf numFmtId="4" fontId="21" fillId="0" borderId="22" xfId="0" applyNumberFormat="1" applyFont="1" applyBorder="1"/>
    <xf numFmtId="4" fontId="16" fillId="0" borderId="5" xfId="0" applyNumberFormat="1" applyFont="1" applyBorder="1"/>
    <xf numFmtId="4" fontId="16" fillId="0" borderId="24" xfId="0" applyNumberFormat="1" applyFont="1" applyBorder="1"/>
    <xf numFmtId="4" fontId="16" fillId="0" borderId="3" xfId="0" applyNumberFormat="1" applyFont="1" applyBorder="1"/>
    <xf numFmtId="4" fontId="21" fillId="0" borderId="49" xfId="0" applyNumberFormat="1" applyFont="1" applyBorder="1"/>
    <xf numFmtId="10" fontId="16" fillId="0" borderId="45" xfId="0" applyNumberFormat="1" applyFont="1" applyBorder="1"/>
    <xf numFmtId="4" fontId="21" fillId="0" borderId="59" xfId="0" applyNumberFormat="1" applyFont="1" applyBorder="1"/>
    <xf numFmtId="4" fontId="19" fillId="0" borderId="56" xfId="0" applyNumberFormat="1" applyFont="1" applyBorder="1" applyAlignment="1">
      <alignment horizontal="right"/>
    </xf>
    <xf numFmtId="10" fontId="18" fillId="0" borderId="0" xfId="0" applyNumberFormat="1" applyFont="1"/>
    <xf numFmtId="0" fontId="15" fillId="0" borderId="0" xfId="0" applyFont="1"/>
    <xf numFmtId="4" fontId="7" fillId="7" borderId="0" xfId="2" applyNumberFormat="1" applyFont="1" applyFill="1" applyAlignment="1">
      <alignment vertical="center"/>
    </xf>
    <xf numFmtId="0" fontId="8" fillId="7" borderId="0" xfId="3" applyFont="1" applyFill="1" applyAlignment="1">
      <alignment vertical="justify"/>
    </xf>
    <xf numFmtId="0" fontId="7" fillId="7" borderId="30" xfId="2" applyFont="1" applyFill="1" applyBorder="1" applyAlignment="1">
      <alignment vertical="center"/>
    </xf>
    <xf numFmtId="2" fontId="7" fillId="7" borderId="30" xfId="2" applyNumberFormat="1" applyFont="1" applyFill="1" applyBorder="1" applyAlignment="1">
      <alignment vertical="center"/>
    </xf>
    <xf numFmtId="2" fontId="7" fillId="7" borderId="30" xfId="2" applyNumberFormat="1" applyFont="1" applyFill="1" applyBorder="1" applyAlignment="1">
      <alignment vertical="center" wrapText="1"/>
    </xf>
    <xf numFmtId="0" fontId="7" fillId="7" borderId="30" xfId="2" applyFont="1" applyFill="1" applyBorder="1" applyAlignment="1">
      <alignment vertical="center" wrapText="1"/>
    </xf>
    <xf numFmtId="2" fontId="7" fillId="7" borderId="95" xfId="2" applyNumberFormat="1" applyFont="1" applyFill="1" applyBorder="1" applyAlignment="1">
      <alignment vertical="center"/>
    </xf>
    <xf numFmtId="2" fontId="7" fillId="7" borderId="98" xfId="2" applyNumberFormat="1" applyFont="1" applyFill="1" applyBorder="1" applyAlignment="1">
      <alignment vertical="center"/>
    </xf>
    <xf numFmtId="2" fontId="6" fillId="8" borderId="98" xfId="2" applyNumberFormat="1" applyFont="1" applyFill="1" applyBorder="1" applyAlignment="1">
      <alignment vertical="center"/>
    </xf>
    <xf numFmtId="2" fontId="7" fillId="7" borderId="104" xfId="2" applyNumberFormat="1" applyFont="1" applyFill="1" applyBorder="1" applyAlignment="1">
      <alignment vertical="center"/>
    </xf>
    <xf numFmtId="2" fontId="7" fillId="7" borderId="110" xfId="2" applyNumberFormat="1" applyFont="1" applyFill="1" applyBorder="1" applyAlignment="1">
      <alignment vertical="center"/>
    </xf>
    <xf numFmtId="2" fontId="7" fillId="7" borderId="112" xfId="2" applyNumberFormat="1" applyFont="1" applyFill="1" applyBorder="1" applyAlignment="1">
      <alignment vertical="center"/>
    </xf>
    <xf numFmtId="2" fontId="7" fillId="7" borderId="31" xfId="2" applyNumberFormat="1" applyFont="1" applyFill="1" applyBorder="1" applyAlignment="1">
      <alignment vertical="center"/>
    </xf>
    <xf numFmtId="0" fontId="7" fillId="7" borderId="31" xfId="2" applyFont="1" applyFill="1" applyBorder="1" applyAlignment="1">
      <alignment vertical="center"/>
    </xf>
    <xf numFmtId="170" fontId="7" fillId="7" borderId="31" xfId="2" applyNumberFormat="1" applyFont="1" applyFill="1" applyBorder="1" applyAlignment="1">
      <alignment vertical="center"/>
    </xf>
    <xf numFmtId="165" fontId="7" fillId="7" borderId="31" xfId="4" applyFont="1" applyFill="1" applyBorder="1" applyAlignment="1">
      <alignment vertical="center"/>
    </xf>
    <xf numFmtId="0" fontId="7" fillId="7" borderId="31" xfId="2" applyFont="1" applyFill="1" applyBorder="1" applyAlignment="1">
      <alignment vertical="center" wrapText="1"/>
    </xf>
    <xf numFmtId="2" fontId="7" fillId="7" borderId="0" xfId="2" applyNumberFormat="1" applyFont="1" applyFill="1" applyAlignment="1">
      <alignment vertical="center"/>
    </xf>
    <xf numFmtId="0" fontId="7" fillId="7" borderId="0" xfId="2" applyFont="1" applyFill="1" applyAlignment="1">
      <alignment vertical="center" wrapText="1"/>
    </xf>
    <xf numFmtId="170" fontId="7" fillId="7" borderId="31" xfId="2" applyNumberFormat="1" applyFont="1" applyFill="1" applyBorder="1" applyAlignment="1">
      <alignment vertical="center" wrapText="1"/>
    </xf>
    <xf numFmtId="4" fontId="7" fillId="7" borderId="0" xfId="2" applyNumberFormat="1" applyFont="1" applyFill="1" applyAlignment="1">
      <alignment horizontal="center" vertical="center"/>
    </xf>
    <xf numFmtId="4" fontId="7" fillId="7" borderId="91" xfId="2" applyNumberFormat="1" applyFont="1" applyFill="1" applyBorder="1" applyAlignment="1">
      <alignment horizontal="center" vertical="center"/>
    </xf>
    <xf numFmtId="4" fontId="7" fillId="7" borderId="110" xfId="2" applyNumberFormat="1" applyFont="1" applyFill="1" applyBorder="1" applyAlignment="1">
      <alignment horizontal="center" vertical="center"/>
    </xf>
    <xf numFmtId="4" fontId="7" fillId="7" borderId="31" xfId="2" applyNumberFormat="1" applyFont="1" applyFill="1" applyBorder="1" applyAlignment="1">
      <alignment horizontal="center" vertical="center"/>
    </xf>
    <xf numFmtId="17" fontId="7" fillId="7" borderId="0" xfId="2" applyNumberFormat="1" applyFont="1" applyFill="1" applyAlignment="1">
      <alignment vertical="center"/>
    </xf>
    <xf numFmtId="4" fontId="6" fillId="6" borderId="31" xfId="2" applyNumberFormat="1" applyFont="1" applyFill="1" applyBorder="1" applyAlignment="1">
      <alignment horizontal="center" vertical="center"/>
    </xf>
    <xf numFmtId="171" fontId="7" fillId="7" borderId="0" xfId="2" applyNumberFormat="1" applyFont="1" applyFill="1" applyAlignment="1">
      <alignment horizontal="center" vertical="center"/>
    </xf>
    <xf numFmtId="169" fontId="7" fillId="7" borderId="31" xfId="2" applyNumberFormat="1" applyFont="1" applyFill="1" applyBorder="1" applyAlignment="1">
      <alignment horizontal="center" vertical="center"/>
    </xf>
    <xf numFmtId="0" fontId="7" fillId="7" borderId="0" xfId="2" applyFont="1" applyFill="1" applyAlignment="1">
      <alignment horizontal="center" vertical="center"/>
    </xf>
    <xf numFmtId="0" fontId="7" fillId="7" borderId="41" xfId="2" applyFont="1" applyFill="1" applyBorder="1" applyAlignment="1">
      <alignment horizontal="center" vertical="center"/>
    </xf>
    <xf numFmtId="4" fontId="7" fillId="7" borderId="110" xfId="2" applyNumberFormat="1" applyFont="1" applyFill="1" applyBorder="1" applyAlignment="1">
      <alignment vertical="center"/>
    </xf>
    <xf numFmtId="4" fontId="7" fillId="7" borderId="31" xfId="2" applyNumberFormat="1" applyFont="1" applyFill="1" applyBorder="1" applyAlignment="1">
      <alignment vertical="center"/>
    </xf>
    <xf numFmtId="0" fontId="7" fillId="7" borderId="30" xfId="2" applyFont="1" applyFill="1" applyBorder="1" applyAlignment="1">
      <alignment horizontal="center" vertical="center"/>
    </xf>
    <xf numFmtId="0" fontId="7" fillId="7" borderId="32" xfId="2" applyFont="1" applyFill="1" applyBorder="1" applyAlignment="1">
      <alignment horizontal="center" vertical="center"/>
    </xf>
    <xf numFmtId="0" fontId="6" fillId="7" borderId="0" xfId="2" applyFont="1" applyFill="1" applyAlignment="1">
      <alignment horizontal="right" vertical="center" wrapText="1"/>
    </xf>
    <xf numFmtId="4" fontId="6" fillId="7" borderId="0" xfId="2" applyNumberFormat="1" applyFont="1" applyFill="1" applyAlignment="1">
      <alignment vertical="center"/>
    </xf>
    <xf numFmtId="0" fontId="6" fillId="7" borderId="0" xfId="2" applyFont="1" applyFill="1" applyAlignment="1">
      <alignment horizontal="right" vertical="center"/>
    </xf>
    <xf numFmtId="172" fontId="6" fillId="7" borderId="36" xfId="6" applyNumberFormat="1" applyFont="1" applyFill="1" applyBorder="1" applyAlignment="1">
      <alignment horizontal="center" vertical="top"/>
    </xf>
    <xf numFmtId="172" fontId="6" fillId="7" borderId="38" xfId="6" applyNumberFormat="1" applyFont="1" applyFill="1" applyBorder="1" applyAlignment="1">
      <alignment horizontal="center" vertical="top"/>
    </xf>
    <xf numFmtId="4" fontId="6" fillId="7" borderId="81" xfId="2" applyNumberFormat="1" applyFont="1" applyFill="1" applyBorder="1" applyAlignment="1">
      <alignment horizontal="center" vertical="center"/>
    </xf>
    <xf numFmtId="169" fontId="6" fillId="7" borderId="81" xfId="2" applyNumberFormat="1" applyFont="1" applyFill="1" applyBorder="1" applyAlignment="1">
      <alignment horizontal="center" vertical="center"/>
    </xf>
    <xf numFmtId="165" fontId="7" fillId="7" borderId="0" xfId="4" applyFont="1" applyFill="1" applyAlignment="1">
      <alignment horizontal="center" vertical="center"/>
    </xf>
    <xf numFmtId="0" fontId="7" fillId="7" borderId="0" xfId="2" applyFont="1" applyFill="1" applyAlignment="1">
      <alignment horizontal="left" vertical="center" wrapText="1"/>
    </xf>
    <xf numFmtId="4" fontId="7" fillId="7" borderId="0" xfId="2" applyNumberFormat="1" applyFont="1" applyFill="1" applyAlignment="1">
      <alignment horizontal="left" vertical="center" wrapText="1"/>
    </xf>
    <xf numFmtId="4" fontId="7" fillId="7" borderId="83" xfId="2" applyNumberFormat="1" applyFont="1" applyFill="1" applyBorder="1" applyAlignment="1">
      <alignment horizontal="center" vertical="center"/>
    </xf>
    <xf numFmtId="4" fontId="7" fillId="7" borderId="30" xfId="2" applyNumberFormat="1" applyFont="1" applyFill="1" applyBorder="1" applyAlignment="1">
      <alignment vertical="center"/>
    </xf>
    <xf numFmtId="0" fontId="7" fillId="7" borderId="30" xfId="2" applyFont="1" applyFill="1" applyBorder="1" applyAlignment="1">
      <alignment horizontal="left" vertical="center"/>
    </xf>
    <xf numFmtId="169" fontId="7" fillId="7" borderId="30" xfId="2" applyNumberFormat="1" applyFont="1" applyFill="1" applyBorder="1" applyAlignment="1">
      <alignment horizontal="center" vertical="center"/>
    </xf>
    <xf numFmtId="4" fontId="7" fillId="7" borderId="39" xfId="2" applyNumberFormat="1" applyFont="1" applyFill="1" applyBorder="1" applyAlignment="1">
      <alignment horizontal="center" vertical="center"/>
    </xf>
    <xf numFmtId="169" fontId="7" fillId="7" borderId="40" xfId="2" applyNumberFormat="1" applyFont="1" applyFill="1" applyBorder="1" applyAlignment="1">
      <alignment horizontal="center" vertical="center"/>
    </xf>
    <xf numFmtId="0" fontId="7" fillId="7" borderId="40" xfId="2" applyFont="1" applyFill="1" applyBorder="1" applyAlignment="1">
      <alignment horizontal="left" vertical="center"/>
    </xf>
    <xf numFmtId="0" fontId="7" fillId="7" borderId="36" xfId="2" applyFont="1" applyFill="1" applyBorder="1" applyAlignment="1">
      <alignment horizontal="center" vertical="center" wrapText="1"/>
    </xf>
    <xf numFmtId="0" fontId="7" fillId="7" borderId="37" xfId="2" applyFont="1" applyFill="1" applyBorder="1" applyAlignment="1">
      <alignment horizontal="center" vertical="center" wrapText="1"/>
    </xf>
    <xf numFmtId="0" fontId="7" fillId="7" borderId="37" xfId="2" applyFont="1" applyFill="1" applyBorder="1" applyAlignment="1">
      <alignment horizontal="center" vertical="center"/>
    </xf>
    <xf numFmtId="0" fontId="7" fillId="7" borderId="38" xfId="2" applyFont="1" applyFill="1" applyBorder="1" applyAlignment="1">
      <alignment horizontal="center" vertical="center" textRotation="90" wrapText="1"/>
    </xf>
    <xf numFmtId="0" fontId="6" fillId="7" borderId="0" xfId="2" applyFont="1" applyFill="1" applyAlignment="1">
      <alignment horizontal="center" vertical="center"/>
    </xf>
    <xf numFmtId="9" fontId="6" fillId="6" borderId="31" xfId="1" applyFont="1" applyFill="1" applyBorder="1" applyAlignment="1">
      <alignment horizontal="center" vertical="center"/>
    </xf>
    <xf numFmtId="0" fontId="6" fillId="7" borderId="30" xfId="2" applyFont="1" applyFill="1" applyBorder="1" applyAlignment="1">
      <alignment horizontal="center" vertical="center" wrapText="1"/>
    </xf>
    <xf numFmtId="0" fontId="6" fillId="7" borderId="30" xfId="2" applyFont="1" applyFill="1" applyBorder="1" applyAlignment="1">
      <alignment horizontal="center" vertical="center"/>
    </xf>
    <xf numFmtId="0" fontId="7" fillId="7" borderId="30" xfId="2" applyFont="1" applyFill="1" applyBorder="1" applyAlignment="1">
      <alignment horizontal="left" vertical="center" wrapText="1"/>
    </xf>
    <xf numFmtId="4" fontId="7" fillId="7" borderId="30" xfId="2" applyNumberFormat="1" applyFont="1" applyFill="1" applyBorder="1" applyAlignment="1">
      <alignment horizontal="center" vertical="center"/>
    </xf>
    <xf numFmtId="2" fontId="7" fillId="7" borderId="30" xfId="2" applyNumberFormat="1" applyFont="1" applyFill="1" applyBorder="1" applyAlignment="1">
      <alignment horizontal="center" vertical="center"/>
    </xf>
    <xf numFmtId="4" fontId="6" fillId="7" borderId="30" xfId="2" applyNumberFormat="1" applyFont="1" applyFill="1" applyBorder="1" applyAlignment="1">
      <alignment vertical="center"/>
    </xf>
    <xf numFmtId="0" fontId="6" fillId="7" borderId="30" xfId="2" applyFont="1" applyFill="1" applyBorder="1" applyAlignment="1">
      <alignment horizontal="right" vertical="center" wrapText="1"/>
    </xf>
    <xf numFmtId="169" fontId="6" fillId="7" borderId="30" xfId="2" applyNumberFormat="1" applyFont="1" applyFill="1" applyBorder="1" applyAlignment="1">
      <alignment vertical="center"/>
    </xf>
    <xf numFmtId="0" fontId="7" fillId="7" borderId="30" xfId="2" applyFont="1" applyFill="1" applyBorder="1" applyAlignment="1">
      <alignment horizontal="right" vertical="center"/>
    </xf>
    <xf numFmtId="0" fontId="6" fillId="6" borderId="30" xfId="2" applyFont="1" applyFill="1" applyBorder="1" applyAlignment="1">
      <alignment horizontal="right" vertical="center"/>
    </xf>
    <xf numFmtId="3" fontId="6" fillId="6" borderId="30" xfId="2" applyNumberFormat="1" applyFont="1" applyFill="1" applyBorder="1" applyAlignment="1">
      <alignment horizontal="center" vertical="center"/>
    </xf>
    <xf numFmtId="3" fontId="7" fillId="7" borderId="30" xfId="2" applyNumberFormat="1" applyFont="1" applyFill="1" applyBorder="1" applyAlignment="1">
      <alignment horizontal="center" vertical="center"/>
    </xf>
    <xf numFmtId="164" fontId="9" fillId="0" borderId="0" xfId="3" applyNumberFormat="1" applyFont="1" applyAlignment="1">
      <alignment horizontal="center"/>
    </xf>
    <xf numFmtId="9" fontId="7" fillId="7" borderId="30" xfId="1" applyFont="1" applyFill="1" applyBorder="1" applyAlignment="1">
      <alignment horizontal="center" vertical="center"/>
    </xf>
    <xf numFmtId="3" fontId="9" fillId="7" borderId="0" xfId="2" applyNumberFormat="1" applyFont="1" applyFill="1"/>
    <xf numFmtId="0" fontId="9" fillId="12" borderId="0" xfId="2" applyFont="1" applyFill="1"/>
    <xf numFmtId="0" fontId="8" fillId="6" borderId="0" xfId="3" applyFont="1" applyFill="1"/>
    <xf numFmtId="0" fontId="9" fillId="6" borderId="0" xfId="3" applyFont="1" applyFill="1"/>
    <xf numFmtId="4" fontId="9" fillId="7" borderId="0" xfId="2" applyNumberFormat="1" applyFont="1" applyFill="1" applyAlignment="1">
      <alignment vertical="center"/>
    </xf>
    <xf numFmtId="4" fontId="9" fillId="13" borderId="0" xfId="2" applyNumberFormat="1" applyFont="1" applyFill="1" applyAlignment="1">
      <alignment vertical="center"/>
    </xf>
    <xf numFmtId="0" fontId="0" fillId="0" borderId="30" xfId="0" applyBorder="1" applyAlignment="1">
      <alignment horizontal="center" vertical="center"/>
    </xf>
    <xf numFmtId="0" fontId="0" fillId="0" borderId="30" xfId="0" applyBorder="1" applyAlignment="1">
      <alignment horizontal="center" vertical="center" wrapText="1"/>
    </xf>
    <xf numFmtId="3" fontId="0" fillId="0" borderId="30" xfId="0" applyNumberFormat="1" applyBorder="1" applyAlignment="1">
      <alignment vertical="center"/>
    </xf>
    <xf numFmtId="0" fontId="0" fillId="0" borderId="0" xfId="0" applyAlignment="1">
      <alignment horizontal="center" vertical="center"/>
    </xf>
    <xf numFmtId="0" fontId="0" fillId="0" borderId="0" xfId="0" applyAlignment="1">
      <alignment horizontal="center" vertical="center" wrapText="1"/>
    </xf>
    <xf numFmtId="3" fontId="0" fillId="0" borderId="30" xfId="0" applyNumberFormat="1" applyBorder="1" applyAlignment="1">
      <alignment horizontal="center" vertical="center"/>
    </xf>
    <xf numFmtId="0" fontId="12" fillId="15" borderId="28" xfId="3" applyFont="1" applyFill="1" applyBorder="1"/>
    <xf numFmtId="0" fontId="12" fillId="15" borderId="28" xfId="3" applyFont="1" applyFill="1" applyBorder="1" applyAlignment="1">
      <alignment horizontal="center"/>
    </xf>
    <xf numFmtId="164" fontId="12" fillId="15" borderId="27" xfId="3" applyNumberFormat="1" applyFont="1" applyFill="1" applyBorder="1" applyAlignment="1">
      <alignment horizontal="center"/>
    </xf>
    <xf numFmtId="4" fontId="6" fillId="6" borderId="30" xfId="2" applyNumberFormat="1" applyFont="1" applyFill="1" applyBorder="1" applyAlignment="1">
      <alignment horizontal="center" vertical="center"/>
    </xf>
    <xf numFmtId="17" fontId="0" fillId="0" borderId="0" xfId="0" applyNumberFormat="1"/>
    <xf numFmtId="14" fontId="0" fillId="0" borderId="0" xfId="0" applyNumberFormat="1"/>
    <xf numFmtId="0" fontId="0" fillId="0" borderId="0" xfId="0" applyAlignment="1">
      <alignment wrapText="1"/>
    </xf>
    <xf numFmtId="4" fontId="0" fillId="0" borderId="0" xfId="0" applyNumberFormat="1"/>
    <xf numFmtId="0" fontId="51" fillId="16" borderId="116" xfId="0" applyFont="1" applyFill="1" applyBorder="1" applyAlignment="1">
      <alignment horizontal="center" vertical="center" wrapText="1"/>
    </xf>
    <xf numFmtId="0" fontId="51" fillId="16" borderId="117" xfId="0" applyFont="1" applyFill="1" applyBorder="1" applyAlignment="1">
      <alignment horizontal="center" vertical="center" wrapText="1"/>
    </xf>
    <xf numFmtId="0" fontId="51" fillId="16" borderId="118" xfId="0" applyFont="1" applyFill="1" applyBorder="1" applyAlignment="1">
      <alignment horizontal="center" vertical="center" wrapText="1"/>
    </xf>
    <xf numFmtId="0" fontId="50" fillId="0" borderId="119" xfId="0" applyFont="1" applyBorder="1" applyAlignment="1">
      <alignment horizontal="center" vertical="center"/>
    </xf>
    <xf numFmtId="0" fontId="50" fillId="0" borderId="119" xfId="0" applyFont="1" applyBorder="1" applyAlignment="1">
      <alignment horizontal="left" vertical="center" wrapText="1"/>
    </xf>
    <xf numFmtId="173" fontId="50" fillId="0" borderId="119" xfId="0" applyNumberFormat="1" applyFont="1" applyBorder="1" applyAlignment="1">
      <alignment horizontal="right" vertical="center"/>
    </xf>
    <xf numFmtId="0" fontId="50" fillId="0" borderId="120" xfId="0" applyFont="1" applyBorder="1" applyAlignment="1">
      <alignment horizontal="center" vertical="center"/>
    </xf>
    <xf numFmtId="0" fontId="50" fillId="0" borderId="120" xfId="0" applyFont="1" applyBorder="1" applyAlignment="1">
      <alignment horizontal="left" vertical="center" wrapText="1"/>
    </xf>
    <xf numFmtId="173" fontId="50" fillId="0" borderId="120" xfId="0" applyNumberFormat="1" applyFont="1" applyBorder="1" applyAlignment="1">
      <alignment horizontal="right" vertical="center"/>
    </xf>
    <xf numFmtId="0" fontId="50" fillId="0" borderId="0" xfId="0" applyFont="1" applyAlignment="1">
      <alignment horizontal="center" vertical="center"/>
    </xf>
    <xf numFmtId="0" fontId="50" fillId="0" borderId="0" xfId="0" applyFont="1" applyAlignment="1">
      <alignment horizontal="left" vertical="center" wrapText="1" indent="1"/>
    </xf>
    <xf numFmtId="173" fontId="50" fillId="0" borderId="0" xfId="0" applyNumberFormat="1" applyFont="1" applyAlignment="1">
      <alignment horizontal="right" vertical="center"/>
    </xf>
    <xf numFmtId="0" fontId="50" fillId="0" borderId="121" xfId="0" applyFont="1" applyBorder="1" applyAlignment="1">
      <alignment horizontal="center" vertical="center"/>
    </xf>
    <xf numFmtId="0" fontId="50" fillId="0" borderId="121" xfId="0" applyFont="1" applyBorder="1" applyAlignment="1">
      <alignment horizontal="left" vertical="center" wrapText="1" indent="1"/>
    </xf>
    <xf numFmtId="173" fontId="50" fillId="0" borderId="121" xfId="0" applyNumberFormat="1" applyFont="1" applyBorder="1" applyAlignment="1">
      <alignment horizontal="right" vertical="center"/>
    </xf>
    <xf numFmtId="44" fontId="28" fillId="0" borderId="0" xfId="7" applyNumberFormat="1" applyFont="1" applyAlignment="1">
      <alignment vertical="center"/>
    </xf>
    <xf numFmtId="0" fontId="11" fillId="2" borderId="12" xfId="7" applyFont="1" applyFill="1" applyBorder="1" applyAlignment="1">
      <alignment vertical="center"/>
    </xf>
    <xf numFmtId="0" fontId="11" fillId="12" borderId="1" xfId="7" applyFont="1" applyFill="1" applyBorder="1" applyAlignment="1">
      <alignment horizontal="center" vertical="center"/>
    </xf>
    <xf numFmtId="1" fontId="4" fillId="17" borderId="124" xfId="0" applyNumberFormat="1" applyFont="1" applyFill="1" applyBorder="1" applyAlignment="1" applyProtection="1">
      <alignment vertical="center" wrapText="1"/>
      <protection locked="0"/>
    </xf>
    <xf numFmtId="1" fontId="4" fillId="17" borderId="127" xfId="0" applyNumberFormat="1" applyFont="1" applyFill="1" applyBorder="1" applyAlignment="1" applyProtection="1">
      <alignment vertical="center" wrapText="1"/>
      <protection locked="0"/>
    </xf>
    <xf numFmtId="0" fontId="8" fillId="8" borderId="30" xfId="0" applyFont="1" applyFill="1" applyBorder="1" applyAlignment="1">
      <alignment horizontal="center" vertical="top" wrapText="1"/>
    </xf>
    <xf numFmtId="43" fontId="8" fillId="8" borderId="130" xfId="9" applyFont="1" applyFill="1" applyBorder="1" applyAlignment="1">
      <alignment horizontal="center" vertical="top" wrapText="1"/>
    </xf>
    <xf numFmtId="3" fontId="9" fillId="0" borderId="30" xfId="10" applyNumberFormat="1" applyFont="1" applyBorder="1" applyAlignment="1">
      <alignment horizontal="center" vertical="top" wrapText="1"/>
    </xf>
    <xf numFmtId="0" fontId="9" fillId="0" borderId="30" xfId="0" applyFont="1" applyBorder="1" applyAlignment="1">
      <alignment horizontal="center" vertical="top" wrapText="1"/>
    </xf>
    <xf numFmtId="49" fontId="9" fillId="0" borderId="30" xfId="0" applyNumberFormat="1" applyFont="1" applyBorder="1" applyAlignment="1">
      <alignment horizontal="center" vertical="top" wrapText="1"/>
    </xf>
    <xf numFmtId="43" fontId="8" fillId="0" borderId="30" xfId="9" applyFont="1" applyFill="1" applyBorder="1" applyAlignment="1">
      <alignment horizontal="center" vertical="top" wrapText="1"/>
    </xf>
    <xf numFmtId="0" fontId="8" fillId="14" borderId="30" xfId="0" applyFont="1" applyFill="1" applyBorder="1" applyAlignment="1">
      <alignment horizontal="center" vertical="center" wrapText="1"/>
    </xf>
    <xf numFmtId="43" fontId="8" fillId="14" borderId="30" xfId="9" applyFont="1" applyFill="1" applyBorder="1" applyAlignment="1">
      <alignment horizontal="center" vertical="center" wrapText="1"/>
    </xf>
    <xf numFmtId="0" fontId="10" fillId="0" borderId="0" xfId="2" applyFont="1" applyAlignment="1">
      <alignment horizontal="right" vertical="center"/>
    </xf>
    <xf numFmtId="44" fontId="47" fillId="0" borderId="2" xfId="0" applyNumberFormat="1" applyFont="1" applyBorder="1" applyAlignment="1">
      <alignment vertical="center"/>
    </xf>
    <xf numFmtId="3" fontId="9" fillId="0" borderId="0" xfId="10" applyNumberFormat="1" applyFont="1" applyAlignment="1">
      <alignment horizontal="center" vertical="top" wrapText="1"/>
    </xf>
    <xf numFmtId="0" fontId="9" fillId="0" borderId="0" xfId="0" applyFont="1" applyAlignment="1">
      <alignment horizontal="center" vertical="top" wrapText="1"/>
    </xf>
    <xf numFmtId="49" fontId="9" fillId="0" borderId="0" xfId="0" applyNumberFormat="1" applyFont="1" applyAlignment="1">
      <alignment horizontal="center" vertical="top" wrapText="1"/>
    </xf>
    <xf numFmtId="43" fontId="8" fillId="0" borderId="0" xfId="9" applyFont="1" applyFill="1" applyBorder="1" applyAlignment="1">
      <alignment horizontal="center" vertical="top" wrapText="1"/>
    </xf>
    <xf numFmtId="164" fontId="10" fillId="0" borderId="0" xfId="2" applyNumberFormat="1" applyFont="1" applyAlignment="1">
      <alignment vertical="center"/>
    </xf>
    <xf numFmtId="4" fontId="9" fillId="18" borderId="30" xfId="2" applyNumberFormat="1" applyFont="1" applyFill="1" applyBorder="1"/>
    <xf numFmtId="4" fontId="9" fillId="19" borderId="1" xfId="2" applyNumberFormat="1" applyFont="1" applyFill="1" applyBorder="1" applyAlignment="1">
      <alignment vertical="center"/>
    </xf>
    <xf numFmtId="4" fontId="9" fillId="19" borderId="1" xfId="2" applyNumberFormat="1" applyFont="1" applyFill="1" applyBorder="1" applyAlignment="1">
      <alignment horizontal="center" vertical="center"/>
    </xf>
    <xf numFmtId="0" fontId="9" fillId="0" borderId="1" xfId="2" applyFont="1" applyBorder="1" applyAlignment="1">
      <alignment vertical="center" wrapText="1"/>
    </xf>
    <xf numFmtId="4" fontId="9" fillId="18" borderId="1" xfId="2" applyNumberFormat="1" applyFont="1" applyFill="1" applyBorder="1" applyAlignment="1">
      <alignment vertical="center"/>
    </xf>
    <xf numFmtId="0" fontId="7" fillId="0" borderId="30" xfId="0" applyFont="1" applyBorder="1" applyAlignment="1">
      <alignment vertical="center"/>
    </xf>
    <xf numFmtId="0" fontId="9" fillId="0" borderId="0" xfId="2" applyFont="1" applyAlignment="1">
      <alignment vertical="center" wrapText="1"/>
    </xf>
    <xf numFmtId="4" fontId="15" fillId="0" borderId="1" xfId="2" applyNumberFormat="1" applyFont="1" applyBorder="1" applyAlignment="1">
      <alignment vertical="center"/>
    </xf>
    <xf numFmtId="0" fontId="15" fillId="0" borderId="1" xfId="2" applyFont="1" applyBorder="1" applyAlignment="1">
      <alignment horizontal="center" vertical="center"/>
    </xf>
    <xf numFmtId="0" fontId="15" fillId="0" borderId="1" xfId="2" applyFont="1" applyBorder="1" applyAlignment="1">
      <alignment vertical="center"/>
    </xf>
    <xf numFmtId="0" fontId="7" fillId="7" borderId="30" xfId="2" applyFont="1" applyFill="1" applyBorder="1" applyAlignment="1">
      <alignment horizontal="right" vertical="center"/>
    </xf>
    <xf numFmtId="0" fontId="6" fillId="7" borderId="30" xfId="2" applyFont="1" applyFill="1" applyBorder="1" applyAlignment="1">
      <alignment horizontal="right" vertical="center" wrapText="1"/>
    </xf>
    <xf numFmtId="0" fontId="7" fillId="7" borderId="30" xfId="2" applyFont="1" applyFill="1" applyBorder="1" applyAlignment="1">
      <alignment horizontal="center" vertical="center"/>
    </xf>
    <xf numFmtId="0" fontId="6" fillId="11" borderId="30" xfId="2" applyFont="1" applyFill="1" applyBorder="1" applyAlignment="1">
      <alignment horizontal="center" vertical="center"/>
    </xf>
    <xf numFmtId="0" fontId="6" fillId="7" borderId="30" xfId="2" applyFont="1" applyFill="1" applyBorder="1" applyAlignment="1">
      <alignment horizontal="center" vertical="center" wrapText="1"/>
    </xf>
    <xf numFmtId="2" fontId="7" fillId="7" borderId="30" xfId="2" applyNumberFormat="1" applyFont="1" applyFill="1" applyBorder="1" applyAlignment="1">
      <alignment horizontal="center" vertical="center"/>
    </xf>
    <xf numFmtId="0" fontId="6" fillId="6" borderId="30" xfId="2" applyFont="1" applyFill="1" applyBorder="1" applyAlignment="1">
      <alignment horizontal="right" vertical="center"/>
    </xf>
    <xf numFmtId="0" fontId="0" fillId="0" borderId="30" xfId="0" applyBorder="1" applyAlignment="1">
      <alignment horizontal="left" vertical="center" wrapText="1"/>
    </xf>
    <xf numFmtId="0" fontId="46" fillId="0" borderId="2" xfId="0" applyFont="1" applyBorder="1" applyAlignment="1">
      <alignment horizontal="center" vertical="center"/>
    </xf>
    <xf numFmtId="0" fontId="46" fillId="0" borderId="12" xfId="0" applyFont="1" applyBorder="1" applyAlignment="1">
      <alignment horizontal="center" vertical="center"/>
    </xf>
    <xf numFmtId="0" fontId="46" fillId="0" borderId="11" xfId="0" applyFont="1" applyBorder="1" applyAlignment="1">
      <alignment horizontal="center" vertical="center"/>
    </xf>
    <xf numFmtId="0" fontId="49" fillId="0" borderId="83"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82" xfId="0" applyFont="1" applyBorder="1" applyAlignment="1">
      <alignment horizontal="center" vertical="center" wrapText="1"/>
    </xf>
    <xf numFmtId="0" fontId="49" fillId="0" borderId="83" xfId="0" applyFont="1" applyBorder="1" applyAlignment="1">
      <alignment horizontal="center" vertical="center"/>
    </xf>
    <xf numFmtId="0" fontId="49" fillId="0" borderId="28" xfId="0" applyFont="1" applyBorder="1" applyAlignment="1">
      <alignment horizontal="center" vertical="center"/>
    </xf>
    <xf numFmtId="0" fontId="49" fillId="0" borderId="82" xfId="0" applyFont="1" applyBorder="1" applyAlignment="1">
      <alignment horizontal="center" vertical="center"/>
    </xf>
    <xf numFmtId="0" fontId="52" fillId="0" borderId="30" xfId="0" applyFont="1" applyBorder="1" applyAlignment="1">
      <alignment horizontal="center" vertical="center"/>
    </xf>
    <xf numFmtId="0" fontId="0" fillId="0" borderId="30" xfId="0" applyBorder="1" applyAlignment="1">
      <alignment horizontal="center" vertical="center" wrapText="1"/>
    </xf>
    <xf numFmtId="0" fontId="0" fillId="12" borderId="30" xfId="0" applyFill="1" applyBorder="1" applyAlignment="1">
      <alignment horizontal="center" vertical="center"/>
    </xf>
    <xf numFmtId="0" fontId="0" fillId="12" borderId="83" xfId="0" applyFill="1" applyBorder="1" applyAlignment="1">
      <alignment horizontal="center" vertical="center"/>
    </xf>
    <xf numFmtId="0" fontId="0" fillId="12" borderId="129" xfId="0" applyFill="1" applyBorder="1" applyAlignment="1">
      <alignment horizontal="center" vertical="center"/>
    </xf>
    <xf numFmtId="0" fontId="0" fillId="12" borderId="130" xfId="0" applyFill="1" applyBorder="1" applyAlignment="1">
      <alignment horizontal="center" vertical="center"/>
    </xf>
    <xf numFmtId="0" fontId="0" fillId="0" borderId="137" xfId="0" applyBorder="1" applyAlignment="1">
      <alignment horizontal="center" vertical="center" wrapText="1"/>
    </xf>
    <xf numFmtId="0" fontId="0" fillId="0" borderId="66" xfId="0" applyBorder="1" applyAlignment="1">
      <alignment horizontal="center" vertical="center" wrapText="1"/>
    </xf>
    <xf numFmtId="0" fontId="0" fillId="0" borderId="34" xfId="0" applyBorder="1" applyAlignment="1">
      <alignment horizontal="center" vertical="center" wrapText="1"/>
    </xf>
    <xf numFmtId="0" fontId="2" fillId="14" borderId="30" xfId="0" applyFont="1" applyFill="1" applyBorder="1" applyAlignment="1">
      <alignment horizontal="center" vertical="center" wrapText="1"/>
    </xf>
    <xf numFmtId="0" fontId="2" fillId="14" borderId="30" xfId="0" applyFont="1" applyFill="1" applyBorder="1" applyAlignment="1">
      <alignment horizontal="center" vertical="center"/>
    </xf>
    <xf numFmtId="0" fontId="0" fillId="0" borderId="67" xfId="0" applyBorder="1" applyAlignment="1">
      <alignment horizontal="center" vertical="center" wrapText="1"/>
    </xf>
    <xf numFmtId="0" fontId="37" fillId="0" borderId="0" xfId="2" applyFont="1" applyAlignment="1">
      <alignment horizontal="center" vertical="center"/>
    </xf>
    <xf numFmtId="0" fontId="38" fillId="9" borderId="78" xfId="0" applyFont="1" applyFill="1" applyBorder="1" applyAlignment="1">
      <alignment horizontal="center" vertical="center" wrapText="1"/>
    </xf>
    <xf numFmtId="0" fontId="38" fillId="9" borderId="79" xfId="0" applyFont="1" applyFill="1" applyBorder="1" applyAlignment="1">
      <alignment horizontal="center" vertical="center" wrapText="1"/>
    </xf>
    <xf numFmtId="0" fontId="38" fillId="9" borderId="75" xfId="0" applyFont="1" applyFill="1" applyBorder="1" applyAlignment="1">
      <alignment horizontal="center" vertical="center" wrapText="1"/>
    </xf>
    <xf numFmtId="0" fontId="38" fillId="0" borderId="74" xfId="0" applyFont="1" applyBorder="1" applyAlignment="1">
      <alignment horizontal="left" vertical="center" wrapText="1"/>
    </xf>
    <xf numFmtId="0" fontId="38" fillId="0" borderId="76" xfId="0" applyFont="1" applyBorder="1" applyAlignment="1">
      <alignment horizontal="left" vertical="center" wrapText="1"/>
    </xf>
    <xf numFmtId="0" fontId="38" fillId="0" borderId="74" xfId="0" applyFont="1" applyBorder="1" applyAlignment="1">
      <alignment horizontal="center" vertical="center" wrapText="1"/>
    </xf>
    <xf numFmtId="0" fontId="38" fillId="0" borderId="76" xfId="0" applyFont="1" applyBorder="1" applyAlignment="1">
      <alignment horizontal="center" vertical="center" wrapText="1"/>
    </xf>
    <xf numFmtId="49" fontId="32" fillId="8" borderId="70" xfId="2" applyNumberFormat="1" applyFont="1" applyFill="1" applyBorder="1" applyAlignment="1">
      <alignment horizontal="center" vertical="center"/>
    </xf>
    <xf numFmtId="49" fontId="32" fillId="8" borderId="69" xfId="2" applyNumberFormat="1" applyFont="1" applyFill="1" applyBorder="1" applyAlignment="1">
      <alignment horizontal="center" vertical="center"/>
    </xf>
    <xf numFmtId="0" fontId="37" fillId="0" borderId="0" xfId="2" applyFont="1" applyAlignment="1">
      <alignment horizontal="center"/>
    </xf>
    <xf numFmtId="0" fontId="35" fillId="2" borderId="1" xfId="2" applyFont="1" applyFill="1" applyBorder="1" applyAlignment="1">
      <alignment horizontal="center" vertical="center"/>
    </xf>
    <xf numFmtId="0" fontId="34" fillId="0" borderId="10" xfId="2" applyFont="1" applyBorder="1" applyAlignment="1">
      <alignment horizontal="center"/>
    </xf>
    <xf numFmtId="0" fontId="3" fillId="0" borderId="0" xfId="2" applyFont="1" applyAlignment="1">
      <alignment horizontal="left" vertical="center" wrapText="1"/>
    </xf>
    <xf numFmtId="0" fontId="13" fillId="0" borderId="0" xfId="2" applyFont="1" applyAlignment="1">
      <alignment horizontal="center" vertical="center"/>
    </xf>
    <xf numFmtId="0" fontId="2" fillId="2" borderId="1" xfId="0" applyFont="1" applyFill="1" applyBorder="1" applyAlignment="1">
      <alignment horizontal="center" vertical="center"/>
    </xf>
    <xf numFmtId="0" fontId="2" fillId="0" borderId="10" xfId="0" applyFont="1" applyBorder="1" applyAlignment="1">
      <alignment horizont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xf>
    <xf numFmtId="0" fontId="2" fillId="0" borderId="8" xfId="0" applyFont="1" applyBorder="1" applyAlignment="1">
      <alignment horizontal="center"/>
    </xf>
    <xf numFmtId="0" fontId="2" fillId="0" borderId="7" xfId="0" applyFont="1" applyBorder="1" applyAlignment="1">
      <alignment horizontal="center"/>
    </xf>
    <xf numFmtId="0" fontId="25" fillId="0" borderId="0" xfId="2" applyFont="1" applyAlignment="1">
      <alignment horizontal="center"/>
    </xf>
    <xf numFmtId="0" fontId="22" fillId="2" borderId="1" xfId="2" applyFont="1" applyFill="1" applyBorder="1" applyAlignment="1">
      <alignment horizontal="center" vertical="center"/>
    </xf>
    <xf numFmtId="0" fontId="22" fillId="2" borderId="2" xfId="2" applyFont="1" applyFill="1" applyBorder="1" applyAlignment="1">
      <alignment horizontal="center" vertical="center"/>
    </xf>
    <xf numFmtId="0" fontId="7" fillId="7" borderId="97" xfId="2" applyFont="1" applyFill="1" applyBorder="1" applyAlignment="1">
      <alignment horizontal="left" vertical="center"/>
    </xf>
    <xf numFmtId="0" fontId="7" fillId="7" borderId="96" xfId="2" applyFont="1" applyFill="1" applyBorder="1" applyAlignment="1">
      <alignment horizontal="left" vertical="center"/>
    </xf>
    <xf numFmtId="0" fontId="6" fillId="8" borderId="100" xfId="2" applyFont="1" applyFill="1" applyBorder="1" applyAlignment="1">
      <alignment horizontal="left" vertical="center" wrapText="1"/>
    </xf>
    <xf numFmtId="0" fontId="6" fillId="8" borderId="99" xfId="2" applyFont="1" applyFill="1" applyBorder="1" applyAlignment="1">
      <alignment horizontal="left" vertical="center" wrapText="1"/>
    </xf>
    <xf numFmtId="0" fontId="7" fillId="7" borderId="106" xfId="2" applyFont="1" applyFill="1" applyBorder="1" applyAlignment="1">
      <alignment horizontal="left" vertical="center" wrapText="1"/>
    </xf>
    <xf numFmtId="0" fontId="7" fillId="7" borderId="105" xfId="2" applyFont="1" applyFill="1" applyBorder="1" applyAlignment="1">
      <alignment horizontal="left" vertical="center" wrapText="1"/>
    </xf>
    <xf numFmtId="0" fontId="7" fillId="7" borderId="100" xfId="2" applyFont="1" applyFill="1" applyBorder="1" applyAlignment="1">
      <alignment horizontal="left" vertical="center" wrapText="1"/>
    </xf>
    <xf numFmtId="0" fontId="7" fillId="7" borderId="99" xfId="2" applyFont="1" applyFill="1" applyBorder="1" applyAlignment="1">
      <alignment horizontal="left" vertical="center" wrapText="1"/>
    </xf>
    <xf numFmtId="0" fontId="7" fillId="7" borderId="109" xfId="2" applyFont="1" applyFill="1" applyBorder="1" applyAlignment="1">
      <alignment horizontal="center" vertical="center"/>
    </xf>
    <xf numFmtId="0" fontId="7" fillId="7" borderId="108" xfId="2" applyFont="1" applyFill="1" applyBorder="1" applyAlignment="1">
      <alignment horizontal="center" vertical="center"/>
    </xf>
    <xf numFmtId="0" fontId="7" fillId="7" borderId="107" xfId="2" applyFont="1" applyFill="1" applyBorder="1" applyAlignment="1">
      <alignment horizontal="center" vertical="center"/>
    </xf>
    <xf numFmtId="0" fontId="7" fillId="7" borderId="43" xfId="2" applyFont="1" applyFill="1" applyBorder="1" applyAlignment="1">
      <alignment horizontal="left" vertical="center" wrapText="1"/>
    </xf>
    <xf numFmtId="0" fontId="7" fillId="7" borderId="82" xfId="2" applyFont="1" applyFill="1" applyBorder="1" applyAlignment="1">
      <alignment horizontal="left" vertical="center" wrapText="1"/>
    </xf>
    <xf numFmtId="0" fontId="7" fillId="7" borderId="43" xfId="2" applyFont="1" applyFill="1" applyBorder="1" applyAlignment="1">
      <alignment horizontal="left" vertical="center"/>
    </xf>
    <xf numFmtId="0" fontId="7" fillId="7" borderId="82" xfId="2" applyFont="1" applyFill="1" applyBorder="1" applyAlignment="1">
      <alignment horizontal="left" vertical="center"/>
    </xf>
    <xf numFmtId="0" fontId="7" fillId="7" borderId="93" xfId="2" applyFont="1" applyFill="1" applyBorder="1" applyAlignment="1">
      <alignment horizontal="right" vertical="center"/>
    </xf>
    <xf numFmtId="0" fontId="7" fillId="7" borderId="111" xfId="2" applyFont="1" applyFill="1" applyBorder="1" applyAlignment="1">
      <alignment horizontal="right" vertical="center"/>
    </xf>
    <xf numFmtId="0" fontId="7" fillId="7" borderId="90" xfId="2" applyFont="1" applyFill="1" applyBorder="1" applyAlignment="1">
      <alignment horizontal="center" vertical="center"/>
    </xf>
    <xf numFmtId="0" fontId="7" fillId="7" borderId="89" xfId="2" applyFont="1" applyFill="1" applyBorder="1" applyAlignment="1">
      <alignment horizontal="center" vertical="center"/>
    </xf>
    <xf numFmtId="0" fontId="7" fillId="7" borderId="88" xfId="2" applyFont="1" applyFill="1" applyBorder="1" applyAlignment="1">
      <alignment horizontal="center" vertical="center"/>
    </xf>
    <xf numFmtId="0" fontId="7" fillId="6" borderId="14" xfId="2" applyFont="1" applyFill="1" applyBorder="1" applyAlignment="1">
      <alignment horizontal="center" vertical="center"/>
    </xf>
    <xf numFmtId="0" fontId="7" fillId="6" borderId="13" xfId="2" applyFont="1" applyFill="1" applyBorder="1" applyAlignment="1">
      <alignment horizontal="center" vertical="center"/>
    </xf>
    <xf numFmtId="0" fontId="6" fillId="6" borderId="43" xfId="2" applyFont="1" applyFill="1" applyBorder="1" applyAlignment="1">
      <alignment horizontal="left" vertical="center" wrapText="1"/>
    </xf>
    <xf numFmtId="0" fontId="6" fillId="6" borderId="28" xfId="2" applyFont="1" applyFill="1" applyBorder="1" applyAlignment="1">
      <alignment horizontal="left" vertical="center" wrapText="1"/>
    </xf>
    <xf numFmtId="0" fontId="6" fillId="6" borderId="82" xfId="2" applyFont="1" applyFill="1" applyBorder="1" applyAlignment="1">
      <alignment horizontal="left" vertical="center" wrapText="1"/>
    </xf>
    <xf numFmtId="0" fontId="7" fillId="0" borderId="15" xfId="2" applyFont="1" applyBorder="1" applyAlignment="1">
      <alignment horizontal="right" vertical="center" wrapText="1"/>
    </xf>
    <xf numFmtId="0" fontId="7" fillId="0" borderId="14" xfId="2" applyFont="1" applyBorder="1" applyAlignment="1">
      <alignment horizontal="right" vertical="center" wrapText="1"/>
    </xf>
    <xf numFmtId="0" fontId="7" fillId="0" borderId="13" xfId="2" applyFont="1" applyBorder="1" applyAlignment="1">
      <alignment horizontal="right" vertical="center" wrapText="1"/>
    </xf>
    <xf numFmtId="0" fontId="7" fillId="0" borderId="43" xfId="2" applyFont="1" applyBorder="1" applyAlignment="1">
      <alignment horizontal="left" vertical="center" wrapText="1"/>
    </xf>
    <xf numFmtId="0" fontId="7" fillId="0" borderId="28" xfId="2" applyFont="1" applyBorder="1" applyAlignment="1">
      <alignment horizontal="left" vertical="center" wrapText="1"/>
    </xf>
    <xf numFmtId="0" fontId="7" fillId="0" borderId="82" xfId="2" applyFont="1" applyBorder="1" applyAlignment="1">
      <alignment horizontal="left" vertical="center" wrapText="1"/>
    </xf>
    <xf numFmtId="0" fontId="7" fillId="7" borderId="97" xfId="2" applyFont="1" applyFill="1" applyBorder="1" applyAlignment="1">
      <alignment horizontal="left" vertical="center" wrapText="1"/>
    </xf>
    <xf numFmtId="0" fontId="7" fillId="7" borderId="96" xfId="2" applyFont="1" applyFill="1" applyBorder="1" applyAlignment="1">
      <alignment horizontal="left" vertical="center" wrapText="1"/>
    </xf>
    <xf numFmtId="0" fontId="6" fillId="12" borderId="0" xfId="2" applyFont="1" applyFill="1" applyAlignment="1">
      <alignment horizontal="center" vertical="center"/>
    </xf>
    <xf numFmtId="0" fontId="7" fillId="7" borderId="103" xfId="2" applyFont="1" applyFill="1" applyBorder="1" applyAlignment="1">
      <alignment horizontal="center" vertical="center"/>
    </xf>
    <xf numFmtId="0" fontId="7" fillId="7" borderId="102" xfId="2" applyFont="1" applyFill="1" applyBorder="1" applyAlignment="1">
      <alignment horizontal="center" vertical="center"/>
    </xf>
    <xf numFmtId="0" fontId="7" fillId="7" borderId="101" xfId="2" applyFont="1" applyFill="1" applyBorder="1" applyAlignment="1">
      <alignment horizontal="center" vertical="center"/>
    </xf>
    <xf numFmtId="0" fontId="7" fillId="7" borderId="93" xfId="2" applyFont="1" applyFill="1" applyBorder="1" applyAlignment="1">
      <alignment horizontal="center" vertical="center"/>
    </xf>
    <xf numFmtId="0" fontId="7" fillId="7" borderId="92" xfId="2" applyFont="1" applyFill="1" applyBorder="1" applyAlignment="1">
      <alignment horizontal="center" vertical="center"/>
    </xf>
    <xf numFmtId="0" fontId="6" fillId="11" borderId="15" xfId="2" applyFont="1" applyFill="1" applyBorder="1" applyAlignment="1">
      <alignment horizontal="center" vertical="center"/>
    </xf>
    <xf numFmtId="0" fontId="6" fillId="11" borderId="14" xfId="2" applyFont="1" applyFill="1" applyBorder="1" applyAlignment="1">
      <alignment horizontal="center" vertical="center"/>
    </xf>
    <xf numFmtId="0" fontId="6" fillId="7" borderId="81" xfId="2" applyFont="1" applyFill="1" applyBorder="1" applyAlignment="1">
      <alignment horizontal="right" vertical="center"/>
    </xf>
    <xf numFmtId="0" fontId="7" fillId="7" borderId="41" xfId="2" applyFont="1" applyFill="1" applyBorder="1" applyAlignment="1">
      <alignment horizontal="center" vertical="center"/>
    </xf>
    <xf numFmtId="0" fontId="7" fillId="7" borderId="40" xfId="2" applyFont="1" applyFill="1" applyBorder="1" applyAlignment="1">
      <alignment horizontal="center" vertical="center"/>
    </xf>
    <xf numFmtId="0" fontId="7" fillId="7" borderId="39" xfId="2" applyFont="1" applyFill="1" applyBorder="1" applyAlignment="1">
      <alignment horizontal="center" vertical="center"/>
    </xf>
    <xf numFmtId="0" fontId="7" fillId="7" borderId="32" xfId="2" applyFont="1" applyFill="1" applyBorder="1" applyAlignment="1">
      <alignment horizontal="center" vertical="center"/>
    </xf>
    <xf numFmtId="4" fontId="7" fillId="7" borderId="113" xfId="2" applyNumberFormat="1" applyFont="1" applyFill="1" applyBorder="1" applyAlignment="1">
      <alignment horizontal="center" vertical="center"/>
    </xf>
    <xf numFmtId="0" fontId="7" fillId="7" borderId="113" xfId="2" applyFont="1" applyFill="1" applyBorder="1" applyAlignment="1">
      <alignment horizontal="center" vertical="center"/>
    </xf>
    <xf numFmtId="0" fontId="7" fillId="7" borderId="115" xfId="2" applyFont="1" applyFill="1" applyBorder="1" applyAlignment="1">
      <alignment horizontal="center" vertical="center"/>
    </xf>
    <xf numFmtId="0" fontId="7" fillId="7" borderId="114" xfId="2" applyFont="1" applyFill="1" applyBorder="1" applyAlignment="1">
      <alignment horizontal="center" vertical="center"/>
    </xf>
    <xf numFmtId="4" fontId="6" fillId="8" borderId="15" xfId="2" applyNumberFormat="1" applyFont="1" applyFill="1" applyBorder="1" applyAlignment="1">
      <alignment horizontal="center" vertical="center"/>
    </xf>
    <xf numFmtId="4" fontId="6" fillId="8" borderId="13" xfId="2" applyNumberFormat="1" applyFont="1" applyFill="1" applyBorder="1" applyAlignment="1">
      <alignment horizontal="center" vertical="center"/>
    </xf>
    <xf numFmtId="0" fontId="7" fillId="0" borderId="43"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82" xfId="2" applyFont="1" applyBorder="1" applyAlignment="1">
      <alignment horizontal="center" vertical="center" wrapText="1"/>
    </xf>
    <xf numFmtId="0" fontId="7" fillId="0" borderId="93" xfId="2" applyFont="1" applyBorder="1" applyAlignment="1">
      <alignment horizontal="right" vertical="center" wrapText="1"/>
    </xf>
    <xf numFmtId="0" fontId="7" fillId="0" borderId="92" xfId="2" applyFont="1" applyBorder="1" applyAlignment="1">
      <alignment horizontal="right" vertical="center" wrapText="1"/>
    </xf>
    <xf numFmtId="0" fontId="7" fillId="0" borderId="111" xfId="2" applyFont="1" applyBorder="1" applyAlignment="1">
      <alignment horizontal="right" vertical="center" wrapText="1"/>
    </xf>
    <xf numFmtId="0" fontId="8" fillId="0" borderId="0" xfId="2" applyFont="1" applyAlignment="1">
      <alignment horizontal="justify" vertical="center" wrapText="1"/>
    </xf>
    <xf numFmtId="0" fontId="8" fillId="0" borderId="0" xfId="2" applyFont="1" applyAlignment="1">
      <alignment horizontal="center" vertical="center"/>
    </xf>
    <xf numFmtId="0" fontId="2" fillId="2" borderId="2" xfId="2" applyFont="1" applyFill="1" applyBorder="1" applyAlignment="1">
      <alignment horizontal="center" vertical="center"/>
    </xf>
    <xf numFmtId="0" fontId="2" fillId="2" borderId="12" xfId="2" applyFont="1" applyFill="1" applyBorder="1" applyAlignment="1">
      <alignment horizontal="center" vertical="center"/>
    </xf>
    <xf numFmtId="0" fontId="2" fillId="2" borderId="11" xfId="2" applyFont="1" applyFill="1" applyBorder="1" applyAlignment="1">
      <alignment horizontal="center" vertical="center"/>
    </xf>
    <xf numFmtId="0" fontId="2" fillId="2" borderId="1" xfId="2" applyFont="1" applyFill="1" applyBorder="1" applyAlignment="1">
      <alignment horizontal="center" vertical="center"/>
    </xf>
    <xf numFmtId="0" fontId="2" fillId="0" borderId="9" xfId="2" applyFont="1" applyBorder="1" applyAlignment="1">
      <alignment horizontal="center"/>
    </xf>
    <xf numFmtId="0" fontId="2" fillId="0" borderId="8" xfId="2" applyFont="1" applyBorder="1" applyAlignment="1">
      <alignment horizontal="center"/>
    </xf>
    <xf numFmtId="0" fontId="2" fillId="0" borderId="7" xfId="2" applyFont="1" applyBorder="1" applyAlignment="1">
      <alignment horizontal="center"/>
    </xf>
    <xf numFmtId="0" fontId="3" fillId="0" borderId="30" xfId="2" applyFont="1" applyBorder="1" applyAlignment="1">
      <alignment horizontal="center" vertical="center"/>
    </xf>
    <xf numFmtId="0" fontId="2" fillId="0" borderId="10" xfId="2" applyFont="1" applyBorder="1" applyAlignment="1">
      <alignment horizontal="center"/>
    </xf>
    <xf numFmtId="0" fontId="2" fillId="2" borderId="1" xfId="2" applyFont="1" applyFill="1" applyBorder="1" applyAlignment="1">
      <alignment horizontal="center" vertical="center" wrapText="1"/>
    </xf>
    <xf numFmtId="0" fontId="8" fillId="7" borderId="0" xfId="3" applyFont="1" applyFill="1" applyAlignment="1">
      <alignment horizontal="center"/>
    </xf>
    <xf numFmtId="0" fontId="8" fillId="7" borderId="42" xfId="3" applyFont="1" applyFill="1" applyBorder="1" applyAlignment="1">
      <alignment vertical="justify"/>
    </xf>
    <xf numFmtId="0" fontId="3" fillId="0" borderId="0" xfId="2" applyFont="1" applyAlignment="1">
      <alignment horizontal="center" vertical="center"/>
    </xf>
    <xf numFmtId="0" fontId="7" fillId="7" borderId="43" xfId="2" applyFont="1" applyFill="1" applyBorder="1" applyAlignment="1">
      <alignment horizontal="center" vertical="center"/>
    </xf>
    <xf numFmtId="0" fontId="7" fillId="7" borderId="28" xfId="2" applyFont="1" applyFill="1" applyBorder="1" applyAlignment="1">
      <alignment horizontal="center" vertical="center"/>
    </xf>
    <xf numFmtId="0" fontId="7" fillId="7" borderId="27" xfId="2" applyFont="1" applyFill="1" applyBorder="1" applyAlignment="1">
      <alignment horizontal="center" vertical="center"/>
    </xf>
    <xf numFmtId="0" fontId="6" fillId="11" borderId="93" xfId="2" applyFont="1" applyFill="1" applyBorder="1" applyAlignment="1">
      <alignment horizontal="center" vertical="center"/>
    </xf>
    <xf numFmtId="0" fontId="6" fillId="11" borderId="92" xfId="2" applyFont="1" applyFill="1" applyBorder="1" applyAlignment="1">
      <alignment horizontal="center" vertical="center"/>
    </xf>
    <xf numFmtId="0" fontId="6" fillId="11" borderId="91" xfId="2" applyFont="1" applyFill="1" applyBorder="1" applyAlignment="1">
      <alignment horizontal="center" vertical="center"/>
    </xf>
    <xf numFmtId="0" fontId="6" fillId="7" borderId="81" xfId="2" applyFont="1" applyFill="1" applyBorder="1" applyAlignment="1">
      <alignment horizontal="right" vertical="center" wrapText="1"/>
    </xf>
    <xf numFmtId="0" fontId="7" fillId="7" borderId="90" xfId="2" applyFont="1" applyFill="1" applyBorder="1" applyAlignment="1">
      <alignment horizontal="right" vertical="center"/>
    </xf>
    <xf numFmtId="0" fontId="7" fillId="7" borderId="89" xfId="2" applyFont="1" applyFill="1" applyBorder="1" applyAlignment="1">
      <alignment horizontal="right" vertical="center"/>
    </xf>
    <xf numFmtId="0" fontId="7" fillId="7" borderId="88" xfId="2" applyFont="1" applyFill="1" applyBorder="1" applyAlignment="1">
      <alignment horizontal="right" vertical="center"/>
    </xf>
    <xf numFmtId="0" fontId="6" fillId="6" borderId="86" xfId="2" applyFont="1" applyFill="1" applyBorder="1" applyAlignment="1">
      <alignment horizontal="right" vertical="center"/>
    </xf>
    <xf numFmtId="0" fontId="6" fillId="7" borderId="15" xfId="2" applyFont="1" applyFill="1" applyBorder="1" applyAlignment="1">
      <alignment horizontal="center" vertical="center" wrapText="1"/>
    </xf>
    <xf numFmtId="0" fontId="6" fillId="7" borderId="13" xfId="2" applyFont="1" applyFill="1" applyBorder="1" applyAlignment="1">
      <alignment horizontal="center" vertical="center" wrapText="1"/>
    </xf>
    <xf numFmtId="0" fontId="7" fillId="7" borderId="84" xfId="2" applyFont="1" applyFill="1" applyBorder="1" applyAlignment="1">
      <alignment horizontal="right" vertical="center"/>
    </xf>
    <xf numFmtId="0" fontId="7" fillId="7" borderId="86" xfId="2" applyFont="1" applyFill="1" applyBorder="1" applyAlignment="1">
      <alignment horizontal="right" vertical="center"/>
    </xf>
    <xf numFmtId="0" fontId="7" fillId="7" borderId="85" xfId="2" applyFont="1" applyFill="1" applyBorder="1" applyAlignment="1">
      <alignment horizontal="right" vertical="center"/>
    </xf>
    <xf numFmtId="0" fontId="7" fillId="7" borderId="43" xfId="2" applyFont="1" applyFill="1" applyBorder="1" applyAlignment="1">
      <alignment horizontal="right" vertical="center"/>
    </xf>
    <xf numFmtId="0" fontId="7" fillId="7" borderId="28" xfId="2" applyFont="1" applyFill="1" applyBorder="1" applyAlignment="1">
      <alignment horizontal="right" vertical="center"/>
    </xf>
    <xf numFmtId="0" fontId="7" fillId="7" borderId="27" xfId="2" applyFont="1" applyFill="1" applyBorder="1" applyAlignment="1">
      <alignment horizontal="right" vertical="center"/>
    </xf>
    <xf numFmtId="0" fontId="6" fillId="6" borderId="84" xfId="2" applyFont="1" applyFill="1" applyBorder="1" applyAlignment="1">
      <alignment horizontal="right" vertical="center"/>
    </xf>
    <xf numFmtId="0" fontId="8" fillId="7" borderId="0" xfId="3" applyFont="1" applyFill="1" applyAlignment="1">
      <alignment horizontal="left" vertical="justify"/>
    </xf>
    <xf numFmtId="0" fontId="8" fillId="7" borderId="0" xfId="3" applyFont="1" applyFill="1" applyAlignment="1">
      <alignment vertical="justify"/>
    </xf>
    <xf numFmtId="0" fontId="2" fillId="0" borderId="131" xfId="2" applyFont="1" applyBorder="1" applyAlignment="1">
      <alignment horizontal="center"/>
    </xf>
    <xf numFmtId="0" fontId="2" fillId="0" borderId="132" xfId="2" applyFont="1" applyBorder="1" applyAlignment="1">
      <alignment horizontal="center"/>
    </xf>
    <xf numFmtId="0" fontId="2" fillId="0" borderId="133" xfId="2" applyFont="1" applyBorder="1" applyAlignment="1">
      <alignment horizontal="center"/>
    </xf>
    <xf numFmtId="0" fontId="2" fillId="2" borderId="134" xfId="2" applyFont="1" applyFill="1" applyBorder="1" applyAlignment="1">
      <alignment horizontal="center" vertical="center"/>
    </xf>
    <xf numFmtId="0" fontId="2" fillId="2" borderId="135" xfId="2" applyFont="1" applyFill="1" applyBorder="1" applyAlignment="1">
      <alignment horizontal="center" vertical="center"/>
    </xf>
    <xf numFmtId="0" fontId="2" fillId="2" borderId="136" xfId="2" applyFont="1" applyFill="1" applyBorder="1" applyAlignment="1">
      <alignment horizontal="center" vertical="center"/>
    </xf>
    <xf numFmtId="173" fontId="50" fillId="0" borderId="120" xfId="0" applyNumberFormat="1" applyFont="1" applyBorder="1" applyAlignment="1">
      <alignment horizontal="right" vertical="center"/>
    </xf>
    <xf numFmtId="0" fontId="3" fillId="2" borderId="2"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1" xfId="2" applyFont="1" applyFill="1" applyBorder="1" applyAlignment="1">
      <alignment horizontal="center" vertical="center"/>
    </xf>
    <xf numFmtId="0" fontId="3" fillId="0" borderId="9" xfId="2" applyFont="1" applyBorder="1" applyAlignment="1">
      <alignment horizontal="center"/>
    </xf>
    <xf numFmtId="0" fontId="3" fillId="0" borderId="8" xfId="2" applyFont="1" applyBorder="1" applyAlignment="1">
      <alignment horizontal="center"/>
    </xf>
    <xf numFmtId="0" fontId="3" fillId="0" borderId="7" xfId="2" applyFont="1" applyBorder="1" applyAlignment="1">
      <alignment horizontal="center"/>
    </xf>
    <xf numFmtId="0" fontId="27" fillId="0" borderId="30" xfId="7" applyFont="1" applyBorder="1" applyAlignment="1">
      <alignment horizontal="center" vertical="center"/>
    </xf>
    <xf numFmtId="0" fontId="8" fillId="8" borderId="83" xfId="0" applyFont="1" applyFill="1" applyBorder="1" applyAlignment="1">
      <alignment horizontal="center" vertical="top" wrapText="1"/>
    </xf>
    <xf numFmtId="0" fontId="8" fillId="8" borderId="129" xfId="0" applyFont="1" applyFill="1" applyBorder="1" applyAlignment="1">
      <alignment horizontal="center" vertical="top" wrapText="1"/>
    </xf>
    <xf numFmtId="1" fontId="3" fillId="17" borderId="122" xfId="0" applyNumberFormat="1" applyFont="1" applyFill="1" applyBorder="1" applyAlignment="1" applyProtection="1">
      <alignment horizontal="center" vertical="center" wrapText="1"/>
      <protection locked="0"/>
    </xf>
    <xf numFmtId="1" fontId="3" fillId="17" borderId="123" xfId="0" applyNumberFormat="1" applyFont="1" applyFill="1" applyBorder="1" applyAlignment="1" applyProtection="1">
      <alignment horizontal="center" vertical="center" wrapText="1"/>
      <protection locked="0"/>
    </xf>
    <xf numFmtId="1" fontId="3" fillId="17" borderId="124" xfId="0" applyNumberFormat="1" applyFont="1" applyFill="1" applyBorder="1" applyAlignment="1" applyProtection="1">
      <alignment horizontal="center" vertical="center" wrapText="1"/>
      <protection locked="0"/>
    </xf>
    <xf numFmtId="1" fontId="3" fillId="17" borderId="127" xfId="0" applyNumberFormat="1" applyFont="1" applyFill="1" applyBorder="1" applyAlignment="1" applyProtection="1">
      <alignment horizontal="center" vertical="center" wrapText="1"/>
      <protection locked="0"/>
    </xf>
    <xf numFmtId="1" fontId="3" fillId="0" borderId="125" xfId="0" applyNumberFormat="1" applyFont="1" applyBorder="1" applyAlignment="1" applyProtection="1">
      <alignment horizontal="center" vertical="center" wrapText="1"/>
      <protection locked="0"/>
    </xf>
    <xf numFmtId="1" fontId="3" fillId="0" borderId="126" xfId="0" applyNumberFormat="1" applyFont="1" applyBorder="1" applyAlignment="1" applyProtection="1">
      <alignment horizontal="center" vertical="center" wrapText="1"/>
      <protection locked="0"/>
    </xf>
    <xf numFmtId="1" fontId="3" fillId="17" borderId="128" xfId="0" applyNumberFormat="1" applyFont="1" applyFill="1" applyBorder="1" applyAlignment="1" applyProtection="1">
      <alignment horizontal="center" vertical="center" wrapText="1"/>
      <protection locked="0"/>
    </xf>
    <xf numFmtId="1" fontId="3" fillId="17" borderId="125" xfId="0" applyNumberFormat="1" applyFont="1" applyFill="1" applyBorder="1" applyAlignment="1" applyProtection="1">
      <alignment horizontal="center" vertical="center" wrapText="1"/>
      <protection locked="0"/>
    </xf>
    <xf numFmtId="1" fontId="4" fillId="17" borderId="123" xfId="0" applyNumberFormat="1" applyFont="1" applyFill="1" applyBorder="1" applyAlignment="1" applyProtection="1">
      <alignment horizontal="left" vertical="center" wrapText="1"/>
      <protection locked="0"/>
    </xf>
    <xf numFmtId="1" fontId="4" fillId="17" borderId="126" xfId="0" applyNumberFormat="1" applyFont="1" applyFill="1" applyBorder="1" applyAlignment="1" applyProtection="1">
      <alignment horizontal="left" vertical="center" wrapText="1"/>
      <protection locked="0"/>
    </xf>
    <xf numFmtId="2" fontId="14" fillId="7" borderId="0" xfId="2" applyNumberFormat="1" applyFont="1" applyFill="1" applyAlignment="1">
      <alignment vertical="center"/>
    </xf>
    <xf numFmtId="0" fontId="7" fillId="7" borderId="0" xfId="2" applyFont="1" applyFill="1" applyBorder="1" applyAlignment="1">
      <alignment vertical="center"/>
    </xf>
    <xf numFmtId="4" fontId="9" fillId="0" borderId="0" xfId="2" applyNumberFormat="1" applyFont="1" applyBorder="1" applyAlignment="1">
      <alignment vertical="center"/>
    </xf>
  </cellXfs>
  <cellStyles count="11">
    <cellStyle name="Moeda 2" xfId="8" xr:uid="{00000000-0005-0000-0000-000000000000}"/>
    <cellStyle name="Normal" xfId="0" builtinId="0"/>
    <cellStyle name="Normal 10 2 4 6" xfId="10" xr:uid="{00000000-0005-0000-0000-000002000000}"/>
    <cellStyle name="Normal 2" xfId="2" xr:uid="{00000000-0005-0000-0000-000003000000}"/>
    <cellStyle name="Normal 3 3" xfId="7" xr:uid="{00000000-0005-0000-0000-000004000000}"/>
    <cellStyle name="Normal 5" xfId="3" xr:uid="{00000000-0005-0000-0000-000005000000}"/>
    <cellStyle name="Porcentagem" xfId="1" builtinId="5"/>
    <cellStyle name="Porcentagem 2" xfId="5" xr:uid="{00000000-0005-0000-0000-000007000000}"/>
    <cellStyle name="Porcentagem 3" xfId="6" xr:uid="{00000000-0005-0000-0000-000008000000}"/>
    <cellStyle name="Vírgula" xfId="9" builtinId="3"/>
    <cellStyle name="Vírgula 2" xfId="4"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vmlDrawing" Target="../drawings/vmlDrawing30.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vmlDrawing" Target="../drawings/vmlDrawing31.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3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33.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vmlDrawing" Target="../drawings/vmlDrawing3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vmlDrawing" Target="../drawings/vmlDrawing35.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6.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37.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38.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vmlDrawing" Target="../drawings/vmlDrawing39.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vmlDrawing" Target="../drawings/vmlDrawing40.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41.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vmlDrawing" Target="../drawings/vmlDrawing42.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vmlDrawing" Target="../drawings/vmlDrawing43.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vmlDrawing" Target="../drawings/vmlDrawing44.v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vmlDrawing" Target="../drawings/vmlDrawing45.v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vmlDrawing" Target="../drawings/vmlDrawing46.v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vmlDrawing" Target="../drawings/vmlDrawing47.v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vmlDrawing" Target="../drawings/vmlDrawing48.v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vmlDrawing" Target="../drawings/vmlDrawing49.v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vmlDrawing" Target="../drawings/vmlDrawing50.v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vmlDrawing" Target="../drawings/vmlDrawing51.v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vmlDrawing" Target="../drawings/vmlDrawing52.v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vmlDrawing" Target="../drawings/vmlDrawing53.v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vmlDrawing" Target="../drawings/vmlDrawing54.vml"/><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pageSetUpPr fitToPage="1"/>
  </sheetPr>
  <dimension ref="A1:H27"/>
  <sheetViews>
    <sheetView view="pageLayout" topLeftCell="B1" zoomScale="85" zoomScaleNormal="100" zoomScaleSheetLayoutView="100" zoomScalePageLayoutView="85" workbookViewId="0">
      <selection activeCell="K9" sqref="K9"/>
    </sheetView>
  </sheetViews>
  <sheetFormatPr defaultColWidth="9.140625" defaultRowHeight="15" x14ac:dyDescent="0.25"/>
  <cols>
    <col min="1" max="1" width="7.5703125" style="409" customWidth="1"/>
    <col min="2" max="2" width="63.140625" style="409" customWidth="1"/>
    <col min="3" max="3" width="17.28515625" style="409" customWidth="1"/>
    <col min="4" max="4" width="19.42578125" style="409" customWidth="1"/>
    <col min="5" max="6" width="19.28515625" style="409" customWidth="1"/>
    <col min="7" max="8" width="29.42578125" style="409" customWidth="1"/>
    <col min="9" max="11" width="9.140625" style="409"/>
    <col min="12" max="12" width="15.85546875" style="409" bestFit="1" customWidth="1"/>
    <col min="13" max="16384" width="9.140625" style="409"/>
  </cols>
  <sheetData>
    <row r="1" spans="1:8" ht="27.75" customHeight="1" x14ac:dyDescent="0.25">
      <c r="A1" s="595" t="s">
        <v>452</v>
      </c>
      <c r="B1" s="596"/>
      <c r="C1" s="596"/>
      <c r="D1" s="596"/>
      <c r="E1" s="596"/>
      <c r="F1" s="596"/>
      <c r="G1" s="596"/>
      <c r="H1" s="597"/>
    </row>
    <row r="2" spans="1:8" x14ac:dyDescent="0.25">
      <c r="A2" s="431"/>
      <c r="B2" s="431"/>
    </row>
    <row r="3" spans="1:8" ht="27.75" customHeight="1" x14ac:dyDescent="0.25">
      <c r="A3" s="598" t="s">
        <v>105</v>
      </c>
      <c r="B3" s="599"/>
      <c r="C3" s="599"/>
      <c r="D3" s="599"/>
      <c r="E3" s="599"/>
      <c r="F3" s="599"/>
      <c r="G3" s="599"/>
      <c r="H3" s="600"/>
    </row>
    <row r="4" spans="1:8" ht="15.75" x14ac:dyDescent="0.25">
      <c r="A4" s="430"/>
      <c r="B4" s="430"/>
      <c r="C4" s="430"/>
      <c r="D4" s="430"/>
      <c r="E4" s="429"/>
      <c r="F4" s="429"/>
      <c r="G4" s="429"/>
      <c r="H4" s="428"/>
    </row>
    <row r="5" spans="1:8" ht="27.75" customHeight="1" x14ac:dyDescent="0.25">
      <c r="A5" s="427" t="s">
        <v>54</v>
      </c>
      <c r="B5" s="427" t="s">
        <v>53</v>
      </c>
      <c r="C5" s="426" t="s">
        <v>118</v>
      </c>
      <c r="D5" s="425" t="s">
        <v>451</v>
      </c>
      <c r="E5" s="424" t="s">
        <v>453</v>
      </c>
      <c r="F5" s="424" t="s">
        <v>454</v>
      </c>
      <c r="G5" s="423" t="s">
        <v>450</v>
      </c>
      <c r="H5" s="423" t="s">
        <v>449</v>
      </c>
    </row>
    <row r="6" spans="1:8" ht="27.75" customHeight="1" x14ac:dyDescent="0.25">
      <c r="A6" s="422"/>
      <c r="B6" s="421" t="s">
        <v>448</v>
      </c>
      <c r="C6" s="420"/>
      <c r="D6" s="419"/>
      <c r="E6" s="414"/>
      <c r="F6" s="414"/>
      <c r="G6" s="418"/>
      <c r="H6" s="418"/>
    </row>
    <row r="7" spans="1:8" ht="31.5" customHeight="1" x14ac:dyDescent="0.25">
      <c r="A7" s="417">
        <v>1</v>
      </c>
      <c r="B7" s="416" t="s">
        <v>629</v>
      </c>
      <c r="C7" s="413" t="s">
        <v>103</v>
      </c>
      <c r="D7" s="415">
        <f>'1.1 COLETA RSU'!F32</f>
        <v>1311.7572</v>
      </c>
      <c r="E7" s="412"/>
      <c r="F7" s="412"/>
      <c r="G7" s="412"/>
      <c r="H7" s="568">
        <f>12*G7</f>
        <v>0</v>
      </c>
    </row>
    <row r="8" spans="1:8" ht="23.25" customHeight="1" x14ac:dyDescent="0.25">
      <c r="A8" s="417">
        <v>2</v>
      </c>
      <c r="B8" s="416" t="s">
        <v>624</v>
      </c>
      <c r="C8" s="413" t="s">
        <v>120</v>
      </c>
      <c r="D8" s="415">
        <f>'2.1 COLETA SELETIVA'!F22</f>
        <v>3</v>
      </c>
      <c r="E8" s="412"/>
      <c r="F8" s="412"/>
      <c r="G8" s="412"/>
      <c r="H8" s="568">
        <f t="shared" ref="H8:H18" si="0">12*G8</f>
        <v>0</v>
      </c>
    </row>
    <row r="9" spans="1:8" ht="36" customHeight="1" x14ac:dyDescent="0.25">
      <c r="A9" s="417">
        <v>3</v>
      </c>
      <c r="B9" s="416" t="s">
        <v>6661</v>
      </c>
      <c r="C9" s="413" t="s">
        <v>103</v>
      </c>
      <c r="D9" s="415">
        <f>'3.1 COLETA INERTES'!F31</f>
        <v>3455.6301369863008</v>
      </c>
      <c r="E9" s="412"/>
      <c r="F9" s="412"/>
      <c r="G9" s="412"/>
      <c r="H9" s="568">
        <f t="shared" si="0"/>
        <v>0</v>
      </c>
    </row>
    <row r="10" spans="1:8" ht="23.25" customHeight="1" x14ac:dyDescent="0.25">
      <c r="A10" s="417">
        <v>4</v>
      </c>
      <c r="B10" s="416" t="s">
        <v>447</v>
      </c>
      <c r="C10" s="413" t="s">
        <v>445</v>
      </c>
      <c r="D10" s="415">
        <f>'4.1  Varrição Manual'!F20</f>
        <v>6189.6183500000006</v>
      </c>
      <c r="E10" s="412"/>
      <c r="F10" s="412"/>
      <c r="G10" s="412"/>
      <c r="H10" s="568">
        <f t="shared" si="0"/>
        <v>0</v>
      </c>
    </row>
    <row r="11" spans="1:8" ht="23.25" customHeight="1" x14ac:dyDescent="0.25">
      <c r="A11" s="417">
        <v>5</v>
      </c>
      <c r="B11" s="416" t="s">
        <v>446</v>
      </c>
      <c r="C11" s="413" t="s">
        <v>445</v>
      </c>
      <c r="D11" s="415">
        <f>'5.1 VARR MECANIZADA'!F21</f>
        <v>1695.1999999999998</v>
      </c>
      <c r="E11" s="412"/>
      <c r="F11" s="412"/>
      <c r="G11" s="412"/>
      <c r="H11" s="568">
        <f t="shared" si="0"/>
        <v>0</v>
      </c>
    </row>
    <row r="12" spans="1:8" ht="23.25" customHeight="1" x14ac:dyDescent="0.25">
      <c r="A12" s="417">
        <v>6</v>
      </c>
      <c r="B12" s="416" t="s">
        <v>455</v>
      </c>
      <c r="C12" s="413" t="s">
        <v>459</v>
      </c>
      <c r="D12" s="415">
        <f>'6.1  Varrição PRACAS'!F20</f>
        <v>114688.4</v>
      </c>
      <c r="E12" s="412"/>
      <c r="F12" s="412"/>
      <c r="G12" s="412"/>
      <c r="H12" s="568">
        <f t="shared" si="0"/>
        <v>0</v>
      </c>
    </row>
    <row r="13" spans="1:8" ht="23.25" customHeight="1" x14ac:dyDescent="0.25">
      <c r="A13" s="417">
        <v>7</v>
      </c>
      <c r="B13" s="416" t="s">
        <v>456</v>
      </c>
      <c r="C13" s="413" t="s">
        <v>459</v>
      </c>
      <c r="D13" s="415">
        <f>'7.1 CAPINA'!F29</f>
        <v>118663.125</v>
      </c>
      <c r="E13" s="412"/>
      <c r="F13" s="412"/>
      <c r="G13" s="412"/>
      <c r="H13" s="568">
        <f t="shared" si="0"/>
        <v>0</v>
      </c>
    </row>
    <row r="14" spans="1:8" ht="23.25" customHeight="1" x14ac:dyDescent="0.25">
      <c r="A14" s="417">
        <v>8</v>
      </c>
      <c r="B14" s="416" t="s">
        <v>632</v>
      </c>
      <c r="C14" s="413" t="s">
        <v>459</v>
      </c>
      <c r="D14" s="415">
        <f>'8.1 CAPINA ELETRICA'!F16</f>
        <v>2000</v>
      </c>
      <c r="E14" s="412"/>
      <c r="F14" s="412"/>
      <c r="G14" s="412"/>
      <c r="H14" s="568">
        <f t="shared" ref="H14" si="1">12*G14</f>
        <v>0</v>
      </c>
    </row>
    <row r="15" spans="1:8" ht="23.25" customHeight="1" x14ac:dyDescent="0.25">
      <c r="A15" s="417">
        <v>9</v>
      </c>
      <c r="B15" s="416" t="s">
        <v>457</v>
      </c>
      <c r="C15" s="413" t="s">
        <v>459</v>
      </c>
      <c r="D15" s="415">
        <f>'9.1 ROÇADA'!F29</f>
        <v>656290.125</v>
      </c>
      <c r="E15" s="412"/>
      <c r="F15" s="412"/>
      <c r="G15" s="412"/>
      <c r="H15" s="568">
        <f t="shared" si="0"/>
        <v>0</v>
      </c>
    </row>
    <row r="16" spans="1:8" ht="23.25" customHeight="1" x14ac:dyDescent="0.25">
      <c r="A16" s="417">
        <v>10</v>
      </c>
      <c r="B16" s="416" t="s">
        <v>6663</v>
      </c>
      <c r="C16" s="413" t="s">
        <v>120</v>
      </c>
      <c r="D16" s="415">
        <f>'10.1 PODA'!F29</f>
        <v>1</v>
      </c>
      <c r="E16" s="412"/>
      <c r="F16" s="412"/>
      <c r="G16" s="412"/>
      <c r="H16" s="568">
        <f t="shared" ref="H16" si="2">12*G16</f>
        <v>0</v>
      </c>
    </row>
    <row r="17" spans="1:8" ht="23.25" customHeight="1" x14ac:dyDescent="0.25">
      <c r="A17" s="417">
        <v>11</v>
      </c>
      <c r="B17" s="416" t="s">
        <v>458</v>
      </c>
      <c r="C17" s="413" t="s">
        <v>6668</v>
      </c>
      <c r="D17" s="415">
        <f>'11 PINTURA MEIOFIO'!F24</f>
        <v>135615</v>
      </c>
      <c r="E17" s="412"/>
      <c r="F17" s="412"/>
      <c r="G17" s="412"/>
      <c r="H17" s="568">
        <f t="shared" si="0"/>
        <v>0</v>
      </c>
    </row>
    <row r="18" spans="1:8" ht="23.25" customHeight="1" x14ac:dyDescent="0.25">
      <c r="A18" s="417">
        <v>12</v>
      </c>
      <c r="B18" s="416" t="s">
        <v>444</v>
      </c>
      <c r="C18" s="413" t="s">
        <v>443</v>
      </c>
      <c r="D18" s="415">
        <f>'12 ADM LOCAL'!F30</f>
        <v>1</v>
      </c>
      <c r="E18" s="412"/>
      <c r="F18" s="412"/>
      <c r="G18" s="412"/>
      <c r="H18" s="568">
        <f t="shared" si="0"/>
        <v>0</v>
      </c>
    </row>
    <row r="19" spans="1:8" ht="27.75" customHeight="1" x14ac:dyDescent="0.25">
      <c r="A19" s="592" t="s">
        <v>442</v>
      </c>
      <c r="B19" s="593"/>
      <c r="C19" s="593"/>
      <c r="D19" s="593"/>
      <c r="E19" s="594"/>
      <c r="F19" s="411"/>
      <c r="G19" s="410">
        <f>SUM(G7:G18)</f>
        <v>0</v>
      </c>
      <c r="H19" s="410">
        <f>SUM(H7:H18)</f>
        <v>0</v>
      </c>
    </row>
    <row r="21" spans="1:8" x14ac:dyDescent="0.25">
      <c r="B21" s="601" t="s">
        <v>6690</v>
      </c>
      <c r="C21" s="601"/>
      <c r="D21" s="601"/>
      <c r="E21" s="601"/>
      <c r="F21" s="601"/>
      <c r="G21" s="601"/>
      <c r="H21" s="601"/>
    </row>
    <row r="22" spans="1:8" x14ac:dyDescent="0.25">
      <c r="B22" s="601"/>
      <c r="C22" s="601"/>
      <c r="D22" s="601"/>
      <c r="E22" s="601"/>
      <c r="F22" s="601"/>
      <c r="G22" s="601"/>
      <c r="H22" s="601"/>
    </row>
    <row r="23" spans="1:8" x14ac:dyDescent="0.25">
      <c r="B23" s="601"/>
      <c r="C23" s="601"/>
      <c r="D23" s="601"/>
      <c r="E23" s="601"/>
      <c r="F23" s="601"/>
      <c r="G23" s="601"/>
      <c r="H23" s="601"/>
    </row>
    <row r="24" spans="1:8" x14ac:dyDescent="0.25">
      <c r="B24" s="601"/>
      <c r="C24" s="601"/>
      <c r="D24" s="601"/>
      <c r="E24" s="601"/>
      <c r="F24" s="601"/>
      <c r="G24" s="601"/>
      <c r="H24" s="601"/>
    </row>
    <row r="25" spans="1:8" ht="31.5" customHeight="1" x14ac:dyDescent="0.25">
      <c r="B25" s="591" t="s">
        <v>6691</v>
      </c>
      <c r="C25" s="591"/>
      <c r="D25" s="591"/>
      <c r="E25" s="591"/>
      <c r="F25" s="591"/>
      <c r="G25" s="591"/>
      <c r="H25" s="591"/>
    </row>
    <row r="26" spans="1:8" ht="31.5" customHeight="1" x14ac:dyDescent="0.25">
      <c r="B26" s="591" t="s">
        <v>6692</v>
      </c>
      <c r="C26" s="591"/>
      <c r="D26" s="591"/>
      <c r="E26" s="591"/>
      <c r="F26" s="591"/>
      <c r="G26" s="591"/>
      <c r="H26" s="591"/>
    </row>
    <row r="27" spans="1:8" ht="31.5" customHeight="1" x14ac:dyDescent="0.25">
      <c r="B27" s="591" t="s">
        <v>6693</v>
      </c>
      <c r="C27" s="591"/>
      <c r="D27" s="591"/>
      <c r="E27" s="591"/>
      <c r="F27" s="591"/>
      <c r="G27" s="591"/>
      <c r="H27" s="591"/>
    </row>
  </sheetData>
  <mergeCells count="7">
    <mergeCell ref="B26:H26"/>
    <mergeCell ref="B27:H27"/>
    <mergeCell ref="A19:E19"/>
    <mergeCell ref="A1:H1"/>
    <mergeCell ref="A3:H3"/>
    <mergeCell ref="B21:H24"/>
    <mergeCell ref="B25:H25"/>
  </mergeCells>
  <phoneticPr fontId="10" type="noConversion"/>
  <pageMargins left="1" right="1" top="1" bottom="1" header="0.5" footer="0.5"/>
  <pageSetup paperSize="9" scale="39" fitToHeight="0"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pageSetUpPr fitToPage="1"/>
  </sheetPr>
  <dimension ref="B2:G62"/>
  <sheetViews>
    <sheetView view="pageLayout" topLeftCell="A53" zoomScaleNormal="100" zoomScaleSheetLayoutView="85" workbookViewId="0">
      <selection activeCell="G51" sqref="G51"/>
    </sheetView>
  </sheetViews>
  <sheetFormatPr defaultColWidth="9.140625" defaultRowHeight="15" x14ac:dyDescent="0.25"/>
  <cols>
    <col min="1" max="1" width="7.5703125" style="409" customWidth="1"/>
    <col min="2" max="2" width="10.42578125" style="529" customWidth="1"/>
    <col min="3" max="3" width="29.28515625" style="529" customWidth="1"/>
    <col min="4" max="4" width="54.140625" style="409" customWidth="1"/>
    <col min="5" max="5" width="9" style="528" customWidth="1"/>
    <col min="6" max="6" width="32.28515625" style="409" customWidth="1"/>
    <col min="7" max="7" width="9" style="528" customWidth="1"/>
    <col min="8" max="8" width="29.42578125" style="409" customWidth="1"/>
    <col min="9" max="16384" width="9.140625" style="409"/>
  </cols>
  <sheetData>
    <row r="2" spans="2:7" x14ac:dyDescent="0.25">
      <c r="B2" s="610" t="s">
        <v>462</v>
      </c>
      <c r="C2" s="610"/>
      <c r="D2" s="611" t="s">
        <v>99</v>
      </c>
      <c r="E2" s="611"/>
      <c r="F2" s="611" t="s">
        <v>462</v>
      </c>
      <c r="G2" s="611"/>
    </row>
    <row r="3" spans="2:7" x14ac:dyDescent="0.25">
      <c r="B3" s="526" t="s">
        <v>248</v>
      </c>
      <c r="C3" s="526" t="s">
        <v>463</v>
      </c>
      <c r="D3" s="435" t="s">
        <v>464</v>
      </c>
      <c r="E3" s="525" t="s">
        <v>465</v>
      </c>
      <c r="F3" s="435" t="s">
        <v>277</v>
      </c>
      <c r="G3" s="525" t="s">
        <v>465</v>
      </c>
    </row>
    <row r="4" spans="2:7" x14ac:dyDescent="0.25">
      <c r="B4" s="602">
        <v>1</v>
      </c>
      <c r="C4" s="602" t="s">
        <v>466</v>
      </c>
      <c r="D4" s="435" t="s">
        <v>6686</v>
      </c>
      <c r="E4" s="530">
        <f>'1.1 COLETA RSU'!D8</f>
        <v>4</v>
      </c>
      <c r="F4" s="527" t="str">
        <f>'1.1 COLETA RSU'!B16</f>
        <v>Coletor Matutino</v>
      </c>
      <c r="G4" s="530">
        <f>'1.1 COLETA RSU'!D16</f>
        <v>15</v>
      </c>
    </row>
    <row r="5" spans="2:7" x14ac:dyDescent="0.25">
      <c r="B5" s="602"/>
      <c r="C5" s="602"/>
      <c r="D5" s="435" t="s">
        <v>6687</v>
      </c>
      <c r="E5" s="530">
        <f>'1.1 COLETA RSU'!D9</f>
        <v>2</v>
      </c>
      <c r="F5" s="527" t="str">
        <f>'1.1 COLETA RSU'!B17</f>
        <v>Coletor Vespertino</v>
      </c>
      <c r="G5" s="530">
        <f>'1.1 COLETA RSU'!D17</f>
        <v>6</v>
      </c>
    </row>
    <row r="6" spans="2:7" x14ac:dyDescent="0.25">
      <c r="B6" s="602"/>
      <c r="C6" s="602"/>
      <c r="D6" s="435" t="s">
        <v>98</v>
      </c>
      <c r="E6" s="530">
        <f>'1.1 COLETA RSU'!D10</f>
        <v>1</v>
      </c>
      <c r="F6" s="527" t="str">
        <f>'1.1 COLETA RSU'!B18</f>
        <v>Motorista Compactador Matutino</v>
      </c>
      <c r="G6" s="530">
        <f>'1.1 COLETA RSU'!D18</f>
        <v>5</v>
      </c>
    </row>
    <row r="7" spans="2:7" x14ac:dyDescent="0.25">
      <c r="B7" s="602"/>
      <c r="C7" s="602"/>
      <c r="D7" s="435" t="s">
        <v>245</v>
      </c>
      <c r="E7" s="530">
        <f>'1.1 COLETA RSU'!D11</f>
        <v>1</v>
      </c>
      <c r="F7" s="527" t="str">
        <f>'1.1 COLETA RSU'!B19</f>
        <v>Motorista Compactador Vespertino</v>
      </c>
      <c r="G7" s="530">
        <f>'1.1 COLETA RSU'!D19</f>
        <v>2</v>
      </c>
    </row>
    <row r="8" spans="2:7" x14ac:dyDescent="0.25">
      <c r="B8" s="602"/>
      <c r="C8" s="602"/>
      <c r="D8" s="435" t="s">
        <v>246</v>
      </c>
      <c r="E8" s="530">
        <v>0</v>
      </c>
      <c r="F8" s="527" t="str">
        <f>'1.1 COLETA RSU'!B20</f>
        <v>Motorista Veíc Leve Diurno</v>
      </c>
      <c r="G8" s="530">
        <f>'1.1 COLETA RSU'!D20</f>
        <v>1</v>
      </c>
    </row>
    <row r="9" spans="2:7" x14ac:dyDescent="0.25">
      <c r="B9" s="602"/>
      <c r="C9" s="602"/>
      <c r="D9" s="435" t="s">
        <v>249</v>
      </c>
      <c r="E9" s="530">
        <f>'1.1 COLETA RSU'!D12</f>
        <v>1</v>
      </c>
      <c r="F9" s="527" t="str">
        <f>'1.1 COLETA RSU'!B21</f>
        <v>Encarregado Diurno</v>
      </c>
      <c r="G9" s="530">
        <f>'1.1 COLETA RSU'!D21</f>
        <v>1</v>
      </c>
    </row>
    <row r="10" spans="2:7" x14ac:dyDescent="0.25">
      <c r="B10" s="602"/>
      <c r="C10" s="602"/>
      <c r="D10" s="435" t="s">
        <v>467</v>
      </c>
      <c r="E10" s="530">
        <f>'1.1 COLETA RSU'!D13</f>
        <v>50</v>
      </c>
      <c r="F10" s="527" t="s">
        <v>392</v>
      </c>
      <c r="G10" s="530">
        <f>'1.1 COLETA RSU'!D22</f>
        <v>0</v>
      </c>
    </row>
    <row r="11" spans="2:7" x14ac:dyDescent="0.25">
      <c r="B11" s="603"/>
      <c r="C11" s="603"/>
      <c r="D11" s="603"/>
      <c r="E11" s="603"/>
      <c r="F11" s="603"/>
      <c r="G11" s="603"/>
    </row>
    <row r="12" spans="2:7" x14ac:dyDescent="0.25">
      <c r="B12" s="602">
        <v>2</v>
      </c>
      <c r="C12" s="602" t="s">
        <v>425</v>
      </c>
      <c r="D12" s="435" t="s">
        <v>244</v>
      </c>
      <c r="E12" s="530">
        <f>'2.1 COLETA SELETIVA'!D8</f>
        <v>3</v>
      </c>
      <c r="F12" s="527" t="s">
        <v>388</v>
      </c>
      <c r="G12" s="530">
        <f>'2.1 COLETA SELETIVA'!D12</f>
        <v>10</v>
      </c>
    </row>
    <row r="13" spans="2:7" x14ac:dyDescent="0.25">
      <c r="B13" s="602"/>
      <c r="C13" s="602"/>
      <c r="D13" s="435" t="s">
        <v>98</v>
      </c>
      <c r="E13" s="530">
        <f>'2.1 COLETA SELETIVA'!D9</f>
        <v>1</v>
      </c>
      <c r="F13" s="527" t="s">
        <v>389</v>
      </c>
      <c r="G13" s="530">
        <f>'2.1 COLETA SELETIVA'!D13</f>
        <v>4</v>
      </c>
    </row>
    <row r="14" spans="2:7" x14ac:dyDescent="0.25">
      <c r="B14" s="603"/>
      <c r="C14" s="603"/>
      <c r="D14" s="603"/>
      <c r="E14" s="603"/>
      <c r="F14" s="603"/>
      <c r="G14" s="603"/>
    </row>
    <row r="15" spans="2:7" x14ac:dyDescent="0.25">
      <c r="B15" s="602">
        <v>3</v>
      </c>
      <c r="C15" s="602" t="s">
        <v>423</v>
      </c>
      <c r="D15" s="435" t="str">
        <f>'3.1 COLETA INERTES'!B8</f>
        <v>Caminhão caçamba basculante de 10 m³</v>
      </c>
      <c r="E15" s="530">
        <f>'3.1 COLETA INERTES'!D8</f>
        <v>6</v>
      </c>
      <c r="F15" s="527" t="str">
        <f>'3.1 COLETA INERTES'!B15</f>
        <v xml:space="preserve">Fiscal diurno </v>
      </c>
      <c r="G15" s="530">
        <f>'3.1 COLETA INERTES'!D15</f>
        <v>2</v>
      </c>
    </row>
    <row r="16" spans="2:7" x14ac:dyDescent="0.25">
      <c r="B16" s="602"/>
      <c r="C16" s="602"/>
      <c r="D16" s="435" t="str">
        <f>'3.1 COLETA INERTES'!B9</f>
        <v>Caminhão Carroceria</v>
      </c>
      <c r="E16" s="530">
        <f>'3.1 COLETA INERTES'!D9</f>
        <v>2</v>
      </c>
      <c r="F16" s="527" t="str">
        <f>'3.1 COLETA INERTES'!B16</f>
        <v xml:space="preserve">Operador de Pá Carregadeira diurno </v>
      </c>
      <c r="G16" s="530">
        <f>'3.1 COLETA INERTES'!D16</f>
        <v>1</v>
      </c>
    </row>
    <row r="17" spans="2:7" x14ac:dyDescent="0.25">
      <c r="B17" s="602"/>
      <c r="C17" s="602"/>
      <c r="D17" s="435" t="str">
        <f>'3.1 COLETA INERTES'!B10</f>
        <v>Pá carregadeira</v>
      </c>
      <c r="E17" s="530">
        <f>'3.1 COLETA INERTES'!D10</f>
        <v>1</v>
      </c>
      <c r="F17" s="527" t="str">
        <f>'3.1 COLETA INERTES'!B17</f>
        <v>Motorista de Caminhao diurno</v>
      </c>
      <c r="G17" s="530">
        <f>'3.1 COLETA INERTES'!D17</f>
        <v>8</v>
      </c>
    </row>
    <row r="18" spans="2:7" x14ac:dyDescent="0.25">
      <c r="B18" s="602"/>
      <c r="C18" s="602"/>
      <c r="D18" s="435" t="str">
        <f>'3.1 COLETA INERTES'!B11</f>
        <v>Retroescavadeira</v>
      </c>
      <c r="E18" s="530">
        <f>'3.1 COLETA INERTES'!D11</f>
        <v>1</v>
      </c>
      <c r="F18" s="527" t="str">
        <f>'3.1 COLETA INERTES'!B18</f>
        <v>Operador de Retroescavadeira</v>
      </c>
      <c r="G18" s="530">
        <f>'3.1 COLETA INERTES'!D18</f>
        <v>1</v>
      </c>
    </row>
    <row r="19" spans="2:7" x14ac:dyDescent="0.25">
      <c r="B19" s="602"/>
      <c r="C19" s="602"/>
      <c r="D19" s="435" t="str">
        <f>'3.1 COLETA INERTES'!B12</f>
        <v>Minicarregadeira</v>
      </c>
      <c r="E19" s="530">
        <f>'3.1 COLETA INERTES'!D12</f>
        <v>1</v>
      </c>
      <c r="F19" s="527" t="str">
        <f>'3.1 COLETA INERTES'!B19</f>
        <v>Operador de Minicarregadeira</v>
      </c>
      <c r="G19" s="530">
        <f>'3.1 COLETA INERTES'!D19</f>
        <v>1</v>
      </c>
    </row>
    <row r="20" spans="2:7" x14ac:dyDescent="0.25">
      <c r="B20" s="602"/>
      <c r="C20" s="602"/>
      <c r="D20" s="435"/>
      <c r="E20" s="530"/>
      <c r="F20" s="527" t="str">
        <f>'3.1 COLETA INERTES'!B20</f>
        <v xml:space="preserve">Ajudante de Operação diurno </v>
      </c>
      <c r="G20" s="530">
        <f>'3.1 COLETA INERTES'!D20</f>
        <v>16</v>
      </c>
    </row>
    <row r="21" spans="2:7" x14ac:dyDescent="0.25">
      <c r="B21" s="603"/>
      <c r="C21" s="603"/>
      <c r="D21" s="603"/>
      <c r="E21" s="603"/>
      <c r="F21" s="603"/>
      <c r="G21" s="603"/>
    </row>
    <row r="22" spans="2:7" x14ac:dyDescent="0.25">
      <c r="B22" s="612">
        <v>4</v>
      </c>
      <c r="C22" s="612" t="s">
        <v>469</v>
      </c>
      <c r="D22" s="435" t="str">
        <f>'4.1  Varrição Manual'!B6</f>
        <v>Veículo de transporte - Van</v>
      </c>
      <c r="E22" s="530">
        <f>'4.1  Varrição Manual'!D6</f>
        <v>2</v>
      </c>
      <c r="F22" s="527" t="str">
        <f>'4.1  Varrição Manual'!B9</f>
        <v>Fiscal Diurno</v>
      </c>
      <c r="G22" s="530">
        <f>'4.1  Varrição Manual'!D9</f>
        <v>3</v>
      </c>
    </row>
    <row r="23" spans="2:7" x14ac:dyDescent="0.25">
      <c r="B23" s="608"/>
      <c r="C23" s="608"/>
      <c r="D23" s="435"/>
      <c r="E23" s="530"/>
      <c r="F23" s="527" t="str">
        <f>'4.1  Varrição Manual'!B10</f>
        <v>Motorista diurno</v>
      </c>
      <c r="G23" s="530">
        <f>'4.1  Varrição Manual'!D10</f>
        <v>2</v>
      </c>
    </row>
    <row r="24" spans="2:7" x14ac:dyDescent="0.25">
      <c r="B24" s="609"/>
      <c r="C24" s="609"/>
      <c r="D24" s="435"/>
      <c r="E24" s="530"/>
      <c r="F24" s="527" t="str">
        <f>'4.1  Varrição Manual'!B11</f>
        <v>Varredor Diurno</v>
      </c>
      <c r="G24" s="530">
        <f>'4.1  Varrição Manual'!D11</f>
        <v>62</v>
      </c>
    </row>
    <row r="25" spans="2:7" x14ac:dyDescent="0.25">
      <c r="B25" s="603"/>
      <c r="C25" s="603"/>
      <c r="D25" s="603"/>
      <c r="E25" s="603"/>
      <c r="F25" s="603"/>
      <c r="G25" s="603"/>
    </row>
    <row r="26" spans="2:7" x14ac:dyDescent="0.25">
      <c r="B26" s="612">
        <v>5</v>
      </c>
      <c r="C26" s="612" t="s">
        <v>424</v>
      </c>
      <c r="D26" s="435" t="str">
        <f>'5.1 VARR MECANIZADA'!B6</f>
        <v>Varredeira mecânica autopropelida</v>
      </c>
      <c r="E26" s="530">
        <f>'5.1 VARR MECANIZADA'!D6</f>
        <v>1</v>
      </c>
      <c r="F26" s="435" t="str">
        <f>'5.1 VARR MECANIZADA'!B10</f>
        <v>Motorista Noturno</v>
      </c>
      <c r="G26" s="530">
        <f>'5.1 VARR MECANIZADA'!D10</f>
        <v>1</v>
      </c>
    </row>
    <row r="27" spans="2:7" x14ac:dyDescent="0.25">
      <c r="B27" s="608"/>
      <c r="C27" s="608"/>
      <c r="D27" s="435"/>
      <c r="E27" s="525"/>
      <c r="F27" s="435" t="str">
        <f>'5.1 VARR MECANIZADA'!B11</f>
        <v>Ajudante de Operação Noturno</v>
      </c>
      <c r="G27" s="530">
        <f>'5.1 VARR MECANIZADA'!D11</f>
        <v>1</v>
      </c>
    </row>
    <row r="28" spans="2:7" x14ac:dyDescent="0.25">
      <c r="B28" s="603"/>
      <c r="C28" s="603"/>
      <c r="D28" s="603"/>
      <c r="E28" s="603"/>
      <c r="F28" s="603"/>
      <c r="G28" s="603"/>
    </row>
    <row r="29" spans="2:7" x14ac:dyDescent="0.25">
      <c r="B29" s="612">
        <v>6</v>
      </c>
      <c r="C29" s="612" t="s">
        <v>470</v>
      </c>
      <c r="D29" s="435" t="str">
        <f>'6.1  Varrição PRACAS'!B6</f>
        <v>Veículo de transporte - Van</v>
      </c>
      <c r="E29" s="530">
        <f>'6.1  Varrição PRACAS'!D6</f>
        <v>1</v>
      </c>
      <c r="F29" s="527" t="str">
        <f>'6.1  Varrição PRACAS'!B9</f>
        <v>Fiscal Diurno</v>
      </c>
      <c r="G29" s="530">
        <f>'6.1  Varrição PRACAS'!D9</f>
        <v>1</v>
      </c>
    </row>
    <row r="30" spans="2:7" x14ac:dyDescent="0.25">
      <c r="B30" s="608"/>
      <c r="C30" s="608"/>
      <c r="D30" s="435"/>
      <c r="E30" s="530"/>
      <c r="F30" s="527" t="str">
        <f>'6.1  Varrição PRACAS'!B10</f>
        <v>Motorista diurno</v>
      </c>
      <c r="G30" s="530">
        <f>'6.1  Varrição PRACAS'!D10</f>
        <v>1</v>
      </c>
    </row>
    <row r="31" spans="2:7" x14ac:dyDescent="0.25">
      <c r="B31" s="609"/>
      <c r="C31" s="609"/>
      <c r="D31" s="435"/>
      <c r="E31" s="530"/>
      <c r="F31" s="527" t="str">
        <f>'6.1  Varrição PRACAS'!B11</f>
        <v>Varredor Diurno</v>
      </c>
      <c r="G31" s="530">
        <f>'6.1  Varrição PRACAS'!D11</f>
        <v>20</v>
      </c>
    </row>
    <row r="32" spans="2:7" x14ac:dyDescent="0.25">
      <c r="B32" s="603"/>
      <c r="C32" s="603"/>
      <c r="D32" s="603"/>
      <c r="E32" s="603"/>
      <c r="F32" s="603"/>
      <c r="G32" s="603"/>
    </row>
    <row r="33" spans="2:7" x14ac:dyDescent="0.25">
      <c r="B33" s="602">
        <v>7</v>
      </c>
      <c r="C33" s="602" t="s">
        <v>473</v>
      </c>
      <c r="D33" s="435" t="str">
        <f>'7.1 CAPINA'!B8</f>
        <v>Veículo de transporte - Van</v>
      </c>
      <c r="E33" s="530">
        <f>'7.1 CAPINA'!D8</f>
        <v>2</v>
      </c>
      <c r="F33" s="527" t="str">
        <f>'7.1 CAPINA'!B12</f>
        <v xml:space="preserve">Fiscal diurno </v>
      </c>
      <c r="G33" s="530">
        <f>'7.1 CAPINA'!D12</f>
        <v>3</v>
      </c>
    </row>
    <row r="34" spans="2:7" x14ac:dyDescent="0.25">
      <c r="B34" s="602"/>
      <c r="C34" s="602"/>
      <c r="D34" s="435" t="str">
        <f>'7.1 CAPINA'!B9</f>
        <v>Caminhão Carroceria com Cabine Suplementar</v>
      </c>
      <c r="E34" s="530">
        <f>'7.1 CAPINA'!D9</f>
        <v>2</v>
      </c>
      <c r="F34" s="527" t="str">
        <f>'7.1 CAPINA'!B13</f>
        <v>Capinador</v>
      </c>
      <c r="G34" s="530">
        <f>'7.1 CAPINA'!D13</f>
        <v>32</v>
      </c>
    </row>
    <row r="35" spans="2:7" x14ac:dyDescent="0.25">
      <c r="B35" s="602"/>
      <c r="C35" s="602"/>
      <c r="D35" s="435"/>
      <c r="E35" s="530"/>
      <c r="F35" s="527" t="str">
        <f>'7.1 CAPINA'!B14</f>
        <v>Motorista de Caminhao diurno</v>
      </c>
      <c r="G35" s="530">
        <f>'7.1 CAPINA'!D14</f>
        <v>2</v>
      </c>
    </row>
    <row r="36" spans="2:7" x14ac:dyDescent="0.25">
      <c r="B36" s="602"/>
      <c r="C36" s="602"/>
      <c r="D36" s="435"/>
      <c r="E36" s="530"/>
      <c r="F36" s="527" t="str">
        <f>'7.1 CAPINA'!B15</f>
        <v>Motorista diurno</v>
      </c>
      <c r="G36" s="530">
        <f>'7.1 CAPINA'!D15</f>
        <v>2</v>
      </c>
    </row>
    <row r="37" spans="2:7" x14ac:dyDescent="0.25">
      <c r="B37" s="602"/>
      <c r="C37" s="602"/>
      <c r="D37" s="435"/>
      <c r="E37" s="530"/>
      <c r="F37" s="527" t="str">
        <f>'7.1 CAPINA'!B16</f>
        <v xml:space="preserve">Ajudante de Operação diurno </v>
      </c>
      <c r="G37" s="530">
        <f>'7.1 CAPINA'!D16</f>
        <v>4</v>
      </c>
    </row>
    <row r="38" spans="2:7" x14ac:dyDescent="0.25">
      <c r="B38" s="604"/>
      <c r="C38" s="605"/>
      <c r="D38" s="605"/>
      <c r="E38" s="605"/>
      <c r="F38" s="605"/>
      <c r="G38" s="606"/>
    </row>
    <row r="39" spans="2:7" x14ac:dyDescent="0.25">
      <c r="B39" s="602">
        <v>8</v>
      </c>
      <c r="C39" s="602" t="s">
        <v>6659</v>
      </c>
      <c r="D39" s="579" t="s">
        <v>6696</v>
      </c>
      <c r="E39" s="530">
        <v>1</v>
      </c>
      <c r="F39" s="527" t="str">
        <f>'8.1 CAPINA ELETRICA'!B11</f>
        <v>Motorista Diurno</v>
      </c>
      <c r="G39" s="530">
        <f>'8.1 CAPINA ELETRICA'!D11</f>
        <v>1</v>
      </c>
    </row>
    <row r="40" spans="2:7" x14ac:dyDescent="0.25">
      <c r="B40" s="602"/>
      <c r="C40" s="602"/>
      <c r="D40" s="435"/>
      <c r="E40" s="530"/>
      <c r="F40" s="527" t="str">
        <f>'8.1 CAPINA ELETRICA'!B12</f>
        <v>Ajudante de Operação Diurno</v>
      </c>
      <c r="G40" s="530">
        <f>'8.1 CAPINA ELETRICA'!D12</f>
        <v>1</v>
      </c>
    </row>
    <row r="41" spans="2:7" x14ac:dyDescent="0.25">
      <c r="B41" s="602"/>
      <c r="C41" s="602"/>
      <c r="D41" s="435"/>
      <c r="E41" s="530"/>
      <c r="F41" s="527"/>
      <c r="G41" s="530"/>
    </row>
    <row r="42" spans="2:7" x14ac:dyDescent="0.25">
      <c r="B42" s="604"/>
      <c r="C42" s="605"/>
      <c r="D42" s="605"/>
      <c r="E42" s="605"/>
      <c r="F42" s="605"/>
      <c r="G42" s="606"/>
    </row>
    <row r="43" spans="2:7" x14ac:dyDescent="0.25">
      <c r="B43" s="602">
        <v>9</v>
      </c>
      <c r="C43" s="602" t="s">
        <v>474</v>
      </c>
      <c r="D43" s="435" t="str">
        <f>'9.1 ROÇADA'!B8</f>
        <v>Caminhão Basculante de 6 m³</v>
      </c>
      <c r="E43" s="530">
        <f>'9.1 ROÇADA'!D8</f>
        <v>2</v>
      </c>
      <c r="F43" s="527" t="str">
        <f>'9.1 ROÇADA'!B12</f>
        <v xml:space="preserve">Fiscal diurno </v>
      </c>
      <c r="G43" s="530">
        <f>'9.1 ROÇADA'!D12</f>
        <v>3</v>
      </c>
    </row>
    <row r="44" spans="2:7" x14ac:dyDescent="0.25">
      <c r="B44" s="602"/>
      <c r="C44" s="602"/>
      <c r="D44" s="435" t="str">
        <f>'9.1 ROÇADA'!B9</f>
        <v>Caminhão Carroceria com Cabine Suplementar</v>
      </c>
      <c r="E44" s="530">
        <f>'9.1 ROÇADA'!D9</f>
        <v>3</v>
      </c>
      <c r="F44" s="527" t="str">
        <f>'9.1 ROÇADA'!B13</f>
        <v>Roçador</v>
      </c>
      <c r="G44" s="530">
        <f>'9.1 ROÇADA'!D13</f>
        <v>33</v>
      </c>
    </row>
    <row r="45" spans="2:7" x14ac:dyDescent="0.25">
      <c r="B45" s="602"/>
      <c r="C45" s="602"/>
      <c r="D45" s="435"/>
      <c r="E45" s="530"/>
      <c r="F45" s="527" t="str">
        <f>'9.1 ROÇADA'!B14</f>
        <v>Motorista de Caminhao diurno</v>
      </c>
      <c r="G45" s="530">
        <f>'9.1 ROÇADA'!D14</f>
        <v>5</v>
      </c>
    </row>
    <row r="46" spans="2:7" x14ac:dyDescent="0.25">
      <c r="B46" s="602"/>
      <c r="C46" s="602"/>
      <c r="D46" s="435"/>
      <c r="E46" s="530"/>
      <c r="F46" s="527" t="str">
        <f>'9.1 ROÇADA'!B15</f>
        <v xml:space="preserve">Ajudante de Operação diurno </v>
      </c>
      <c r="G46" s="530">
        <f>'9.1 ROÇADA'!D15</f>
        <v>66</v>
      </c>
    </row>
    <row r="47" spans="2:7" x14ac:dyDescent="0.25">
      <c r="B47" s="603"/>
      <c r="C47" s="603"/>
      <c r="D47" s="603"/>
      <c r="E47" s="603"/>
      <c r="F47" s="603"/>
      <c r="G47" s="603"/>
    </row>
    <row r="48" spans="2:7" x14ac:dyDescent="0.25">
      <c r="B48" s="607">
        <v>10</v>
      </c>
      <c r="C48" s="607" t="s">
        <v>6662</v>
      </c>
      <c r="D48" s="435" t="str">
        <f>'10.1 PODA'!B8</f>
        <v>Triturador de Residuos</v>
      </c>
      <c r="E48" s="530">
        <f>'10.1 PODA'!D8</f>
        <v>1</v>
      </c>
      <c r="F48" s="527" t="str">
        <f>'10.1 PODA'!B14</f>
        <v xml:space="preserve">Fiscal diurno </v>
      </c>
      <c r="G48" s="530">
        <f>'10.1 PODA'!D14</f>
        <v>1</v>
      </c>
    </row>
    <row r="49" spans="2:7" x14ac:dyDescent="0.25">
      <c r="B49" s="608"/>
      <c r="C49" s="608"/>
      <c r="D49" s="435" t="str">
        <f>'10.1 PODA'!B9</f>
        <v>Caminhão Carroceria</v>
      </c>
      <c r="E49" s="530">
        <f>'10.1 PODA'!D9</f>
        <v>2</v>
      </c>
      <c r="F49" s="527" t="str">
        <f>'10.1 PODA'!B15</f>
        <v>Motorista de Caminhao diurno</v>
      </c>
      <c r="G49" s="530">
        <f>'10.1 PODA'!D15</f>
        <v>2</v>
      </c>
    </row>
    <row r="50" spans="2:7" x14ac:dyDescent="0.25">
      <c r="B50" s="608"/>
      <c r="C50" s="608"/>
      <c r="D50" s="435" t="str">
        <f>'10.1 PODA'!B10</f>
        <v>Motosserra</v>
      </c>
      <c r="E50" s="530">
        <f>'10.1 PODA'!D10</f>
        <v>4</v>
      </c>
      <c r="F50" s="527" t="str">
        <f>'10.1 PODA'!B16</f>
        <v>Operador de Retroescavadeira</v>
      </c>
      <c r="G50" s="530">
        <f>'10.1 PODA'!D16</f>
        <v>1</v>
      </c>
    </row>
    <row r="51" spans="2:7" x14ac:dyDescent="0.25">
      <c r="B51" s="608"/>
      <c r="C51" s="608"/>
      <c r="D51" s="435" t="str">
        <f>'10.1 PODA'!B11</f>
        <v>Retroescavadeira</v>
      </c>
      <c r="E51" s="530">
        <f>'10.1 PODA'!D11</f>
        <v>1</v>
      </c>
      <c r="F51" s="527" t="str">
        <f>'10.1 PODA'!B17</f>
        <v>Operador de Motosserra</v>
      </c>
      <c r="G51" s="530">
        <f>'10.1 PODA'!D17</f>
        <v>4</v>
      </c>
    </row>
    <row r="52" spans="2:7" x14ac:dyDescent="0.25">
      <c r="B52" s="609"/>
      <c r="C52" s="609"/>
      <c r="D52" s="435"/>
      <c r="E52" s="530"/>
      <c r="F52" s="527" t="str">
        <f>'10.1 PODA'!B18</f>
        <v xml:space="preserve">Ajudante de Operação diurno </v>
      </c>
      <c r="G52" s="530">
        <f>'10.1 PODA'!D18</f>
        <v>6</v>
      </c>
    </row>
    <row r="53" spans="2:7" x14ac:dyDescent="0.25">
      <c r="B53" s="603"/>
      <c r="C53" s="603"/>
      <c r="D53" s="603"/>
      <c r="E53" s="603"/>
      <c r="F53" s="603"/>
      <c r="G53" s="603"/>
    </row>
    <row r="54" spans="2:7" x14ac:dyDescent="0.25">
      <c r="B54" s="602">
        <v>11</v>
      </c>
      <c r="C54" s="602" t="s">
        <v>475</v>
      </c>
      <c r="D54" s="435" t="str">
        <f>'11 PINTURA MEIOFIO'!B8</f>
        <v>VEICULO TRATOR COM MAQUINA DE PINTUA ACOPLADA</v>
      </c>
      <c r="E54" s="530">
        <f>'11 PINTURA MEIOFIO'!D8</f>
        <v>2</v>
      </c>
      <c r="F54" s="527" t="str">
        <f>'11 PINTURA MEIOFIO'!B12</f>
        <v>Motorista de Caminhao diurno</v>
      </c>
      <c r="G54" s="530">
        <f>'11 PINTURA MEIOFIO'!D12</f>
        <v>2</v>
      </c>
    </row>
    <row r="55" spans="2:7" x14ac:dyDescent="0.25">
      <c r="B55" s="602"/>
      <c r="C55" s="602"/>
      <c r="D55" s="435"/>
      <c r="E55" s="530"/>
      <c r="F55" s="527" t="str">
        <f>'11 PINTURA MEIOFIO'!B13</f>
        <v>Ajudante de Pintura</v>
      </c>
      <c r="G55" s="530">
        <f>'11 PINTURA MEIOFIO'!D13</f>
        <v>4</v>
      </c>
    </row>
    <row r="56" spans="2:7" x14ac:dyDescent="0.25">
      <c r="B56" s="603"/>
      <c r="C56" s="603"/>
      <c r="D56" s="603"/>
      <c r="E56" s="603"/>
      <c r="F56" s="603"/>
      <c r="G56" s="603"/>
    </row>
    <row r="57" spans="2:7" x14ac:dyDescent="0.25">
      <c r="B57" s="602">
        <v>12</v>
      </c>
      <c r="C57" s="602" t="s">
        <v>480</v>
      </c>
      <c r="D57" s="435" t="str">
        <f>'12 ADM LOCAL'!B8</f>
        <v>Veículo Leve</v>
      </c>
      <c r="E57" s="530">
        <f>'12 ADM LOCAL'!D8</f>
        <v>1</v>
      </c>
      <c r="F57" s="527" t="str">
        <f>'12 ADM LOCAL'!B15</f>
        <v>Engenheiro Responsável</v>
      </c>
      <c r="G57" s="530">
        <f>'12 ADM LOCAL'!D15</f>
        <v>1</v>
      </c>
    </row>
    <row r="58" spans="2:7" x14ac:dyDescent="0.25">
      <c r="B58" s="602"/>
      <c r="C58" s="602"/>
      <c r="D58" s="435" t="str">
        <f>'12 ADM LOCAL'!B9</f>
        <v>Pickup</v>
      </c>
      <c r="E58" s="530">
        <f>'12 ADM LOCAL'!D9</f>
        <v>1</v>
      </c>
      <c r="F58" s="527" t="str">
        <f>'12 ADM LOCAL'!B16</f>
        <v>Encarregado Geral Diurno</v>
      </c>
      <c r="G58" s="530">
        <f>'12 ADM LOCAL'!D16</f>
        <v>1</v>
      </c>
    </row>
    <row r="59" spans="2:7" x14ac:dyDescent="0.25">
      <c r="B59" s="602"/>
      <c r="C59" s="602"/>
      <c r="D59" s="435"/>
      <c r="E59" s="530"/>
      <c r="F59" s="527" t="str">
        <f>'12 ADM LOCAL'!B17</f>
        <v>Técnico de Segurança</v>
      </c>
      <c r="G59" s="530">
        <f>'12 ADM LOCAL'!D17</f>
        <v>1</v>
      </c>
    </row>
    <row r="60" spans="2:7" x14ac:dyDescent="0.25">
      <c r="B60" s="602"/>
      <c r="C60" s="602"/>
      <c r="D60" s="435"/>
      <c r="E60" s="530"/>
      <c r="F60" s="527" t="str">
        <f>'12 ADM LOCAL'!B18</f>
        <v>Auxiliar Administrativo</v>
      </c>
      <c r="G60" s="530">
        <f>'12 ADM LOCAL'!D18</f>
        <v>2</v>
      </c>
    </row>
    <row r="61" spans="2:7" x14ac:dyDescent="0.25">
      <c r="B61" s="602"/>
      <c r="C61" s="602"/>
      <c r="D61" s="435"/>
      <c r="E61" s="530"/>
      <c r="F61" s="527" t="str">
        <f>'12 ADM LOCAL'!B19</f>
        <v>Vigia Diurno</v>
      </c>
      <c r="G61" s="530">
        <f>'12 ADM LOCAL'!D19</f>
        <v>2</v>
      </c>
    </row>
    <row r="62" spans="2:7" x14ac:dyDescent="0.25">
      <c r="B62" s="602"/>
      <c r="C62" s="602"/>
      <c r="D62" s="435"/>
      <c r="E62" s="530"/>
      <c r="F62" s="527" t="str">
        <f>'12 ADM LOCAL'!B20</f>
        <v>Vigia Noturno</v>
      </c>
      <c r="G62" s="530">
        <f>'12 ADM LOCAL'!D20</f>
        <v>2</v>
      </c>
    </row>
  </sheetData>
  <mergeCells count="38">
    <mergeCell ref="B32:G32"/>
    <mergeCell ref="B15:B20"/>
    <mergeCell ref="C15:C20"/>
    <mergeCell ref="C12:C13"/>
    <mergeCell ref="B12:B13"/>
    <mergeCell ref="B21:G21"/>
    <mergeCell ref="B25:G25"/>
    <mergeCell ref="C22:C24"/>
    <mergeCell ref="B22:B24"/>
    <mergeCell ref="B14:G14"/>
    <mergeCell ref="B26:B27"/>
    <mergeCell ref="C26:C27"/>
    <mergeCell ref="B28:G28"/>
    <mergeCell ref="B29:B31"/>
    <mergeCell ref="C29:C31"/>
    <mergeCell ref="B2:C2"/>
    <mergeCell ref="D2:E2"/>
    <mergeCell ref="F2:G2"/>
    <mergeCell ref="B11:G11"/>
    <mergeCell ref="C4:C10"/>
    <mergeCell ref="B4:B10"/>
    <mergeCell ref="C57:C62"/>
    <mergeCell ref="B57:B62"/>
    <mergeCell ref="B42:G42"/>
    <mergeCell ref="B47:G47"/>
    <mergeCell ref="C43:C46"/>
    <mergeCell ref="C54:C55"/>
    <mergeCell ref="B54:B55"/>
    <mergeCell ref="B43:B46"/>
    <mergeCell ref="B53:G53"/>
    <mergeCell ref="C48:C52"/>
    <mergeCell ref="B48:B52"/>
    <mergeCell ref="C33:C37"/>
    <mergeCell ref="B33:B37"/>
    <mergeCell ref="B56:G56"/>
    <mergeCell ref="B38:G38"/>
    <mergeCell ref="B39:B41"/>
    <mergeCell ref="C39:C41"/>
  </mergeCells>
  <pageMargins left="0.98425196850393704" right="0.59055118110236215" top="1.1811023622047243" bottom="0.59055118110236215" header="0.11811023622047244" footer="0.51181102362204722"/>
  <pageSetup paperSize="9" scale="56" fitToHeight="0" orientation="portrait"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pageSetUpPr fitToPage="1"/>
  </sheetPr>
  <dimension ref="A1:C39"/>
  <sheetViews>
    <sheetView showGridLines="0" view="pageLayout" zoomScaleNormal="100" zoomScaleSheetLayoutView="85" workbookViewId="0">
      <selection activeCell="F33" sqref="F33"/>
    </sheetView>
  </sheetViews>
  <sheetFormatPr defaultColWidth="9.140625" defaultRowHeight="13.5" x14ac:dyDescent="0.25"/>
  <cols>
    <col min="1" max="1" width="7.28515625" style="292" bestFit="1" customWidth="1"/>
    <col min="2" max="2" width="63.85546875" style="292" customWidth="1"/>
    <col min="3" max="3" width="23.7109375" style="293" customWidth="1"/>
    <col min="4" max="16384" width="9.140625" style="292"/>
  </cols>
  <sheetData>
    <row r="1" spans="1:3" ht="15" x14ac:dyDescent="0.25">
      <c r="A1" s="291"/>
    </row>
    <row r="2" spans="1:3" ht="15" x14ac:dyDescent="0.25">
      <c r="A2" s="613" t="s">
        <v>301</v>
      </c>
      <c r="B2" s="613"/>
      <c r="C2" s="613"/>
    </row>
    <row r="3" spans="1:3" x14ac:dyDescent="0.25">
      <c r="A3" s="617" t="s">
        <v>302</v>
      </c>
      <c r="B3" s="619" t="s">
        <v>303</v>
      </c>
      <c r="C3" s="294" t="s">
        <v>304</v>
      </c>
    </row>
    <row r="4" spans="1:3" ht="25.5" x14ac:dyDescent="0.25">
      <c r="A4" s="618"/>
      <c r="B4" s="620"/>
      <c r="C4" s="295" t="s">
        <v>305</v>
      </c>
    </row>
    <row r="5" spans="1:3" x14ac:dyDescent="0.25">
      <c r="A5" s="614" t="s">
        <v>306</v>
      </c>
      <c r="B5" s="615"/>
      <c r="C5" s="616"/>
    </row>
    <row r="6" spans="1:3" x14ac:dyDescent="0.25">
      <c r="A6" s="296" t="s">
        <v>307</v>
      </c>
      <c r="B6" s="297" t="s">
        <v>308</v>
      </c>
      <c r="C6" s="298"/>
    </row>
    <row r="7" spans="1:3" x14ac:dyDescent="0.25">
      <c r="A7" s="299" t="s">
        <v>309</v>
      </c>
      <c r="B7" s="300" t="s">
        <v>310</v>
      </c>
      <c r="C7" s="301"/>
    </row>
    <row r="8" spans="1:3" x14ac:dyDescent="0.25">
      <c r="A8" s="296" t="s">
        <v>311</v>
      </c>
      <c r="B8" s="297" t="s">
        <v>312</v>
      </c>
      <c r="C8" s="298"/>
    </row>
    <row r="9" spans="1:3" x14ac:dyDescent="0.25">
      <c r="A9" s="299" t="s">
        <v>313</v>
      </c>
      <c r="B9" s="300" t="s">
        <v>314</v>
      </c>
      <c r="C9" s="301"/>
    </row>
    <row r="10" spans="1:3" x14ac:dyDescent="0.25">
      <c r="A10" s="296" t="s">
        <v>315</v>
      </c>
      <c r="B10" s="297" t="s">
        <v>316</v>
      </c>
      <c r="C10" s="298"/>
    </row>
    <row r="11" spans="1:3" x14ac:dyDescent="0.25">
      <c r="A11" s="299" t="s">
        <v>317</v>
      </c>
      <c r="B11" s="300" t="s">
        <v>318</v>
      </c>
      <c r="C11" s="301"/>
    </row>
    <row r="12" spans="1:3" x14ac:dyDescent="0.25">
      <c r="A12" s="296" t="s">
        <v>319</v>
      </c>
      <c r="B12" s="297" t="s">
        <v>320</v>
      </c>
      <c r="C12" s="298"/>
    </row>
    <row r="13" spans="1:3" x14ac:dyDescent="0.25">
      <c r="A13" s="299" t="s">
        <v>321</v>
      </c>
      <c r="B13" s="300" t="s">
        <v>322</v>
      </c>
      <c r="C13" s="301"/>
    </row>
    <row r="14" spans="1:3" x14ac:dyDescent="0.25">
      <c r="A14" s="296" t="s">
        <v>323</v>
      </c>
      <c r="B14" s="297" t="s">
        <v>324</v>
      </c>
      <c r="C14" s="298"/>
    </row>
    <row r="15" spans="1:3" x14ac:dyDescent="0.25">
      <c r="A15" s="302" t="s">
        <v>325</v>
      </c>
      <c r="B15" s="302" t="s">
        <v>326</v>
      </c>
      <c r="C15" s="303"/>
    </row>
    <row r="16" spans="1:3" x14ac:dyDescent="0.25">
      <c r="A16" s="614" t="s">
        <v>327</v>
      </c>
      <c r="B16" s="615"/>
      <c r="C16" s="616"/>
    </row>
    <row r="17" spans="1:3" x14ac:dyDescent="0.25">
      <c r="A17" s="296" t="s">
        <v>328</v>
      </c>
      <c r="B17" s="297" t="s">
        <v>329</v>
      </c>
      <c r="C17" s="296"/>
    </row>
    <row r="18" spans="1:3" x14ac:dyDescent="0.25">
      <c r="A18" s="299" t="s">
        <v>330</v>
      </c>
      <c r="B18" s="300" t="s">
        <v>331</v>
      </c>
      <c r="C18" s="299"/>
    </row>
    <row r="19" spans="1:3" x14ac:dyDescent="0.25">
      <c r="A19" s="296" t="s">
        <v>332</v>
      </c>
      <c r="B19" s="297" t="s">
        <v>333</v>
      </c>
      <c r="C19" s="298"/>
    </row>
    <row r="20" spans="1:3" x14ac:dyDescent="0.25">
      <c r="A20" s="299" t="s">
        <v>334</v>
      </c>
      <c r="B20" s="300" t="s">
        <v>335</v>
      </c>
      <c r="C20" s="301"/>
    </row>
    <row r="21" spans="1:3" x14ac:dyDescent="0.25">
      <c r="A21" s="296" t="s">
        <v>336</v>
      </c>
      <c r="B21" s="297" t="s">
        <v>337</v>
      </c>
      <c r="C21" s="298"/>
    </row>
    <row r="22" spans="1:3" x14ac:dyDescent="0.25">
      <c r="A22" s="299" t="s">
        <v>338</v>
      </c>
      <c r="B22" s="300" t="s">
        <v>339</v>
      </c>
      <c r="C22" s="301"/>
    </row>
    <row r="23" spans="1:3" x14ac:dyDescent="0.25">
      <c r="A23" s="296" t="s">
        <v>340</v>
      </c>
      <c r="B23" s="297" t="s">
        <v>341</v>
      </c>
      <c r="C23" s="296"/>
    </row>
    <row r="24" spans="1:3" x14ac:dyDescent="0.25">
      <c r="A24" s="299" t="s">
        <v>342</v>
      </c>
      <c r="B24" s="300" t="s">
        <v>343</v>
      </c>
      <c r="C24" s="301"/>
    </row>
    <row r="25" spans="1:3" x14ac:dyDescent="0.25">
      <c r="A25" s="296" t="s">
        <v>344</v>
      </c>
      <c r="B25" s="297" t="s">
        <v>345</v>
      </c>
      <c r="C25" s="298"/>
    </row>
    <row r="26" spans="1:3" x14ac:dyDescent="0.25">
      <c r="A26" s="299" t="s">
        <v>346</v>
      </c>
      <c r="B26" s="300" t="s">
        <v>347</v>
      </c>
      <c r="C26" s="301"/>
    </row>
    <row r="27" spans="1:3" x14ac:dyDescent="0.25">
      <c r="A27" s="304" t="s">
        <v>348</v>
      </c>
      <c r="B27" s="304" t="s">
        <v>326</v>
      </c>
      <c r="C27" s="305"/>
    </row>
    <row r="28" spans="1:3" x14ac:dyDescent="0.25">
      <c r="A28" s="614" t="s">
        <v>349</v>
      </c>
      <c r="B28" s="615"/>
      <c r="C28" s="616"/>
    </row>
    <row r="29" spans="1:3" x14ac:dyDescent="0.25">
      <c r="A29" s="296" t="s">
        <v>350</v>
      </c>
      <c r="B29" s="297" t="s">
        <v>351</v>
      </c>
      <c r="C29" s="298"/>
    </row>
    <row r="30" spans="1:3" x14ac:dyDescent="0.25">
      <c r="A30" s="299" t="s">
        <v>352</v>
      </c>
      <c r="B30" s="300" t="s">
        <v>353</v>
      </c>
      <c r="C30" s="301"/>
    </row>
    <row r="31" spans="1:3" x14ac:dyDescent="0.25">
      <c r="A31" s="296" t="s">
        <v>354</v>
      </c>
      <c r="B31" s="297" t="s">
        <v>355</v>
      </c>
      <c r="C31" s="298"/>
    </row>
    <row r="32" spans="1:3" x14ac:dyDescent="0.25">
      <c r="A32" s="299" t="s">
        <v>356</v>
      </c>
      <c r="B32" s="300" t="s">
        <v>357</v>
      </c>
      <c r="C32" s="301"/>
    </row>
    <row r="33" spans="1:3" x14ac:dyDescent="0.25">
      <c r="A33" s="296" t="s">
        <v>358</v>
      </c>
      <c r="B33" s="297" t="s">
        <v>359</v>
      </c>
      <c r="C33" s="298"/>
    </row>
    <row r="34" spans="1:3" x14ac:dyDescent="0.25">
      <c r="A34" s="302" t="s">
        <v>360</v>
      </c>
      <c r="B34" s="302" t="s">
        <v>326</v>
      </c>
      <c r="C34" s="303"/>
    </row>
    <row r="35" spans="1:3" x14ac:dyDescent="0.25">
      <c r="A35" s="614" t="s">
        <v>361</v>
      </c>
      <c r="B35" s="615"/>
      <c r="C35" s="616"/>
    </row>
    <row r="36" spans="1:3" x14ac:dyDescent="0.25">
      <c r="A36" s="296" t="s">
        <v>362</v>
      </c>
      <c r="B36" s="297" t="s">
        <v>363</v>
      </c>
      <c r="C36" s="298"/>
    </row>
    <row r="37" spans="1:3" ht="38.25" x14ac:dyDescent="0.25">
      <c r="A37" s="299" t="s">
        <v>364</v>
      </c>
      <c r="B37" s="306" t="s">
        <v>365</v>
      </c>
      <c r="C37" s="301"/>
    </row>
    <row r="38" spans="1:3" x14ac:dyDescent="0.25">
      <c r="A38" s="304" t="s">
        <v>366</v>
      </c>
      <c r="B38" s="304" t="s">
        <v>326</v>
      </c>
      <c r="C38" s="305"/>
    </row>
    <row r="39" spans="1:3" x14ac:dyDescent="0.25">
      <c r="A39" s="614" t="s">
        <v>367</v>
      </c>
      <c r="B39" s="616"/>
      <c r="C39" s="307"/>
    </row>
  </sheetData>
  <sheetProtection selectLockedCells="1" selectUnlockedCells="1"/>
  <mergeCells count="8">
    <mergeCell ref="A2:C2"/>
    <mergeCell ref="A35:C35"/>
    <mergeCell ref="A39:B39"/>
    <mergeCell ref="A3:A4"/>
    <mergeCell ref="B3:B4"/>
    <mergeCell ref="A5:C5"/>
    <mergeCell ref="A16:C16"/>
    <mergeCell ref="A28:C28"/>
  </mergeCells>
  <pageMargins left="0.98425196850393704" right="0.59055118110236227" top="1.1811023622047245" bottom="0.59055118110236227" header="0.11811023622047245" footer="0.51181102362204722"/>
  <pageSetup paperSize="9" scale="89" firstPageNumber="0" fitToHeight="0" orientation="portrait" r:id="rId1"/>
  <headerFooter alignWithMargins="0">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2060"/>
    <pageSetUpPr fitToPage="1"/>
  </sheetPr>
  <dimension ref="A2:C22"/>
  <sheetViews>
    <sheetView showGridLines="0" view="pageLayout" zoomScaleNormal="130" zoomScaleSheetLayoutView="100" workbookViewId="0">
      <selection activeCell="C23" sqref="C23"/>
    </sheetView>
  </sheetViews>
  <sheetFormatPr defaultColWidth="9.140625" defaultRowHeight="13.5" x14ac:dyDescent="0.25"/>
  <cols>
    <col min="1" max="1" width="7" style="277" customWidth="1"/>
    <col min="2" max="2" width="57.42578125" style="277" customWidth="1"/>
    <col min="3" max="3" width="11.140625" style="277" customWidth="1"/>
    <col min="4" max="16384" width="9.140625" style="277"/>
  </cols>
  <sheetData>
    <row r="2" spans="1:3" ht="15" x14ac:dyDescent="0.25">
      <c r="A2" s="623" t="s">
        <v>300</v>
      </c>
      <c r="B2" s="623"/>
      <c r="C2" s="623"/>
    </row>
    <row r="3" spans="1:3" ht="15.75" x14ac:dyDescent="0.25">
      <c r="A3" s="290"/>
      <c r="B3" s="290"/>
      <c r="C3" s="290"/>
    </row>
    <row r="4" spans="1:3" ht="14.1" customHeight="1" x14ac:dyDescent="0.25">
      <c r="A4" s="624" t="s">
        <v>299</v>
      </c>
      <c r="B4" s="624" t="s">
        <v>298</v>
      </c>
      <c r="C4" s="624" t="s">
        <v>76</v>
      </c>
    </row>
    <row r="5" spans="1:3" ht="14.1" customHeight="1" x14ac:dyDescent="0.25">
      <c r="A5" s="624"/>
      <c r="B5" s="624"/>
      <c r="C5" s="624"/>
    </row>
    <row r="6" spans="1:3" ht="6" customHeight="1" x14ac:dyDescent="0.25">
      <c r="A6" s="625"/>
      <c r="B6" s="625"/>
      <c r="C6" s="625"/>
    </row>
    <row r="7" spans="1:3" ht="14.1" customHeight="1" x14ac:dyDescent="0.25">
      <c r="A7" s="287"/>
      <c r="B7" s="289" t="s">
        <v>297</v>
      </c>
      <c r="C7" s="285"/>
    </row>
    <row r="8" spans="1:3" ht="14.1" customHeight="1" x14ac:dyDescent="0.25">
      <c r="A8" s="284"/>
      <c r="B8" s="283" t="s">
        <v>296</v>
      </c>
      <c r="C8" s="282"/>
    </row>
    <row r="9" spans="1:3" ht="14.1" customHeight="1" x14ac:dyDescent="0.25">
      <c r="A9" s="284"/>
      <c r="B9" s="283" t="s">
        <v>295</v>
      </c>
      <c r="C9" s="282"/>
    </row>
    <row r="10" spans="1:3" ht="14.1" customHeight="1" x14ac:dyDescent="0.25">
      <c r="A10" s="284"/>
      <c r="B10" s="283" t="s">
        <v>294</v>
      </c>
      <c r="C10" s="282"/>
    </row>
    <row r="11" spans="1:3" ht="6" customHeight="1" x14ac:dyDescent="0.25">
      <c r="A11" s="284"/>
      <c r="B11" s="283"/>
      <c r="C11" s="282"/>
    </row>
    <row r="12" spans="1:3" ht="14.1" customHeight="1" x14ac:dyDescent="0.25">
      <c r="A12" s="284"/>
      <c r="B12" s="283" t="s">
        <v>293</v>
      </c>
      <c r="C12" s="282"/>
    </row>
    <row r="13" spans="1:3" ht="6" customHeight="1" x14ac:dyDescent="0.25">
      <c r="A13" s="284"/>
      <c r="B13" s="283"/>
      <c r="C13" s="282"/>
    </row>
    <row r="14" spans="1:3" ht="14.1" customHeight="1" x14ac:dyDescent="0.25">
      <c r="A14" s="287"/>
      <c r="B14" s="288" t="s">
        <v>292</v>
      </c>
      <c r="C14" s="282"/>
    </row>
    <row r="15" spans="1:3" ht="6" customHeight="1" x14ac:dyDescent="0.25">
      <c r="A15" s="284"/>
      <c r="B15" s="283"/>
      <c r="C15" s="282"/>
    </row>
    <row r="16" spans="1:3" ht="14.1" customHeight="1" x14ac:dyDescent="0.25">
      <c r="A16" s="287"/>
      <c r="B16" s="286" t="s">
        <v>291</v>
      </c>
      <c r="C16" s="285">
        <f>SUM(C17:C20)</f>
        <v>0.05</v>
      </c>
    </row>
    <row r="17" spans="1:3" ht="14.1" customHeight="1" x14ac:dyDescent="0.25">
      <c r="A17" s="284"/>
      <c r="B17" s="283" t="s">
        <v>290</v>
      </c>
      <c r="C17" s="282"/>
    </row>
    <row r="18" spans="1:3" ht="14.1" customHeight="1" x14ac:dyDescent="0.25">
      <c r="A18" s="284"/>
      <c r="B18" s="283" t="s">
        <v>289</v>
      </c>
      <c r="C18" s="282"/>
    </row>
    <row r="19" spans="1:3" ht="14.1" customHeight="1" x14ac:dyDescent="0.25">
      <c r="A19" s="284"/>
      <c r="B19" s="283" t="s">
        <v>288</v>
      </c>
      <c r="C19" s="282">
        <v>0.05</v>
      </c>
    </row>
    <row r="20" spans="1:3" ht="14.1" customHeight="1" x14ac:dyDescent="0.25">
      <c r="A20" s="284"/>
      <c r="B20" s="283" t="s">
        <v>287</v>
      </c>
      <c r="C20" s="282"/>
    </row>
    <row r="21" spans="1:3" ht="8.1" customHeight="1" x14ac:dyDescent="0.25">
      <c r="A21" s="281"/>
      <c r="B21" s="280"/>
      <c r="C21" s="279"/>
    </row>
    <row r="22" spans="1:3" ht="15.95" customHeight="1" x14ac:dyDescent="0.25">
      <c r="A22" s="621" t="s">
        <v>77</v>
      </c>
      <c r="B22" s="622"/>
      <c r="C22" s="278">
        <f>ROUND((1+C8+C9+C10)*(1+C12)*(1+C14)/(1-C16)-1,4)</f>
        <v>5.2600000000000001E-2</v>
      </c>
    </row>
  </sheetData>
  <mergeCells count="6">
    <mergeCell ref="A22:B22"/>
    <mergeCell ref="A2:C2"/>
    <mergeCell ref="A4:A5"/>
    <mergeCell ref="B4:B5"/>
    <mergeCell ref="C4:C5"/>
    <mergeCell ref="A6:C6"/>
  </mergeCells>
  <pageMargins left="0.98425196850393704" right="0.59055118110236215" top="1.1811023622047243" bottom="0.59055118110236215" header="0.11811023622047244" footer="0.51181102362204722"/>
  <pageSetup paperSize="9" firstPageNumber="0" fitToHeight="0" orientation="portrait" r:id="rId1"/>
  <headerFooter alignWithMargins="0">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pageSetUpPr fitToPage="1"/>
  </sheetPr>
  <dimension ref="A1:L52"/>
  <sheetViews>
    <sheetView showGridLines="0" showWhiteSpace="0" view="pageLayout" topLeftCell="A43" zoomScaleNormal="112" zoomScaleSheetLayoutView="100" workbookViewId="0">
      <selection activeCell="A2" sqref="A2:F2"/>
    </sheetView>
  </sheetViews>
  <sheetFormatPr defaultColWidth="9.140625" defaultRowHeight="13.5" x14ac:dyDescent="0.25"/>
  <cols>
    <col min="1" max="1" width="8" style="47" customWidth="1"/>
    <col min="2" max="2" width="50.7109375" style="47" customWidth="1"/>
    <col min="3" max="3" width="15.140625" style="47" customWidth="1"/>
    <col min="4" max="4" width="15.140625" style="49" customWidth="1"/>
    <col min="5" max="6" width="15.140625" style="48" customWidth="1"/>
    <col min="7" max="7" width="5.7109375" style="47" bestFit="1" customWidth="1"/>
    <col min="8" max="10" width="8.7109375" style="47" customWidth="1"/>
    <col min="11" max="11" width="7.7109375" style="47" bestFit="1" customWidth="1"/>
    <col min="12" max="12" width="8" style="47" bestFit="1" customWidth="1"/>
    <col min="13" max="16384" width="9.140625" style="47"/>
  </cols>
  <sheetData>
    <row r="1" spans="1:12" ht="15" x14ac:dyDescent="0.25">
      <c r="A1" s="92"/>
    </row>
    <row r="2" spans="1:12" s="80" customFormat="1" ht="15.75" x14ac:dyDescent="0.25">
      <c r="A2" s="627" t="s">
        <v>105</v>
      </c>
      <c r="B2" s="627"/>
      <c r="C2" s="627"/>
      <c r="D2" s="627"/>
      <c r="E2" s="627"/>
      <c r="F2" s="627"/>
      <c r="G2" s="91"/>
    </row>
    <row r="3" spans="1:12" ht="15" x14ac:dyDescent="0.25">
      <c r="G3" s="91"/>
      <c r="J3" s="80"/>
      <c r="K3" s="80"/>
      <c r="L3" s="80"/>
    </row>
    <row r="4" spans="1:12" ht="15" x14ac:dyDescent="0.25">
      <c r="A4" s="626" t="str">
        <f>'ORÇAMENTO GERAL'!B7</f>
        <v xml:space="preserve">Coleta, Transporte, Descarga E Disposição Final de Resíduos Sólidos Urbanos </v>
      </c>
      <c r="B4" s="626"/>
      <c r="C4" s="626"/>
      <c r="D4" s="626"/>
      <c r="E4" s="626"/>
      <c r="F4" s="626"/>
      <c r="G4" s="91"/>
      <c r="H4" s="89"/>
      <c r="I4" s="89"/>
      <c r="J4" s="80"/>
      <c r="K4" s="80"/>
      <c r="L4" s="80"/>
    </row>
    <row r="5" spans="1:12" ht="15.75" thickBot="1" x14ac:dyDescent="0.3">
      <c r="E5" s="90" t="s">
        <v>104</v>
      </c>
      <c r="F5" s="90" t="s">
        <v>103</v>
      </c>
      <c r="H5" s="89"/>
      <c r="I5" s="89"/>
      <c r="J5" s="80"/>
      <c r="K5" s="80"/>
      <c r="L5" s="80"/>
    </row>
    <row r="6" spans="1:12" ht="15.75" thickBot="1" x14ac:dyDescent="0.3">
      <c r="A6" s="88" t="s">
        <v>54</v>
      </c>
      <c r="B6" s="87" t="s">
        <v>53</v>
      </c>
      <c r="C6" s="86" t="s">
        <v>102</v>
      </c>
      <c r="D6" s="85" t="s">
        <v>49</v>
      </c>
      <c r="E6" s="85" t="s">
        <v>101</v>
      </c>
      <c r="F6" s="84" t="s">
        <v>100</v>
      </c>
      <c r="G6" s="83"/>
      <c r="J6" s="80"/>
      <c r="K6" s="80"/>
      <c r="L6" s="80"/>
    </row>
    <row r="7" spans="1:12" ht="15" x14ac:dyDescent="0.25">
      <c r="A7" s="78">
        <v>1</v>
      </c>
      <c r="B7" s="77" t="s">
        <v>99</v>
      </c>
      <c r="C7" s="76"/>
      <c r="D7" s="75"/>
      <c r="E7" s="75"/>
      <c r="F7" s="74"/>
      <c r="G7" s="82"/>
      <c r="J7" s="80"/>
      <c r="K7" s="80"/>
      <c r="L7" s="80"/>
    </row>
    <row r="8" spans="1:12" ht="15" x14ac:dyDescent="0.25">
      <c r="A8" s="73" t="s">
        <v>47</v>
      </c>
      <c r="B8" s="72" t="s">
        <v>6686</v>
      </c>
      <c r="C8" s="71" t="s">
        <v>85</v>
      </c>
      <c r="D8" s="70">
        <v>4</v>
      </c>
      <c r="E8" s="69" t="e">
        <f>'1.3 EQUIP. VEICULOS'!C35</f>
        <v>#DIV/0!</v>
      </c>
      <c r="F8" s="68" t="e">
        <f t="shared" ref="F8:F13" si="0">E8*D8</f>
        <v>#DIV/0!</v>
      </c>
      <c r="J8" s="80"/>
      <c r="K8" s="80"/>
      <c r="L8" s="80"/>
    </row>
    <row r="9" spans="1:12" ht="15" x14ac:dyDescent="0.25">
      <c r="A9" s="73" t="s">
        <v>31</v>
      </c>
      <c r="B9" s="72" t="s">
        <v>6687</v>
      </c>
      <c r="C9" s="71" t="s">
        <v>85</v>
      </c>
      <c r="D9" s="70">
        <f>'1.4 DIM COLETA RSU'!C119</f>
        <v>2</v>
      </c>
      <c r="E9" s="69" t="e">
        <f>'1.3 EQUIP. VEICULOS'!C35</f>
        <v>#DIV/0!</v>
      </c>
      <c r="F9" s="68" t="e">
        <f t="shared" ref="F9" si="1">E9*D9</f>
        <v>#DIV/0!</v>
      </c>
      <c r="J9" s="80"/>
      <c r="K9" s="80"/>
      <c r="L9" s="80"/>
    </row>
    <row r="10" spans="1:12" s="48" customFormat="1" ht="15" x14ac:dyDescent="0.25">
      <c r="A10" s="73" t="s">
        <v>29</v>
      </c>
      <c r="B10" s="72" t="s">
        <v>98</v>
      </c>
      <c r="C10" s="71" t="s">
        <v>85</v>
      </c>
      <c r="D10" s="70">
        <f>'1.4 DIM COLETA RSU'!C120</f>
        <v>1</v>
      </c>
      <c r="E10" s="69" t="e">
        <f>'1.3 EQUIP. VEICULOS'!D35</f>
        <v>#DIV/0!</v>
      </c>
      <c r="F10" s="68" t="e">
        <f t="shared" si="0"/>
        <v>#DIV/0!</v>
      </c>
      <c r="G10" s="81"/>
      <c r="J10" s="80"/>
      <c r="K10" s="80"/>
      <c r="L10" s="80"/>
    </row>
    <row r="11" spans="1:12" s="48" customFormat="1" ht="15" x14ac:dyDescent="0.25">
      <c r="A11" s="73" t="s">
        <v>27</v>
      </c>
      <c r="B11" s="72" t="s">
        <v>245</v>
      </c>
      <c r="C11" s="71" t="s">
        <v>85</v>
      </c>
      <c r="D11" s="70">
        <f>'1.4 DIM COLETA RSU'!C121</f>
        <v>1</v>
      </c>
      <c r="E11" s="69" t="e">
        <f>'1.3 EQUIP. VEICULOS'!C72</f>
        <v>#DIV/0!</v>
      </c>
      <c r="F11" s="68" t="e">
        <f t="shared" si="0"/>
        <v>#DIV/0!</v>
      </c>
      <c r="G11" s="81"/>
      <c r="J11" s="80"/>
      <c r="K11" s="80"/>
      <c r="L11" s="80"/>
    </row>
    <row r="12" spans="1:12" s="48" customFormat="1" ht="15" x14ac:dyDescent="0.25">
      <c r="A12" s="73" t="s">
        <v>6678</v>
      </c>
      <c r="B12" s="72" t="s">
        <v>6685</v>
      </c>
      <c r="C12" s="71" t="s">
        <v>85</v>
      </c>
      <c r="D12" s="70">
        <f>'1.4 DIM COLETA RSU'!C123</f>
        <v>1</v>
      </c>
      <c r="E12" s="69" t="e">
        <f>'1.3 EQUIP. VEICULOS'!E72</f>
        <v>#DIV/0!</v>
      </c>
      <c r="F12" s="68" t="e">
        <f t="shared" si="0"/>
        <v>#DIV/0!</v>
      </c>
      <c r="G12" s="81"/>
      <c r="J12" s="80"/>
      <c r="K12" s="80"/>
      <c r="L12" s="80"/>
    </row>
    <row r="13" spans="1:12" s="48" customFormat="1" ht="15" x14ac:dyDescent="0.25">
      <c r="A13" s="73" t="s">
        <v>6679</v>
      </c>
      <c r="B13" s="72" t="s">
        <v>97</v>
      </c>
      <c r="C13" s="71" t="s">
        <v>85</v>
      </c>
      <c r="D13" s="70">
        <f>'1.4 DIM COLETA RSU'!C117</f>
        <v>50</v>
      </c>
      <c r="E13" s="69" t="e">
        <f>'1.3 EQUIP. VEICULOS'!C109</f>
        <v>#DIV/0!</v>
      </c>
      <c r="F13" s="68" t="e">
        <f t="shared" si="0"/>
        <v>#DIV/0!</v>
      </c>
      <c r="J13" s="80"/>
      <c r="K13" s="80"/>
      <c r="L13" s="80"/>
    </row>
    <row r="14" spans="1:12" s="48" customFormat="1" ht="15" x14ac:dyDescent="0.25">
      <c r="A14" s="73"/>
      <c r="B14" s="72"/>
      <c r="C14" s="71"/>
      <c r="D14" s="70"/>
      <c r="E14" s="69" t="s">
        <v>96</v>
      </c>
      <c r="F14" s="68" t="e">
        <f>SUM(F8:F13)</f>
        <v>#DIV/0!</v>
      </c>
      <c r="J14" s="80"/>
      <c r="K14" s="80"/>
      <c r="L14" s="80"/>
    </row>
    <row r="15" spans="1:12" s="48" customFormat="1" ht="15" x14ac:dyDescent="0.25">
      <c r="A15" s="78">
        <v>2</v>
      </c>
      <c r="B15" s="77" t="s">
        <v>95</v>
      </c>
      <c r="C15" s="76"/>
      <c r="D15" s="75"/>
      <c r="E15" s="75"/>
      <c r="F15" s="74"/>
      <c r="J15" s="80"/>
      <c r="K15" s="80"/>
      <c r="L15" s="80"/>
    </row>
    <row r="16" spans="1:12" s="48" customFormat="1" x14ac:dyDescent="0.25">
      <c r="A16" s="73" t="s">
        <v>17</v>
      </c>
      <c r="B16" s="72" t="s">
        <v>6681</v>
      </c>
      <c r="C16" s="71" t="s">
        <v>94</v>
      </c>
      <c r="D16" s="70">
        <f>'1.4 DIM COLETA RSU'!C105</f>
        <v>15</v>
      </c>
      <c r="E16" s="69" t="e">
        <f>'1.2 MAO DE OBRA'!F239</f>
        <v>#DIV/0!</v>
      </c>
      <c r="F16" s="68" t="e">
        <f t="shared" ref="F16:F21" si="2">E16*D16</f>
        <v>#DIV/0!</v>
      </c>
    </row>
    <row r="17" spans="1:6" s="48" customFormat="1" x14ac:dyDescent="0.25">
      <c r="A17" s="73" t="s">
        <v>15</v>
      </c>
      <c r="B17" s="72" t="s">
        <v>6680</v>
      </c>
      <c r="C17" s="71" t="s">
        <v>94</v>
      </c>
      <c r="D17" s="70">
        <f>'1.4 DIM COLETA RSU'!C106</f>
        <v>6</v>
      </c>
      <c r="E17" s="69" t="e">
        <f>'1.2 MAO DE OBRA'!F239</f>
        <v>#DIV/0!</v>
      </c>
      <c r="F17" s="68" t="e">
        <f t="shared" si="2"/>
        <v>#DIV/0!</v>
      </c>
    </row>
    <row r="18" spans="1:6" s="48" customFormat="1" x14ac:dyDescent="0.25">
      <c r="A18" s="73" t="s">
        <v>13</v>
      </c>
      <c r="B18" s="72" t="s">
        <v>6682</v>
      </c>
      <c r="C18" s="71" t="s">
        <v>94</v>
      </c>
      <c r="D18" s="70">
        <f>'1.4 DIM COLETA RSU'!C107</f>
        <v>5</v>
      </c>
      <c r="E18" s="69" t="e">
        <f>'1.2 MAO DE OBRA'!F99</f>
        <v>#DIV/0!</v>
      </c>
      <c r="F18" s="68" t="e">
        <f t="shared" si="2"/>
        <v>#DIV/0!</v>
      </c>
    </row>
    <row r="19" spans="1:6" s="48" customFormat="1" x14ac:dyDescent="0.25">
      <c r="A19" s="73" t="s">
        <v>11</v>
      </c>
      <c r="B19" s="72" t="s">
        <v>6683</v>
      </c>
      <c r="C19" s="71" t="s">
        <v>94</v>
      </c>
      <c r="D19" s="70">
        <f>'1.4 DIM COLETA RSU'!C108</f>
        <v>2</v>
      </c>
      <c r="E19" s="69" t="e">
        <f>'1.2 MAO DE OBRA'!F99</f>
        <v>#DIV/0!</v>
      </c>
      <c r="F19" s="68" t="e">
        <f t="shared" si="2"/>
        <v>#DIV/0!</v>
      </c>
    </row>
    <row r="20" spans="1:6" s="48" customFormat="1" x14ac:dyDescent="0.25">
      <c r="A20" s="73" t="s">
        <v>9</v>
      </c>
      <c r="B20" s="72" t="s">
        <v>393</v>
      </c>
      <c r="C20" s="71" t="s">
        <v>94</v>
      </c>
      <c r="D20" s="70">
        <f>'1.4 DIM COLETA RSU'!C109</f>
        <v>1</v>
      </c>
      <c r="E20" s="69" t="e">
        <f>'1.2 MAO DE OBRA'!F133</f>
        <v>#DIV/0!</v>
      </c>
      <c r="F20" s="68" t="e">
        <f t="shared" si="2"/>
        <v>#DIV/0!</v>
      </c>
    </row>
    <row r="21" spans="1:6" s="48" customFormat="1" x14ac:dyDescent="0.25">
      <c r="A21" s="73" t="s">
        <v>5</v>
      </c>
      <c r="B21" s="72" t="s">
        <v>391</v>
      </c>
      <c r="C21" s="71" t="s">
        <v>94</v>
      </c>
      <c r="D21" s="70">
        <v>1</v>
      </c>
      <c r="E21" s="69" t="e">
        <f>'1.2 MAO DE OBRA'!F33</f>
        <v>#DIV/0!</v>
      </c>
      <c r="F21" s="68" t="e">
        <f t="shared" si="2"/>
        <v>#DIV/0!</v>
      </c>
    </row>
    <row r="22" spans="1:6" s="48" customFormat="1" x14ac:dyDescent="0.25">
      <c r="A22" s="73"/>
      <c r="B22" s="72"/>
      <c r="C22" s="71"/>
      <c r="D22" s="70"/>
      <c r="E22" s="69"/>
      <c r="F22" s="68"/>
    </row>
    <row r="23" spans="1:6" s="48" customFormat="1" x14ac:dyDescent="0.25">
      <c r="A23" s="73"/>
      <c r="B23" s="72"/>
      <c r="C23" s="71"/>
      <c r="D23" s="70"/>
      <c r="E23" s="69" t="s">
        <v>93</v>
      </c>
      <c r="F23" s="68" t="e">
        <f>SUM(F16:F22)</f>
        <v>#DIV/0!</v>
      </c>
    </row>
    <row r="24" spans="1:6" s="48" customFormat="1" x14ac:dyDescent="0.25">
      <c r="A24" s="78">
        <v>3</v>
      </c>
      <c r="B24" s="77" t="s">
        <v>92</v>
      </c>
      <c r="C24" s="76"/>
      <c r="D24" s="75"/>
      <c r="E24" s="75"/>
      <c r="F24" s="74"/>
    </row>
    <row r="25" spans="1:6" s="48" customFormat="1" x14ac:dyDescent="0.25">
      <c r="A25" s="73" t="s">
        <v>91</v>
      </c>
      <c r="B25" s="72" t="s">
        <v>90</v>
      </c>
      <c r="C25" s="71" t="s">
        <v>85</v>
      </c>
      <c r="D25" s="70">
        <f>D8+D11</f>
        <v>5</v>
      </c>
      <c r="E25" s="69" t="e">
        <f>VLOOKUP(B25,'1.1 CUSTO FERRAME-UNIFORME-EPI'!B:C,2,FALSE)</f>
        <v>#DIV/0!</v>
      </c>
      <c r="F25" s="68" t="e">
        <f>E25*D25</f>
        <v>#DIV/0!</v>
      </c>
    </row>
    <row r="26" spans="1:6" s="48" customFormat="1" x14ac:dyDescent="0.25">
      <c r="A26" s="73" t="s">
        <v>89</v>
      </c>
      <c r="B26" s="72" t="s">
        <v>88</v>
      </c>
      <c r="C26" s="71" t="s">
        <v>85</v>
      </c>
      <c r="D26" s="70">
        <f>2*(D8+D11)</f>
        <v>10</v>
      </c>
      <c r="E26" s="69">
        <f>VLOOKUP(B26,'1.1 CUSTO FERRAME-UNIFORME-EPI'!B:C,2,FALSE)</f>
        <v>0</v>
      </c>
      <c r="F26" s="68">
        <f>E26*D26</f>
        <v>0</v>
      </c>
    </row>
    <row r="27" spans="1:6" s="48" customFormat="1" x14ac:dyDescent="0.25">
      <c r="A27" s="73" t="s">
        <v>87</v>
      </c>
      <c r="B27" s="72" t="s">
        <v>86</v>
      </c>
      <c r="C27" s="71" t="s">
        <v>85</v>
      </c>
      <c r="D27" s="70">
        <f>D8+D11</f>
        <v>5</v>
      </c>
      <c r="E27" s="69">
        <f>VLOOKUP(B27,'1.1 CUSTO FERRAME-UNIFORME-EPI'!B:C,2,FALSE)</f>
        <v>0</v>
      </c>
      <c r="F27" s="68">
        <f>E27*D27</f>
        <v>0</v>
      </c>
    </row>
    <row r="28" spans="1:6" s="48" customFormat="1" x14ac:dyDescent="0.25">
      <c r="A28" s="73" t="s">
        <v>116</v>
      </c>
      <c r="B28" s="72" t="str">
        <f>'1.1 CUSTO FERRAME-UNIFORME-EPI'!B11</f>
        <v>Ancinho, com cabo/ Gadanho</v>
      </c>
      <c r="C28" s="71" t="s">
        <v>85</v>
      </c>
      <c r="D28" s="70">
        <f>2*D11</f>
        <v>2</v>
      </c>
      <c r="E28" s="69" t="e">
        <f>VLOOKUP(B28,'1.1 CUSTO FERRAME-UNIFORME-EPI'!B:C,2,FALSE)</f>
        <v>#DIV/0!</v>
      </c>
      <c r="F28" s="68" t="e">
        <f>E28*D28</f>
        <v>#DIV/0!</v>
      </c>
    </row>
    <row r="29" spans="1:6" s="48" customFormat="1" x14ac:dyDescent="0.25">
      <c r="A29" s="73"/>
      <c r="B29" s="72"/>
      <c r="C29" s="71"/>
      <c r="D29" s="70"/>
      <c r="E29" s="69" t="s">
        <v>84</v>
      </c>
      <c r="F29" s="68" t="e">
        <f>SUM(F25:F28)</f>
        <v>#DIV/0!</v>
      </c>
    </row>
    <row r="30" spans="1:6" s="48" customFormat="1" x14ac:dyDescent="0.25">
      <c r="A30" s="54"/>
      <c r="B30" s="54" t="s">
        <v>83</v>
      </c>
      <c r="C30" s="54"/>
      <c r="D30" s="54"/>
      <c r="E30" s="54"/>
      <c r="F30" s="67"/>
    </row>
    <row r="31" spans="1:6" s="48" customFormat="1" x14ac:dyDescent="0.25">
      <c r="A31" s="59"/>
      <c r="B31" s="60" t="s">
        <v>82</v>
      </c>
      <c r="C31" s="57" t="s">
        <v>81</v>
      </c>
      <c r="D31" s="64"/>
      <c r="E31" s="57"/>
      <c r="F31" s="66" t="e">
        <f>SUM(F29,F23,F14)</f>
        <v>#DIV/0!</v>
      </c>
    </row>
    <row r="32" spans="1:6" s="48" customFormat="1" x14ac:dyDescent="0.25">
      <c r="A32" s="59"/>
      <c r="B32" s="65" t="s">
        <v>80</v>
      </c>
      <c r="C32" s="59" t="s">
        <v>79</v>
      </c>
      <c r="E32" s="62"/>
      <c r="F32" s="64">
        <f>'1.4 DIM COLETA RSU'!$D$23</f>
        <v>1311.7572</v>
      </c>
    </row>
    <row r="33" spans="1:6" s="48" customFormat="1" x14ac:dyDescent="0.25">
      <c r="A33" s="59"/>
      <c r="B33" s="60" t="s">
        <v>78</v>
      </c>
      <c r="C33" s="59" t="s">
        <v>74</v>
      </c>
      <c r="D33" s="63"/>
      <c r="E33" s="62"/>
      <c r="F33" s="61" t="e">
        <f>ROUND(F31/F32,2)</f>
        <v>#DIV/0!</v>
      </c>
    </row>
    <row r="34" spans="1:6" s="48" customFormat="1" x14ac:dyDescent="0.25">
      <c r="A34" s="59"/>
      <c r="B34" s="60" t="s">
        <v>77</v>
      </c>
      <c r="C34" s="59" t="s">
        <v>76</v>
      </c>
      <c r="D34" s="58">
        <f>'BDI '!$C$22</f>
        <v>5.2600000000000001E-2</v>
      </c>
      <c r="E34" s="57"/>
      <c r="F34" s="56" t="e">
        <f>ROUND(F33*D34,2)</f>
        <v>#DIV/0!</v>
      </c>
    </row>
    <row r="35" spans="1:6" s="48" customFormat="1" x14ac:dyDescent="0.25">
      <c r="A35" s="54"/>
      <c r="B35" s="54" t="s">
        <v>75</v>
      </c>
      <c r="C35" s="55" t="s">
        <v>74</v>
      </c>
      <c r="D35" s="54"/>
      <c r="E35" s="54"/>
      <c r="F35" s="53" t="e">
        <f>SUM(F33:F34)</f>
        <v>#DIV/0!</v>
      </c>
    </row>
    <row r="36" spans="1:6" s="48" customFormat="1" x14ac:dyDescent="0.25">
      <c r="A36" s="59"/>
      <c r="B36" s="175"/>
      <c r="C36" s="57"/>
      <c r="D36" s="63"/>
      <c r="E36" s="357"/>
      <c r="F36" s="357"/>
    </row>
    <row r="37" spans="1:6" s="48" customFormat="1" x14ac:dyDescent="0.25">
      <c r="A37" s="78">
        <v>4</v>
      </c>
      <c r="B37" s="77" t="s">
        <v>625</v>
      </c>
      <c r="C37" s="76"/>
      <c r="D37" s="75"/>
      <c r="E37" s="75"/>
      <c r="F37" s="74"/>
    </row>
    <row r="38" spans="1:6" x14ac:dyDescent="0.25">
      <c r="A38" s="73" t="s">
        <v>630</v>
      </c>
      <c r="B38" s="72" t="s">
        <v>626</v>
      </c>
      <c r="C38" s="71" t="s">
        <v>74</v>
      </c>
      <c r="D38" s="70">
        <f>'1.4 DIM COLETA RSU'!$D$23</f>
        <v>1311.7572</v>
      </c>
      <c r="E38" s="69" t="e">
        <f>'1.1 REF EQUIPAMENTOS E DIV'!E34</f>
        <v>#DIV/0!</v>
      </c>
      <c r="F38" s="68" t="e">
        <f>E38*D38</f>
        <v>#DIV/0!</v>
      </c>
    </row>
    <row r="39" spans="1:6" x14ac:dyDescent="0.25">
      <c r="A39" s="73"/>
      <c r="B39" s="72"/>
      <c r="C39" s="71"/>
      <c r="D39" s="70"/>
      <c r="E39" s="69" t="s">
        <v>84</v>
      </c>
      <c r="F39" s="68" t="e">
        <f>SUM(F38:F38)</f>
        <v>#DIV/0!</v>
      </c>
    </row>
    <row r="40" spans="1:6" x14ac:dyDescent="0.25">
      <c r="A40" s="54"/>
      <c r="B40" s="54" t="s">
        <v>83</v>
      </c>
      <c r="C40" s="54"/>
      <c r="D40" s="54"/>
      <c r="E40" s="54"/>
      <c r="F40" s="67"/>
    </row>
    <row r="41" spans="1:6" x14ac:dyDescent="0.25">
      <c r="A41" s="59"/>
      <c r="B41" s="60" t="s">
        <v>82</v>
      </c>
      <c r="C41" s="57" t="s">
        <v>81</v>
      </c>
      <c r="D41" s="64"/>
      <c r="E41" s="57"/>
      <c r="F41" s="66" t="e">
        <f>F39</f>
        <v>#DIV/0!</v>
      </c>
    </row>
    <row r="42" spans="1:6" x14ac:dyDescent="0.25">
      <c r="A42" s="59"/>
      <c r="B42" s="65" t="s">
        <v>80</v>
      </c>
      <c r="C42" s="59" t="s">
        <v>79</v>
      </c>
      <c r="D42" s="48"/>
      <c r="E42" s="62"/>
      <c r="F42" s="64">
        <f>'1.4 DIM COLETA RSU'!$D$23</f>
        <v>1311.7572</v>
      </c>
    </row>
    <row r="43" spans="1:6" x14ac:dyDescent="0.25">
      <c r="A43" s="59"/>
      <c r="B43" s="60" t="s">
        <v>78</v>
      </c>
      <c r="C43" s="59" t="s">
        <v>74</v>
      </c>
      <c r="D43" s="63"/>
      <c r="E43" s="62"/>
      <c r="F43" s="61" t="e">
        <f>ROUND(F41/F42,2)</f>
        <v>#DIV/0!</v>
      </c>
    </row>
    <row r="44" spans="1:6" x14ac:dyDescent="0.25">
      <c r="A44" s="59"/>
      <c r="B44" s="60" t="s">
        <v>77</v>
      </c>
      <c r="C44" s="59" t="s">
        <v>76</v>
      </c>
      <c r="D44" s="58">
        <f>'BDI '!$C$22</f>
        <v>5.2600000000000001E-2</v>
      </c>
      <c r="E44" s="57"/>
      <c r="F44" s="56" t="e">
        <f>ROUND(F43*D44,2)</f>
        <v>#DIV/0!</v>
      </c>
    </row>
    <row r="45" spans="1:6" x14ac:dyDescent="0.25">
      <c r="A45" s="54"/>
      <c r="B45" s="54" t="s">
        <v>75</v>
      </c>
      <c r="C45" s="55" t="s">
        <v>74</v>
      </c>
      <c r="D45" s="54"/>
      <c r="E45" s="54"/>
      <c r="F45" s="53" t="e">
        <f>SUM(F43:F44)</f>
        <v>#DIV/0!</v>
      </c>
    </row>
    <row r="47" spans="1:6" x14ac:dyDescent="0.25">
      <c r="A47" s="59"/>
      <c r="B47" s="60" t="s">
        <v>78</v>
      </c>
      <c r="C47" s="59" t="s">
        <v>74</v>
      </c>
      <c r="D47" s="63"/>
      <c r="E47" s="62"/>
      <c r="F47" s="61" t="e">
        <f>F43+F33</f>
        <v>#DIV/0!</v>
      </c>
    </row>
    <row r="48" spans="1:6" x14ac:dyDescent="0.25">
      <c r="A48" s="59"/>
      <c r="B48" s="60" t="s">
        <v>77</v>
      </c>
      <c r="C48" s="59" t="s">
        <v>76</v>
      </c>
      <c r="D48" s="58">
        <f>'BDI '!$C$22</f>
        <v>5.2600000000000001E-2</v>
      </c>
      <c r="E48" s="57"/>
      <c r="F48" s="56" t="e">
        <f>ROUND(F47*D48,2)</f>
        <v>#DIV/0!</v>
      </c>
    </row>
    <row r="49" spans="1:6" x14ac:dyDescent="0.25">
      <c r="A49" s="531"/>
      <c r="B49" s="531" t="s">
        <v>75</v>
      </c>
      <c r="C49" s="532" t="s">
        <v>74</v>
      </c>
      <c r="D49" s="531"/>
      <c r="E49" s="531"/>
      <c r="F49" s="533" t="e">
        <f>F45+F35</f>
        <v>#DIV/0!</v>
      </c>
    </row>
    <row r="52" spans="1:6" x14ac:dyDescent="0.25">
      <c r="F52" s="573"/>
    </row>
  </sheetData>
  <mergeCells count="2">
    <mergeCell ref="A4:F4"/>
    <mergeCell ref="A2:F2"/>
  </mergeCells>
  <phoneticPr fontId="10" type="noConversion"/>
  <printOptions horizontalCentered="1"/>
  <pageMargins left="0.98425196850393704" right="0.59055118110236215" top="1.1811023622047243" bottom="0.59055118110236215" header="0.11811023622047244" footer="0.51181102362204722"/>
  <pageSetup paperSize="9" scale="71" firstPageNumber="0" fitToHeight="0" orientation="portrait" r:id="rId1"/>
  <headerFooter alignWithMargins="0">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B1:F276"/>
  <sheetViews>
    <sheetView view="pageLayout" zoomScaleNormal="100" zoomScaleSheetLayoutView="85" workbookViewId="0">
      <selection activeCell="H14" sqref="H14"/>
    </sheetView>
  </sheetViews>
  <sheetFormatPr defaultRowHeight="15" x14ac:dyDescent="0.25"/>
  <cols>
    <col min="1" max="1" width="7.28515625" customWidth="1"/>
    <col min="2" max="2" width="12" customWidth="1"/>
    <col min="3" max="3" width="52.28515625" customWidth="1"/>
    <col min="4" max="6" width="18.140625" customWidth="1"/>
    <col min="7" max="7" width="7.28515625" customWidth="1"/>
  </cols>
  <sheetData>
    <row r="1" spans="2:6" ht="15.75" thickBot="1" x14ac:dyDescent="0.3"/>
    <row r="2" spans="2:6" ht="15.75" thickBot="1" x14ac:dyDescent="0.3">
      <c r="B2" s="633" t="s">
        <v>55</v>
      </c>
      <c r="C2" s="634"/>
      <c r="D2" s="634"/>
      <c r="E2" s="634"/>
      <c r="F2" s="635"/>
    </row>
    <row r="3" spans="2:6" x14ac:dyDescent="0.25">
      <c r="B3" s="1"/>
      <c r="C3" s="1"/>
      <c r="D3" s="1"/>
      <c r="E3" s="1"/>
      <c r="F3" s="1"/>
    </row>
    <row r="4" spans="2:6" x14ac:dyDescent="0.25">
      <c r="B4" s="1"/>
      <c r="C4" s="1"/>
      <c r="D4" s="1"/>
      <c r="E4" s="1"/>
      <c r="F4" s="1"/>
    </row>
    <row r="5" spans="2:6" x14ac:dyDescent="0.25">
      <c r="B5" s="2" t="s">
        <v>54</v>
      </c>
      <c r="C5" s="3" t="s">
        <v>53</v>
      </c>
      <c r="D5" s="636" t="s">
        <v>61</v>
      </c>
      <c r="E5" s="637"/>
      <c r="F5" s="638"/>
    </row>
    <row r="6" spans="2:6" x14ac:dyDescent="0.25">
      <c r="B6" s="4"/>
      <c r="C6" s="5"/>
      <c r="D6" s="639"/>
      <c r="E6" s="640"/>
      <c r="F6" s="641"/>
    </row>
    <row r="7" spans="2:6" x14ac:dyDescent="0.25">
      <c r="B7" s="6" t="s">
        <v>52</v>
      </c>
      <c r="C7" s="7" t="s">
        <v>51</v>
      </c>
      <c r="D7" s="8" t="s">
        <v>50</v>
      </c>
      <c r="E7" s="8" t="s">
        <v>49</v>
      </c>
      <c r="F7" s="8" t="s">
        <v>48</v>
      </c>
    </row>
    <row r="8" spans="2:6" x14ac:dyDescent="0.25">
      <c r="B8" s="6" t="s">
        <v>47</v>
      </c>
      <c r="C8" s="7" t="s">
        <v>46</v>
      </c>
      <c r="D8" s="8"/>
      <c r="E8" s="8"/>
      <c r="F8" s="8"/>
    </row>
    <row r="9" spans="2:6" x14ac:dyDescent="0.25">
      <c r="B9" s="9" t="s">
        <v>45</v>
      </c>
      <c r="C9" s="10" t="s">
        <v>44</v>
      </c>
      <c r="D9" s="11">
        <f>'1.1 SALÁRIOS'!F25</f>
        <v>0</v>
      </c>
      <c r="E9" s="11">
        <v>1</v>
      </c>
      <c r="F9" s="11">
        <f>E9*D9</f>
        <v>0</v>
      </c>
    </row>
    <row r="10" spans="2:6" x14ac:dyDescent="0.25">
      <c r="B10" s="9" t="s">
        <v>43</v>
      </c>
      <c r="C10" s="10" t="s">
        <v>42</v>
      </c>
      <c r="D10" s="11">
        <f>'1.1 SALÁRIOS'!$F$24</f>
        <v>0</v>
      </c>
      <c r="E10" s="14">
        <v>0.2</v>
      </c>
      <c r="F10" s="11">
        <f>E10*D10</f>
        <v>0</v>
      </c>
    </row>
    <row r="11" spans="2:6" x14ac:dyDescent="0.25">
      <c r="B11" s="9" t="s">
        <v>41</v>
      </c>
      <c r="C11" s="10" t="s">
        <v>40</v>
      </c>
      <c r="D11" s="11"/>
      <c r="E11" s="11"/>
      <c r="F11" s="11"/>
    </row>
    <row r="12" spans="2:6" x14ac:dyDescent="0.25">
      <c r="B12" s="9" t="s">
        <v>39</v>
      </c>
      <c r="C12" s="10" t="s">
        <v>38</v>
      </c>
      <c r="D12" s="11"/>
      <c r="E12" s="11"/>
      <c r="F12" s="11"/>
    </row>
    <row r="13" spans="2:6" x14ac:dyDescent="0.25">
      <c r="B13" s="9" t="s">
        <v>37</v>
      </c>
      <c r="C13" s="10" t="s">
        <v>36</v>
      </c>
      <c r="D13" s="11"/>
      <c r="E13" s="11"/>
      <c r="F13" s="11"/>
    </row>
    <row r="14" spans="2:6" x14ac:dyDescent="0.25">
      <c r="B14" s="9" t="s">
        <v>35</v>
      </c>
      <c r="C14" s="10" t="s">
        <v>34</v>
      </c>
      <c r="D14" s="11"/>
      <c r="E14" s="11"/>
      <c r="F14" s="11"/>
    </row>
    <row r="15" spans="2:6" x14ac:dyDescent="0.25">
      <c r="B15" s="9" t="s">
        <v>33</v>
      </c>
      <c r="C15" s="7" t="s">
        <v>32</v>
      </c>
      <c r="D15" s="11"/>
      <c r="E15" s="11"/>
      <c r="F15" s="12">
        <f>SUM(F9:F14)</f>
        <v>0</v>
      </c>
    </row>
    <row r="16" spans="2:6" x14ac:dyDescent="0.25">
      <c r="B16" s="6" t="s">
        <v>31</v>
      </c>
      <c r="C16" s="13" t="s">
        <v>30</v>
      </c>
      <c r="D16" s="11">
        <f>F15</f>
        <v>0</v>
      </c>
      <c r="E16" s="14">
        <f>'1.1 SALÁRIOS'!$F$33</f>
        <v>0</v>
      </c>
      <c r="F16" s="11">
        <f>E16*D16</f>
        <v>0</v>
      </c>
    </row>
    <row r="17" spans="2:6" x14ac:dyDescent="0.25">
      <c r="B17" s="6" t="s">
        <v>29</v>
      </c>
      <c r="C17" s="13" t="s">
        <v>28</v>
      </c>
      <c r="D17" s="11"/>
      <c r="E17" s="11"/>
      <c r="F17" s="12">
        <f>SUM(F15:F16)</f>
        <v>0</v>
      </c>
    </row>
    <row r="18" spans="2:6" x14ac:dyDescent="0.25">
      <c r="B18" s="6" t="s">
        <v>27</v>
      </c>
      <c r="C18" s="13" t="s">
        <v>26</v>
      </c>
      <c r="D18" s="11"/>
      <c r="E18" s="11"/>
      <c r="F18" s="11"/>
    </row>
    <row r="19" spans="2:6" x14ac:dyDescent="0.25">
      <c r="B19" s="9" t="s">
        <v>25</v>
      </c>
      <c r="C19" s="15" t="s">
        <v>24</v>
      </c>
      <c r="D19" s="11"/>
      <c r="E19" s="11">
        <v>26.08</v>
      </c>
      <c r="F19" s="11">
        <f t="shared" ref="F19:F24" si="0">E19*D19</f>
        <v>0</v>
      </c>
    </row>
    <row r="20" spans="2:6" x14ac:dyDescent="0.25">
      <c r="B20" s="9" t="s">
        <v>23</v>
      </c>
      <c r="C20" s="15" t="s">
        <v>369</v>
      </c>
      <c r="D20" s="11">
        <f>('1.1 SALÁRIOS'!$F$36+'1.1 SALÁRIOS'!$F$37)/12</f>
        <v>0</v>
      </c>
      <c r="E20" s="11">
        <v>1</v>
      </c>
      <c r="F20" s="11">
        <f t="shared" si="0"/>
        <v>0</v>
      </c>
    </row>
    <row r="21" spans="2:6" x14ac:dyDescent="0.25">
      <c r="B21" s="9" t="s">
        <v>22</v>
      </c>
      <c r="C21" s="15" t="s">
        <v>370</v>
      </c>
      <c r="D21" s="11">
        <f>'1.1 SALÁRIOS'!$F$38</f>
        <v>0</v>
      </c>
      <c r="E21" s="11">
        <f>E19</f>
        <v>26.08</v>
      </c>
      <c r="F21" s="11">
        <f t="shared" si="0"/>
        <v>0</v>
      </c>
    </row>
    <row r="22" spans="2:6" x14ac:dyDescent="0.25">
      <c r="B22" s="9" t="s">
        <v>21</v>
      </c>
      <c r="C22" s="15" t="s">
        <v>371</v>
      </c>
      <c r="D22" s="11">
        <f>'1.1 SALÁRIOS'!$F$39</f>
        <v>0</v>
      </c>
      <c r="E22" s="11">
        <v>1</v>
      </c>
      <c r="F22" s="11">
        <f t="shared" si="0"/>
        <v>0</v>
      </c>
    </row>
    <row r="23" spans="2:6" x14ac:dyDescent="0.25">
      <c r="B23" s="9" t="s">
        <v>374</v>
      </c>
      <c r="C23" s="15" t="s">
        <v>372</v>
      </c>
      <c r="D23" s="11">
        <f>'1.1 SALÁRIOS'!$F$40</f>
        <v>0</v>
      </c>
      <c r="E23" s="11">
        <v>1</v>
      </c>
      <c r="F23" s="11">
        <f t="shared" si="0"/>
        <v>0</v>
      </c>
    </row>
    <row r="24" spans="2:6" x14ac:dyDescent="0.25">
      <c r="B24" s="9" t="s">
        <v>375</v>
      </c>
      <c r="C24" s="15" t="s">
        <v>373</v>
      </c>
      <c r="D24" s="11">
        <f>'1.1 SALÁRIOS'!$F$41</f>
        <v>0</v>
      </c>
      <c r="E24" s="11">
        <v>1</v>
      </c>
      <c r="F24" s="11">
        <f t="shared" si="0"/>
        <v>0</v>
      </c>
    </row>
    <row r="25" spans="2:6" x14ac:dyDescent="0.25">
      <c r="B25" s="9"/>
      <c r="C25" s="13" t="s">
        <v>20</v>
      </c>
      <c r="D25" s="12"/>
      <c r="E25" s="12"/>
      <c r="F25" s="12">
        <f>SUM(F19:F24)</f>
        <v>0</v>
      </c>
    </row>
    <row r="26" spans="2:6" x14ac:dyDescent="0.25">
      <c r="B26" s="6" t="s">
        <v>19</v>
      </c>
      <c r="C26" s="13" t="s">
        <v>18</v>
      </c>
      <c r="D26" s="11"/>
      <c r="E26" s="11"/>
      <c r="F26" s="11"/>
    </row>
    <row r="27" spans="2:6" x14ac:dyDescent="0.25">
      <c r="B27" s="9" t="s">
        <v>17</v>
      </c>
      <c r="C27" s="15" t="s">
        <v>16</v>
      </c>
      <c r="D27" s="16" t="e">
        <f>VLOOKUP(C27,'1.1 CUSTO FERRAME-UNIFORME-EPI'!B:C,2,FALSE)</f>
        <v>#DIV/0!</v>
      </c>
      <c r="E27" s="17">
        <v>0.17</v>
      </c>
      <c r="F27" s="11" t="e">
        <f>E27*D27</f>
        <v>#DIV/0!</v>
      </c>
    </row>
    <row r="28" spans="2:6" x14ac:dyDescent="0.25">
      <c r="B28" s="9" t="s">
        <v>15</v>
      </c>
      <c r="C28" s="15" t="s">
        <v>14</v>
      </c>
      <c r="D28" s="16" t="e">
        <f>VLOOKUP(C28,'1.1 CUSTO FERRAME-UNIFORME-EPI'!B:C,2,FALSE)</f>
        <v>#DIV/0!</v>
      </c>
      <c r="E28" s="17">
        <v>0.33</v>
      </c>
      <c r="F28" s="11" t="e">
        <f>E28*D28</f>
        <v>#DIV/0!</v>
      </c>
    </row>
    <row r="29" spans="2:6" x14ac:dyDescent="0.25">
      <c r="B29" s="9" t="s">
        <v>13</v>
      </c>
      <c r="C29" s="15" t="s">
        <v>12</v>
      </c>
      <c r="D29" s="16" t="e">
        <f>VLOOKUP(C29,'1.1 CUSTO FERRAME-UNIFORME-EPI'!B:C,2,FALSE)</f>
        <v>#DIV/0!</v>
      </c>
      <c r="E29" s="17">
        <v>0.33</v>
      </c>
      <c r="F29" s="11" t="e">
        <f>E29*D29</f>
        <v>#DIV/0!</v>
      </c>
    </row>
    <row r="30" spans="2:6" x14ac:dyDescent="0.25">
      <c r="B30" s="9" t="s">
        <v>11</v>
      </c>
      <c r="C30" s="15" t="s">
        <v>10</v>
      </c>
      <c r="D30" s="16">
        <f>VLOOKUP(C30,'1.1 CUSTO FERRAME-UNIFORME-EPI'!B:C,2,FALSE)</f>
        <v>0</v>
      </c>
      <c r="E30" s="17">
        <v>0.17</v>
      </c>
      <c r="F30" s="11">
        <f>E30*D30</f>
        <v>0</v>
      </c>
    </row>
    <row r="31" spans="2:6" x14ac:dyDescent="0.25">
      <c r="B31" s="9"/>
      <c r="C31" s="13" t="s">
        <v>2</v>
      </c>
      <c r="D31" s="20"/>
      <c r="E31" s="20"/>
      <c r="F31" s="21" t="e">
        <f>SUM(F27:F30)</f>
        <v>#DIV/0!</v>
      </c>
    </row>
    <row r="32" spans="2:6" x14ac:dyDescent="0.25">
      <c r="B32" s="9"/>
      <c r="C32" s="22"/>
      <c r="D32" s="20"/>
      <c r="E32" s="20"/>
      <c r="F32" s="21"/>
    </row>
    <row r="33" spans="2:6" x14ac:dyDescent="0.25">
      <c r="B33" s="23" t="s">
        <v>1</v>
      </c>
      <c r="C33" s="24" t="s">
        <v>0</v>
      </c>
      <c r="D33" s="25"/>
      <c r="E33" s="25"/>
      <c r="F33" s="26" t="e">
        <f>SUM(F17,F25,F31)</f>
        <v>#DIV/0!</v>
      </c>
    </row>
    <row r="34" spans="2:6" x14ac:dyDescent="0.25">
      <c r="B34" s="1"/>
      <c r="C34" s="1"/>
      <c r="D34" s="1"/>
      <c r="E34" s="1"/>
      <c r="F34" s="1"/>
    </row>
    <row r="35" spans="2:6" x14ac:dyDescent="0.25">
      <c r="B35" s="1"/>
      <c r="C35" s="1"/>
      <c r="D35" s="1"/>
      <c r="E35" s="1"/>
      <c r="F35" s="1"/>
    </row>
    <row r="36" spans="2:6" x14ac:dyDescent="0.25">
      <c r="B36" s="2" t="s">
        <v>54</v>
      </c>
      <c r="C36" s="3" t="s">
        <v>53</v>
      </c>
      <c r="D36" s="636" t="s">
        <v>62</v>
      </c>
      <c r="E36" s="637"/>
      <c r="F36" s="638"/>
    </row>
    <row r="37" spans="2:6" x14ac:dyDescent="0.25">
      <c r="B37" s="4"/>
      <c r="C37" s="5"/>
      <c r="D37" s="639"/>
      <c r="E37" s="640"/>
      <c r="F37" s="641"/>
    </row>
    <row r="38" spans="2:6" x14ac:dyDescent="0.25">
      <c r="B38" s="6" t="s">
        <v>52</v>
      </c>
      <c r="C38" s="7" t="s">
        <v>51</v>
      </c>
      <c r="D38" s="8" t="s">
        <v>50</v>
      </c>
      <c r="E38" s="8" t="s">
        <v>49</v>
      </c>
      <c r="F38" s="8" t="s">
        <v>48</v>
      </c>
    </row>
    <row r="39" spans="2:6" x14ac:dyDescent="0.25">
      <c r="B39" s="6" t="s">
        <v>47</v>
      </c>
      <c r="C39" s="7" t="s">
        <v>46</v>
      </c>
      <c r="D39" s="8"/>
      <c r="E39" s="8"/>
      <c r="F39" s="8"/>
    </row>
    <row r="40" spans="2:6" x14ac:dyDescent="0.25">
      <c r="B40" s="9" t="s">
        <v>45</v>
      </c>
      <c r="C40" s="10" t="s">
        <v>44</v>
      </c>
      <c r="D40" s="11">
        <f>'1.1 SALÁRIOS'!F25</f>
        <v>0</v>
      </c>
      <c r="E40" s="11">
        <v>1</v>
      </c>
      <c r="F40" s="11">
        <f>E40*D40</f>
        <v>0</v>
      </c>
    </row>
    <row r="41" spans="2:6" x14ac:dyDescent="0.25">
      <c r="B41" s="9" t="s">
        <v>43</v>
      </c>
      <c r="C41" s="10" t="s">
        <v>42</v>
      </c>
      <c r="D41" s="11">
        <f>'1.1 SALÁRIOS'!$F$24</f>
        <v>0</v>
      </c>
      <c r="E41" s="34">
        <v>0.2</v>
      </c>
      <c r="F41" s="11">
        <f>E41*D41</f>
        <v>0</v>
      </c>
    </row>
    <row r="42" spans="2:6" x14ac:dyDescent="0.25">
      <c r="B42" s="9" t="s">
        <v>41</v>
      </c>
      <c r="C42" s="10" t="s">
        <v>40</v>
      </c>
      <c r="D42" s="322">
        <f>F40+F41</f>
        <v>0</v>
      </c>
      <c r="E42" s="34">
        <v>0.2</v>
      </c>
      <c r="F42" s="11">
        <f>E42*D42</f>
        <v>0</v>
      </c>
    </row>
    <row r="43" spans="2:6" x14ac:dyDescent="0.25">
      <c r="B43" s="9" t="s">
        <v>39</v>
      </c>
      <c r="C43" s="10" t="s">
        <v>38</v>
      </c>
      <c r="D43" s="11"/>
      <c r="E43" s="11"/>
      <c r="F43" s="11"/>
    </row>
    <row r="44" spans="2:6" x14ac:dyDescent="0.25">
      <c r="B44" s="9" t="s">
        <v>37</v>
      </c>
      <c r="C44" s="10" t="s">
        <v>36</v>
      </c>
      <c r="D44" s="11"/>
      <c r="E44" s="11"/>
      <c r="F44" s="11"/>
    </row>
    <row r="45" spans="2:6" x14ac:dyDescent="0.25">
      <c r="B45" s="9" t="s">
        <v>35</v>
      </c>
      <c r="C45" s="10" t="s">
        <v>34</v>
      </c>
      <c r="D45" s="11"/>
      <c r="E45" s="11"/>
      <c r="F45" s="11"/>
    </row>
    <row r="46" spans="2:6" x14ac:dyDescent="0.25">
      <c r="B46" s="9" t="s">
        <v>33</v>
      </c>
      <c r="C46" s="7" t="s">
        <v>32</v>
      </c>
      <c r="D46" s="11"/>
      <c r="E46" s="11"/>
      <c r="F46" s="12">
        <f>SUM(F40:F45)</f>
        <v>0</v>
      </c>
    </row>
    <row r="47" spans="2:6" x14ac:dyDescent="0.25">
      <c r="B47" s="6" t="s">
        <v>31</v>
      </c>
      <c r="C47" s="13" t="s">
        <v>30</v>
      </c>
      <c r="D47" s="11">
        <f>F46</f>
        <v>0</v>
      </c>
      <c r="E47" s="14">
        <f>'1.1 SALÁRIOS'!$F$33</f>
        <v>0</v>
      </c>
      <c r="F47" s="11">
        <f>E47*D47</f>
        <v>0</v>
      </c>
    </row>
    <row r="48" spans="2:6" x14ac:dyDescent="0.25">
      <c r="B48" s="6" t="s">
        <v>29</v>
      </c>
      <c r="C48" s="13" t="s">
        <v>28</v>
      </c>
      <c r="D48" s="11"/>
      <c r="E48" s="11"/>
      <c r="F48" s="12">
        <f>SUM(F46:F47)</f>
        <v>0</v>
      </c>
    </row>
    <row r="49" spans="2:6" x14ac:dyDescent="0.25">
      <c r="B49" s="6" t="s">
        <v>27</v>
      </c>
      <c r="C49" s="13" t="s">
        <v>26</v>
      </c>
      <c r="D49" s="11"/>
      <c r="E49" s="11"/>
      <c r="F49" s="11"/>
    </row>
    <row r="50" spans="2:6" x14ac:dyDescent="0.25">
      <c r="B50" s="9" t="s">
        <v>25</v>
      </c>
      <c r="C50" s="15" t="s">
        <v>24</v>
      </c>
      <c r="D50" s="11"/>
      <c r="E50" s="11">
        <v>26.08</v>
      </c>
      <c r="F50" s="11">
        <f t="shared" ref="F50:F55" si="1">E50*D50</f>
        <v>0</v>
      </c>
    </row>
    <row r="51" spans="2:6" x14ac:dyDescent="0.25">
      <c r="B51" s="9" t="s">
        <v>23</v>
      </c>
      <c r="C51" s="15" t="s">
        <v>369</v>
      </c>
      <c r="D51" s="11">
        <f>('1.1 SALÁRIOS'!$F$36+'1.1 SALÁRIOS'!$F$37)/12</f>
        <v>0</v>
      </c>
      <c r="E51" s="11">
        <v>1</v>
      </c>
      <c r="F51" s="11">
        <f t="shared" si="1"/>
        <v>0</v>
      </c>
    </row>
    <row r="52" spans="2:6" x14ac:dyDescent="0.25">
      <c r="B52" s="9" t="s">
        <v>22</v>
      </c>
      <c r="C52" s="15" t="s">
        <v>370</v>
      </c>
      <c r="D52" s="11">
        <f>'1.1 SALÁRIOS'!$F$38</f>
        <v>0</v>
      </c>
      <c r="E52" s="11">
        <f>E50</f>
        <v>26.08</v>
      </c>
      <c r="F52" s="11">
        <f t="shared" si="1"/>
        <v>0</v>
      </c>
    </row>
    <row r="53" spans="2:6" x14ac:dyDescent="0.25">
      <c r="B53" s="9" t="s">
        <v>21</v>
      </c>
      <c r="C53" s="15" t="s">
        <v>371</v>
      </c>
      <c r="D53" s="11">
        <f>'1.1 SALÁRIOS'!$F$39</f>
        <v>0</v>
      </c>
      <c r="E53" s="11">
        <v>1</v>
      </c>
      <c r="F53" s="11">
        <f t="shared" si="1"/>
        <v>0</v>
      </c>
    </row>
    <row r="54" spans="2:6" x14ac:dyDescent="0.25">
      <c r="B54" s="9" t="s">
        <v>374</v>
      </c>
      <c r="C54" s="15" t="s">
        <v>372</v>
      </c>
      <c r="D54" s="11">
        <f>'1.1 SALÁRIOS'!$F$40</f>
        <v>0</v>
      </c>
      <c r="E54" s="11">
        <v>1</v>
      </c>
      <c r="F54" s="11">
        <f t="shared" si="1"/>
        <v>0</v>
      </c>
    </row>
    <row r="55" spans="2:6" x14ac:dyDescent="0.25">
      <c r="B55" s="9" t="s">
        <v>375</v>
      </c>
      <c r="C55" s="15" t="s">
        <v>373</v>
      </c>
      <c r="D55" s="11">
        <f>'1.1 SALÁRIOS'!$F$41</f>
        <v>0</v>
      </c>
      <c r="E55" s="11">
        <v>1</v>
      </c>
      <c r="F55" s="11">
        <f t="shared" si="1"/>
        <v>0</v>
      </c>
    </row>
    <row r="56" spans="2:6" x14ac:dyDescent="0.25">
      <c r="B56" s="9"/>
      <c r="C56" s="13" t="s">
        <v>20</v>
      </c>
      <c r="D56" s="12"/>
      <c r="E56" s="12"/>
      <c r="F56" s="12">
        <f>SUM(F50:F55)</f>
        <v>0</v>
      </c>
    </row>
    <row r="57" spans="2:6" x14ac:dyDescent="0.25">
      <c r="B57" s="6" t="s">
        <v>19</v>
      </c>
      <c r="C57" s="13" t="s">
        <v>18</v>
      </c>
      <c r="D57" s="11"/>
      <c r="E57" s="11"/>
      <c r="F57" s="11"/>
    </row>
    <row r="58" spans="2:6" x14ac:dyDescent="0.25">
      <c r="B58" s="9" t="s">
        <v>17</v>
      </c>
      <c r="C58" s="15" t="s">
        <v>16</v>
      </c>
      <c r="D58" s="16" t="e">
        <f>VLOOKUP(C58,'1.1 CUSTO FERRAME-UNIFORME-EPI'!B:C,2,FALSE)</f>
        <v>#DIV/0!</v>
      </c>
      <c r="E58" s="17">
        <v>0.17</v>
      </c>
      <c r="F58" s="11" t="e">
        <f>E58*D58</f>
        <v>#DIV/0!</v>
      </c>
    </row>
    <row r="59" spans="2:6" x14ac:dyDescent="0.25">
      <c r="B59" s="9" t="s">
        <v>15</v>
      </c>
      <c r="C59" s="15" t="s">
        <v>14</v>
      </c>
      <c r="D59" s="16" t="e">
        <f>VLOOKUP(C59,'1.1 CUSTO FERRAME-UNIFORME-EPI'!B:C,2,FALSE)</f>
        <v>#DIV/0!</v>
      </c>
      <c r="E59" s="17">
        <v>0.33</v>
      </c>
      <c r="F59" s="11" t="e">
        <f>E59*D59</f>
        <v>#DIV/0!</v>
      </c>
    </row>
    <row r="60" spans="2:6" x14ac:dyDescent="0.25">
      <c r="B60" s="9" t="s">
        <v>13</v>
      </c>
      <c r="C60" s="15" t="s">
        <v>12</v>
      </c>
      <c r="D60" s="16" t="e">
        <f>VLOOKUP(C60,'1.1 CUSTO FERRAME-UNIFORME-EPI'!B:C,2,FALSE)</f>
        <v>#DIV/0!</v>
      </c>
      <c r="E60" s="17">
        <v>0.33</v>
      </c>
      <c r="F60" s="11" t="e">
        <f>E60*D60</f>
        <v>#DIV/0!</v>
      </c>
    </row>
    <row r="61" spans="2:6" x14ac:dyDescent="0.25">
      <c r="B61" s="9" t="s">
        <v>11</v>
      </c>
      <c r="C61" s="15" t="s">
        <v>10</v>
      </c>
      <c r="D61" s="16">
        <f>VLOOKUP(C61,'1.1 CUSTO FERRAME-UNIFORME-EPI'!B:C,2,FALSE)</f>
        <v>0</v>
      </c>
      <c r="E61" s="17">
        <v>0.17</v>
      </c>
      <c r="F61" s="11">
        <f>E61*D61</f>
        <v>0</v>
      </c>
    </row>
    <row r="62" spans="2:6" x14ac:dyDescent="0.25">
      <c r="B62" s="9"/>
      <c r="C62" s="13" t="s">
        <v>2</v>
      </c>
      <c r="D62" s="20"/>
      <c r="E62" s="20"/>
      <c r="F62" s="21" t="e">
        <f>SUM(F58:F61)</f>
        <v>#DIV/0!</v>
      </c>
    </row>
    <row r="63" spans="2:6" x14ac:dyDescent="0.25">
      <c r="B63" s="9"/>
      <c r="C63" s="22"/>
      <c r="D63" s="20"/>
      <c r="E63" s="20"/>
      <c r="F63" s="21"/>
    </row>
    <row r="64" spans="2:6" x14ac:dyDescent="0.25">
      <c r="B64" s="23" t="s">
        <v>1</v>
      </c>
      <c r="C64" s="24" t="s">
        <v>0</v>
      </c>
      <c r="D64" s="25"/>
      <c r="E64" s="25"/>
      <c r="F64" s="26" t="e">
        <f>SUM(F48,F56,F62)</f>
        <v>#DIV/0!</v>
      </c>
    </row>
    <row r="65" spans="2:6" x14ac:dyDescent="0.25">
      <c r="B65" s="1"/>
      <c r="C65" s="1"/>
      <c r="D65" s="1"/>
      <c r="E65" s="1"/>
      <c r="F65" s="1"/>
    </row>
    <row r="66" spans="2:6" x14ac:dyDescent="0.25">
      <c r="B66" s="1"/>
      <c r="C66" s="1"/>
      <c r="D66" s="1"/>
      <c r="E66" s="1"/>
      <c r="F66" s="1"/>
    </row>
    <row r="67" spans="2:6" x14ac:dyDescent="0.25">
      <c r="B67" s="27" t="s">
        <v>54</v>
      </c>
      <c r="C67" s="27" t="s">
        <v>53</v>
      </c>
      <c r="D67" s="630" t="s">
        <v>378</v>
      </c>
      <c r="E67" s="631"/>
      <c r="F67" s="632"/>
    </row>
    <row r="68" spans="2:6" x14ac:dyDescent="0.25">
      <c r="B68" s="28"/>
      <c r="C68" s="28"/>
      <c r="D68" s="629"/>
      <c r="E68" s="629"/>
      <c r="F68" s="629"/>
    </row>
    <row r="69" spans="2:6" x14ac:dyDescent="0.25">
      <c r="B69" s="29" t="s">
        <v>52</v>
      </c>
      <c r="C69" s="30" t="s">
        <v>51</v>
      </c>
      <c r="D69" s="8" t="s">
        <v>50</v>
      </c>
      <c r="E69" s="8" t="s">
        <v>49</v>
      </c>
      <c r="F69" s="8" t="s">
        <v>48</v>
      </c>
    </row>
    <row r="70" spans="2:6" x14ac:dyDescent="0.25">
      <c r="B70" s="29" t="s">
        <v>47</v>
      </c>
      <c r="C70" s="30" t="s">
        <v>46</v>
      </c>
      <c r="D70" s="8"/>
      <c r="E70" s="8"/>
      <c r="F70" s="8"/>
    </row>
    <row r="71" spans="2:6" x14ac:dyDescent="0.25">
      <c r="B71" s="31" t="s">
        <v>45</v>
      </c>
      <c r="C71" s="32" t="s">
        <v>44</v>
      </c>
      <c r="D71" s="33">
        <f>'1.1 SALÁRIOS'!$F$26</f>
        <v>0</v>
      </c>
      <c r="E71" s="11">
        <v>1</v>
      </c>
      <c r="F71" s="11">
        <f>E71*D71</f>
        <v>0</v>
      </c>
    </row>
    <row r="72" spans="2:6" x14ac:dyDescent="0.25">
      <c r="B72" s="31" t="s">
        <v>43</v>
      </c>
      <c r="C72" s="32" t="s">
        <v>42</v>
      </c>
      <c r="D72" s="11">
        <f>'1.1 SALÁRIOS'!$F$23</f>
        <v>0</v>
      </c>
      <c r="E72" s="34">
        <v>0.4</v>
      </c>
      <c r="F72" s="11">
        <f>E72*D72</f>
        <v>0</v>
      </c>
    </row>
    <row r="73" spans="2:6" x14ac:dyDescent="0.25">
      <c r="B73" s="31" t="s">
        <v>41</v>
      </c>
      <c r="C73" s="32" t="s">
        <v>56</v>
      </c>
      <c r="D73" s="11"/>
      <c r="E73" s="11"/>
      <c r="F73" s="11"/>
    </row>
    <row r="74" spans="2:6" x14ac:dyDescent="0.25">
      <c r="B74" s="31" t="s">
        <v>39</v>
      </c>
      <c r="C74" s="32" t="s">
        <v>38</v>
      </c>
      <c r="D74" s="11"/>
      <c r="E74" s="11"/>
      <c r="F74" s="11"/>
    </row>
    <row r="75" spans="2:6" x14ac:dyDescent="0.25">
      <c r="B75" s="31" t="s">
        <v>37</v>
      </c>
      <c r="C75" s="32" t="s">
        <v>36</v>
      </c>
      <c r="D75" s="11"/>
      <c r="E75" s="11"/>
      <c r="F75" s="11"/>
    </row>
    <row r="76" spans="2:6" x14ac:dyDescent="0.25">
      <c r="B76" s="31" t="s">
        <v>35</v>
      </c>
      <c r="C76" s="32" t="s">
        <v>34</v>
      </c>
      <c r="D76" s="11"/>
      <c r="E76" s="11"/>
      <c r="F76" s="11"/>
    </row>
    <row r="77" spans="2:6" x14ac:dyDescent="0.25">
      <c r="B77" s="31" t="s">
        <v>33</v>
      </c>
      <c r="C77" s="30" t="s">
        <v>32</v>
      </c>
      <c r="D77" s="11"/>
      <c r="E77" s="11"/>
      <c r="F77" s="12">
        <f>SUM(F71:F76)</f>
        <v>0</v>
      </c>
    </row>
    <row r="78" spans="2:6" x14ac:dyDescent="0.25">
      <c r="B78" s="29" t="s">
        <v>31</v>
      </c>
      <c r="C78" s="35" t="s">
        <v>30</v>
      </c>
      <c r="D78" s="11">
        <f>F77</f>
        <v>0</v>
      </c>
      <c r="E78" s="14">
        <f>'1.1 SALÁRIOS'!$F$33</f>
        <v>0</v>
      </c>
      <c r="F78" s="12">
        <f>E78*D78</f>
        <v>0</v>
      </c>
    </row>
    <row r="79" spans="2:6" x14ac:dyDescent="0.25">
      <c r="B79" s="29" t="s">
        <v>29</v>
      </c>
      <c r="C79" s="35" t="s">
        <v>28</v>
      </c>
      <c r="D79" s="11"/>
      <c r="E79" s="11"/>
      <c r="F79" s="12">
        <f>SUM(F77:F78)</f>
        <v>0</v>
      </c>
    </row>
    <row r="80" spans="2:6" x14ac:dyDescent="0.25">
      <c r="B80" s="29" t="s">
        <v>27</v>
      </c>
      <c r="C80" s="35" t="s">
        <v>26</v>
      </c>
      <c r="D80" s="11"/>
      <c r="E80" s="11"/>
      <c r="F80" s="11"/>
    </row>
    <row r="81" spans="2:6" x14ac:dyDescent="0.25">
      <c r="B81" s="9" t="s">
        <v>25</v>
      </c>
      <c r="C81" s="15" t="s">
        <v>24</v>
      </c>
      <c r="D81" s="11">
        <f>'1.1 SALÁRIOS'!$F$35</f>
        <v>0</v>
      </c>
      <c r="E81" s="11">
        <v>26.08</v>
      </c>
      <c r="F81" s="11">
        <f>IF(2*E81*D81-0.06*D71&lt;0,0,2*E81*D81-0.06*D71)</f>
        <v>0</v>
      </c>
    </row>
    <row r="82" spans="2:6" x14ac:dyDescent="0.25">
      <c r="B82" s="9" t="s">
        <v>23</v>
      </c>
      <c r="C82" s="15" t="s">
        <v>369</v>
      </c>
      <c r="D82" s="11">
        <f>('1.1 SALÁRIOS'!$F$36+'1.1 SALÁRIOS'!$F$37)/12</f>
        <v>0</v>
      </c>
      <c r="E82" s="11">
        <v>1</v>
      </c>
      <c r="F82" s="11">
        <f>E82*D82</f>
        <v>0</v>
      </c>
    </row>
    <row r="83" spans="2:6" x14ac:dyDescent="0.25">
      <c r="B83" s="9" t="s">
        <v>22</v>
      </c>
      <c r="C83" s="15" t="s">
        <v>370</v>
      </c>
      <c r="D83" s="11">
        <f>'1.1 SALÁRIOS'!$F$38</f>
        <v>0</v>
      </c>
      <c r="E83" s="11">
        <f>E81</f>
        <v>26.08</v>
      </c>
      <c r="F83" s="11">
        <f>E83*D83</f>
        <v>0</v>
      </c>
    </row>
    <row r="84" spans="2:6" x14ac:dyDescent="0.25">
      <c r="B84" s="9" t="s">
        <v>21</v>
      </c>
      <c r="C84" s="15" t="s">
        <v>371</v>
      </c>
      <c r="D84" s="11">
        <f>'1.1 SALÁRIOS'!$F$39</f>
        <v>0</v>
      </c>
      <c r="E84" s="11">
        <v>1</v>
      </c>
      <c r="F84" s="11">
        <f>E84*D84</f>
        <v>0</v>
      </c>
    </row>
    <row r="85" spans="2:6" x14ac:dyDescent="0.25">
      <c r="B85" s="9" t="s">
        <v>374</v>
      </c>
      <c r="C85" s="15" t="s">
        <v>372</v>
      </c>
      <c r="D85" s="11">
        <f>'1.1 SALÁRIOS'!$F$40</f>
        <v>0</v>
      </c>
      <c r="E85" s="11">
        <v>1</v>
      </c>
      <c r="F85" s="11">
        <f>E85*D85</f>
        <v>0</v>
      </c>
    </row>
    <row r="86" spans="2:6" x14ac:dyDescent="0.25">
      <c r="B86" s="9" t="s">
        <v>375</v>
      </c>
      <c r="C86" s="15" t="s">
        <v>373</v>
      </c>
      <c r="D86" s="11">
        <f>'1.1 SALÁRIOS'!$F$41</f>
        <v>0</v>
      </c>
      <c r="E86" s="11">
        <v>1</v>
      </c>
      <c r="F86" s="11">
        <f>E86*D86</f>
        <v>0</v>
      </c>
    </row>
    <row r="87" spans="2:6" x14ac:dyDescent="0.25">
      <c r="B87" s="31" t="s">
        <v>57</v>
      </c>
      <c r="C87" s="35" t="s">
        <v>20</v>
      </c>
      <c r="D87" s="12"/>
      <c r="E87" s="12"/>
      <c r="F87" s="12">
        <f>SUM(F81:F86)</f>
        <v>0</v>
      </c>
    </row>
    <row r="88" spans="2:6" x14ac:dyDescent="0.25">
      <c r="B88" s="29" t="s">
        <v>19</v>
      </c>
      <c r="C88" s="35" t="s">
        <v>18</v>
      </c>
      <c r="D88" s="11"/>
      <c r="E88" s="11"/>
      <c r="F88" s="11"/>
    </row>
    <row r="89" spans="2:6" x14ac:dyDescent="0.25">
      <c r="B89" s="31" t="s">
        <v>17</v>
      </c>
      <c r="C89" s="36" t="str">
        <f>'1.1 CUSTO FERRAME-UNIFORME-EPI'!$B$18</f>
        <v>Boné de brim tipo árabe</v>
      </c>
      <c r="D89" s="11" t="e">
        <f>VLOOKUP(C89,'1.1 CUSTO FERRAME-UNIFORME-EPI'!B:C,2,FALSE)</f>
        <v>#DIV/0!</v>
      </c>
      <c r="E89" s="17">
        <v>0.17</v>
      </c>
      <c r="F89" s="11" t="e">
        <f t="shared" ref="F89:F96" si="2">E89*D89</f>
        <v>#DIV/0!</v>
      </c>
    </row>
    <row r="90" spans="2:6" x14ac:dyDescent="0.25">
      <c r="B90" s="31" t="s">
        <v>15</v>
      </c>
      <c r="C90" s="36" t="str">
        <f>'1.1 CUSTO FERRAME-UNIFORME-EPI'!$B$31</f>
        <v>Calça jeans</v>
      </c>
      <c r="D90" s="11" t="e">
        <f>VLOOKUP(C90,'1.1 CUSTO FERRAME-UNIFORME-EPI'!B:C,2,FALSE)</f>
        <v>#DIV/0!</v>
      </c>
      <c r="E90" s="17">
        <v>0.33</v>
      </c>
      <c r="F90" s="11" t="e">
        <f t="shared" si="2"/>
        <v>#DIV/0!</v>
      </c>
    </row>
    <row r="91" spans="2:6" x14ac:dyDescent="0.25">
      <c r="B91" s="31" t="s">
        <v>13</v>
      </c>
      <c r="C91" s="36" t="s">
        <v>12</v>
      </c>
      <c r="D91" s="11" t="e">
        <f>VLOOKUP(C91,'1.1 CUSTO FERRAME-UNIFORME-EPI'!B:C,2,FALSE)</f>
        <v>#DIV/0!</v>
      </c>
      <c r="E91" s="17">
        <v>0.33</v>
      </c>
      <c r="F91" s="11" t="e">
        <f t="shared" si="2"/>
        <v>#DIV/0!</v>
      </c>
    </row>
    <row r="92" spans="2:6" x14ac:dyDescent="0.25">
      <c r="B92" s="31" t="s">
        <v>11</v>
      </c>
      <c r="C92" s="36" t="str">
        <f>'1.1 CUSTO FERRAME-UNIFORME-EPI'!$B$33</f>
        <v>Bota de couro, antiderrapante</v>
      </c>
      <c r="D92" s="11">
        <f>VLOOKUP(C92,'1.1 CUSTO FERRAME-UNIFORME-EPI'!B:C,2,FALSE)</f>
        <v>0</v>
      </c>
      <c r="E92" s="17">
        <v>0.17</v>
      </c>
      <c r="F92" s="11">
        <f t="shared" si="2"/>
        <v>0</v>
      </c>
    </row>
    <row r="93" spans="2:6" x14ac:dyDescent="0.25">
      <c r="B93" s="31" t="s">
        <v>9</v>
      </c>
      <c r="C93" s="36" t="s">
        <v>8</v>
      </c>
      <c r="D93" s="11">
        <f>VLOOKUP(C93,'1.1 CUSTO FERRAME-UNIFORME-EPI'!B:C,2,FALSE)</f>
        <v>0</v>
      </c>
      <c r="E93" s="17">
        <v>0.17</v>
      </c>
      <c r="F93" s="11">
        <f t="shared" si="2"/>
        <v>0</v>
      </c>
    </row>
    <row r="94" spans="2:6" x14ac:dyDescent="0.25">
      <c r="B94" s="31" t="s">
        <v>7</v>
      </c>
      <c r="C94" s="36" t="str">
        <f>'1.1 CUSTO FERRAME-UNIFORME-EPI'!$B$22</f>
        <v>Protetor solar fator 30 (120ml/Mês)</v>
      </c>
      <c r="D94" s="11">
        <f>VLOOKUP(C94,'1.1 CUSTO FERRAME-UNIFORME-EPI'!B:C,2,FALSE)</f>
        <v>0</v>
      </c>
      <c r="E94" s="17">
        <v>0.3</v>
      </c>
      <c r="F94" s="11">
        <f t="shared" si="2"/>
        <v>0</v>
      </c>
    </row>
    <row r="95" spans="2:6" x14ac:dyDescent="0.25">
      <c r="B95" s="31" t="s">
        <v>5</v>
      </c>
      <c r="C95" s="36" t="s">
        <v>4</v>
      </c>
      <c r="D95" s="11" t="e">
        <f>VLOOKUP(C95,'1.1 CUSTO FERRAME-UNIFORME-EPI'!B:C,2,FALSE)</f>
        <v>#DIV/0!</v>
      </c>
      <c r="E95" s="17">
        <v>0</v>
      </c>
      <c r="F95" s="11" t="e">
        <f t="shared" si="2"/>
        <v>#DIV/0!</v>
      </c>
    </row>
    <row r="96" spans="2:6" x14ac:dyDescent="0.25">
      <c r="B96" s="31" t="s">
        <v>3</v>
      </c>
      <c r="C96" s="37" t="str">
        <f>'1.1 CUSTO FERRAME-UNIFORME-EPI'!$B$34</f>
        <v>Garra Térmica 2L</v>
      </c>
      <c r="D96" s="18" t="e">
        <f>VLOOKUP(C96,'1.1 CUSTO FERRAME-UNIFORME-EPI'!B:C,2,FALSE)</f>
        <v>#DIV/0!</v>
      </c>
      <c r="E96" s="19">
        <v>0.08</v>
      </c>
      <c r="F96" s="11" t="e">
        <f t="shared" si="2"/>
        <v>#DIV/0!</v>
      </c>
    </row>
    <row r="97" spans="2:6" x14ac:dyDescent="0.25">
      <c r="B97" s="31"/>
      <c r="C97" s="38" t="s">
        <v>2</v>
      </c>
      <c r="D97" s="20"/>
      <c r="E97" s="20"/>
      <c r="F97" s="21" t="e">
        <f>SUM(F89:F96)</f>
        <v>#DIV/0!</v>
      </c>
    </row>
    <row r="98" spans="2:6" x14ac:dyDescent="0.25">
      <c r="B98" s="39"/>
      <c r="C98" s="40"/>
      <c r="D98" s="41"/>
      <c r="E98" s="41"/>
      <c r="F98" s="42"/>
    </row>
    <row r="99" spans="2:6" x14ac:dyDescent="0.25">
      <c r="B99" s="43" t="s">
        <v>1</v>
      </c>
      <c r="C99" s="44" t="s">
        <v>0</v>
      </c>
      <c r="D99" s="25"/>
      <c r="E99" s="25"/>
      <c r="F99" s="26" t="e">
        <f>SUM(F97,F87,F79)</f>
        <v>#DIV/0!</v>
      </c>
    </row>
    <row r="100" spans="2:6" x14ac:dyDescent="0.25">
      <c r="B100" s="1"/>
      <c r="C100" s="1"/>
      <c r="D100" s="1"/>
      <c r="E100" s="1"/>
      <c r="F100" s="1"/>
    </row>
    <row r="101" spans="2:6" x14ac:dyDescent="0.25">
      <c r="B101" s="1"/>
      <c r="C101" s="1"/>
      <c r="D101" s="1"/>
      <c r="E101" s="1"/>
      <c r="F101" s="1"/>
    </row>
    <row r="102" spans="2:6" x14ac:dyDescent="0.25">
      <c r="B102" s="27" t="s">
        <v>54</v>
      </c>
      <c r="C102" s="27" t="s">
        <v>53</v>
      </c>
      <c r="D102" s="630" t="s">
        <v>285</v>
      </c>
      <c r="E102" s="631"/>
      <c r="F102" s="632"/>
    </row>
    <row r="103" spans="2:6" x14ac:dyDescent="0.25">
      <c r="B103" s="28"/>
      <c r="C103" s="28"/>
      <c r="D103" s="629"/>
      <c r="E103" s="629"/>
      <c r="F103" s="629"/>
    </row>
    <row r="104" spans="2:6" x14ac:dyDescent="0.25">
      <c r="B104" s="29" t="s">
        <v>52</v>
      </c>
      <c r="C104" s="30" t="s">
        <v>51</v>
      </c>
      <c r="D104" s="8" t="s">
        <v>50</v>
      </c>
      <c r="E104" s="8" t="s">
        <v>49</v>
      </c>
      <c r="F104" s="8" t="s">
        <v>48</v>
      </c>
    </row>
    <row r="105" spans="2:6" x14ac:dyDescent="0.25">
      <c r="B105" s="29" t="s">
        <v>47</v>
      </c>
      <c r="C105" s="30" t="s">
        <v>46</v>
      </c>
      <c r="D105" s="8"/>
      <c r="E105" s="8"/>
      <c r="F105" s="8"/>
    </row>
    <row r="106" spans="2:6" x14ac:dyDescent="0.25">
      <c r="B106" s="31" t="s">
        <v>45</v>
      </c>
      <c r="C106" s="32" t="s">
        <v>44</v>
      </c>
      <c r="D106" s="33">
        <f>'1.1 SALÁRIOS'!$F$27</f>
        <v>0</v>
      </c>
      <c r="E106" s="11">
        <v>1</v>
      </c>
      <c r="F106" s="11">
        <f>E106*D106</f>
        <v>0</v>
      </c>
    </row>
    <row r="107" spans="2:6" x14ac:dyDescent="0.25">
      <c r="B107" s="31" t="s">
        <v>43</v>
      </c>
      <c r="C107" s="32" t="s">
        <v>42</v>
      </c>
      <c r="D107" s="11">
        <f>'1.1 SALÁRIOS'!$F$23</f>
        <v>0</v>
      </c>
      <c r="E107" s="34">
        <v>0.4</v>
      </c>
      <c r="F107" s="11">
        <f>E107*D107</f>
        <v>0</v>
      </c>
    </row>
    <row r="108" spans="2:6" x14ac:dyDescent="0.25">
      <c r="B108" s="31" t="s">
        <v>41</v>
      </c>
      <c r="C108" s="32" t="s">
        <v>56</v>
      </c>
      <c r="D108" s="11"/>
      <c r="E108" s="11"/>
      <c r="F108" s="11"/>
    </row>
    <row r="109" spans="2:6" x14ac:dyDescent="0.25">
      <c r="B109" s="31" t="s">
        <v>39</v>
      </c>
      <c r="C109" s="32" t="s">
        <v>38</v>
      </c>
      <c r="D109" s="11"/>
      <c r="E109" s="11"/>
      <c r="F109" s="11"/>
    </row>
    <row r="110" spans="2:6" x14ac:dyDescent="0.25">
      <c r="B110" s="31" t="s">
        <v>37</v>
      </c>
      <c r="C110" s="32" t="s">
        <v>36</v>
      </c>
      <c r="D110" s="11"/>
      <c r="E110" s="11"/>
      <c r="F110" s="11"/>
    </row>
    <row r="111" spans="2:6" x14ac:dyDescent="0.25">
      <c r="B111" s="31" t="s">
        <v>35</v>
      </c>
      <c r="C111" s="32" t="s">
        <v>34</v>
      </c>
      <c r="D111" s="11"/>
      <c r="E111" s="11"/>
      <c r="F111" s="11"/>
    </row>
    <row r="112" spans="2:6" x14ac:dyDescent="0.25">
      <c r="B112" s="31" t="s">
        <v>33</v>
      </c>
      <c r="C112" s="30" t="s">
        <v>32</v>
      </c>
      <c r="D112" s="11"/>
      <c r="E112" s="11"/>
      <c r="F112" s="12">
        <f>SUM(F106:F111)</f>
        <v>0</v>
      </c>
    </row>
    <row r="113" spans="2:6" x14ac:dyDescent="0.25">
      <c r="B113" s="29" t="s">
        <v>31</v>
      </c>
      <c r="C113" s="35" t="s">
        <v>30</v>
      </c>
      <c r="D113" s="11">
        <f>F112</f>
        <v>0</v>
      </c>
      <c r="E113" s="14">
        <f>'1.1 SALÁRIOS'!$F$33</f>
        <v>0</v>
      </c>
      <c r="F113" s="12">
        <f>E113*D113</f>
        <v>0</v>
      </c>
    </row>
    <row r="114" spans="2:6" x14ac:dyDescent="0.25">
      <c r="B114" s="29" t="s">
        <v>29</v>
      </c>
      <c r="C114" s="35" t="s">
        <v>28</v>
      </c>
      <c r="D114" s="11"/>
      <c r="E114" s="11"/>
      <c r="F114" s="12">
        <f>SUM(F112:F113)</f>
        <v>0</v>
      </c>
    </row>
    <row r="115" spans="2:6" x14ac:dyDescent="0.25">
      <c r="B115" s="29" t="s">
        <v>27</v>
      </c>
      <c r="C115" s="35" t="s">
        <v>26</v>
      </c>
      <c r="D115" s="11"/>
      <c r="E115" s="11"/>
      <c r="F115" s="11"/>
    </row>
    <row r="116" spans="2:6" x14ac:dyDescent="0.25">
      <c r="B116" s="9" t="s">
        <v>25</v>
      </c>
      <c r="C116" s="15" t="s">
        <v>24</v>
      </c>
      <c r="D116" s="11">
        <f>'1.1 SALÁRIOS'!$F$35</f>
        <v>0</v>
      </c>
      <c r="E116" s="11">
        <v>26.08</v>
      </c>
      <c r="F116" s="11">
        <f>IF(2*E116*D116-0.06*D106&lt;0,0,2*E116*D116-0.06*D106)</f>
        <v>0</v>
      </c>
    </row>
    <row r="117" spans="2:6" x14ac:dyDescent="0.25">
      <c r="B117" s="9" t="s">
        <v>23</v>
      </c>
      <c r="C117" s="15" t="s">
        <v>369</v>
      </c>
      <c r="D117" s="11">
        <f>('1.1 SALÁRIOS'!$F$36+'1.1 SALÁRIOS'!$F$37)/12</f>
        <v>0</v>
      </c>
      <c r="E117" s="11">
        <v>1</v>
      </c>
      <c r="F117" s="11">
        <f>E117*D117</f>
        <v>0</v>
      </c>
    </row>
    <row r="118" spans="2:6" x14ac:dyDescent="0.25">
      <c r="B118" s="9" t="s">
        <v>22</v>
      </c>
      <c r="C118" s="15" t="s">
        <v>370</v>
      </c>
      <c r="D118" s="11">
        <f>'1.1 SALÁRIOS'!$F$38</f>
        <v>0</v>
      </c>
      <c r="E118" s="11">
        <f>E116</f>
        <v>26.08</v>
      </c>
      <c r="F118" s="11">
        <f>E118*D118</f>
        <v>0</v>
      </c>
    </row>
    <row r="119" spans="2:6" x14ac:dyDescent="0.25">
      <c r="B119" s="9" t="s">
        <v>21</v>
      </c>
      <c r="C119" s="15" t="s">
        <v>371</v>
      </c>
      <c r="D119" s="11">
        <f>'1.1 SALÁRIOS'!$F$39</f>
        <v>0</v>
      </c>
      <c r="E119" s="11">
        <v>1</v>
      </c>
      <c r="F119" s="11">
        <f>E119*D119</f>
        <v>0</v>
      </c>
    </row>
    <row r="120" spans="2:6" x14ac:dyDescent="0.25">
      <c r="B120" s="9" t="s">
        <v>374</v>
      </c>
      <c r="C120" s="15" t="s">
        <v>372</v>
      </c>
      <c r="D120" s="11">
        <f>'1.1 SALÁRIOS'!$F$40</f>
        <v>0</v>
      </c>
      <c r="E120" s="11">
        <v>1</v>
      </c>
      <c r="F120" s="11">
        <f>E120*D120</f>
        <v>0</v>
      </c>
    </row>
    <row r="121" spans="2:6" x14ac:dyDescent="0.25">
      <c r="B121" s="9" t="s">
        <v>375</v>
      </c>
      <c r="C121" s="15" t="s">
        <v>373</v>
      </c>
      <c r="D121" s="11">
        <f>'1.1 SALÁRIOS'!$F$41</f>
        <v>0</v>
      </c>
      <c r="E121" s="11">
        <v>1</v>
      </c>
      <c r="F121" s="11">
        <f>E121*D121</f>
        <v>0</v>
      </c>
    </row>
    <row r="122" spans="2:6" x14ac:dyDescent="0.25">
      <c r="B122" s="31" t="s">
        <v>57</v>
      </c>
      <c r="C122" s="35" t="s">
        <v>20</v>
      </c>
      <c r="D122" s="12"/>
      <c r="E122" s="12"/>
      <c r="F122" s="12">
        <f>SUM(F116:F121)</f>
        <v>0</v>
      </c>
    </row>
    <row r="123" spans="2:6" x14ac:dyDescent="0.25">
      <c r="B123" s="29" t="s">
        <v>19</v>
      </c>
      <c r="C123" s="35" t="s">
        <v>18</v>
      </c>
      <c r="D123" s="11"/>
      <c r="E123" s="11"/>
      <c r="F123" s="11"/>
    </row>
    <row r="124" spans="2:6" x14ac:dyDescent="0.25">
      <c r="B124" s="31" t="s">
        <v>17</v>
      </c>
      <c r="C124" s="36" t="str">
        <f>'1.1 CUSTO FERRAME-UNIFORME-EPI'!$B$18</f>
        <v>Boné de brim tipo árabe</v>
      </c>
      <c r="D124" s="11" t="e">
        <f>VLOOKUP(C124,'1.1 CUSTO FERRAME-UNIFORME-EPI'!B:C,2,FALSE)</f>
        <v>#DIV/0!</v>
      </c>
      <c r="E124" s="17">
        <v>0.17</v>
      </c>
      <c r="F124" s="11" t="e">
        <f t="shared" ref="F124:F130" si="3">E124*D124</f>
        <v>#DIV/0!</v>
      </c>
    </row>
    <row r="125" spans="2:6" x14ac:dyDescent="0.25">
      <c r="B125" s="31" t="s">
        <v>15</v>
      </c>
      <c r="C125" s="36" t="str">
        <f>'1.1 CUSTO FERRAME-UNIFORME-EPI'!$B$31</f>
        <v>Calça jeans</v>
      </c>
      <c r="D125" s="11" t="e">
        <f>VLOOKUP(C125,'1.1 CUSTO FERRAME-UNIFORME-EPI'!B:C,2,FALSE)</f>
        <v>#DIV/0!</v>
      </c>
      <c r="E125" s="17">
        <v>0.33</v>
      </c>
      <c r="F125" s="11" t="e">
        <f t="shared" si="3"/>
        <v>#DIV/0!</v>
      </c>
    </row>
    <row r="126" spans="2:6" x14ac:dyDescent="0.25">
      <c r="B126" s="31" t="s">
        <v>13</v>
      </c>
      <c r="C126" s="36" t="s">
        <v>12</v>
      </c>
      <c r="D126" s="11" t="e">
        <f>VLOOKUP(C126,'1.1 CUSTO FERRAME-UNIFORME-EPI'!B:C,2,FALSE)</f>
        <v>#DIV/0!</v>
      </c>
      <c r="E126" s="17">
        <v>0.33</v>
      </c>
      <c r="F126" s="11" t="e">
        <f t="shared" si="3"/>
        <v>#DIV/0!</v>
      </c>
    </row>
    <row r="127" spans="2:6" x14ac:dyDescent="0.25">
      <c r="B127" s="31" t="s">
        <v>11</v>
      </c>
      <c r="C127" s="36" t="str">
        <f>'1.1 CUSTO FERRAME-UNIFORME-EPI'!$B$33</f>
        <v>Bota de couro, antiderrapante</v>
      </c>
      <c r="D127" s="11">
        <f>VLOOKUP(C127,'1.1 CUSTO FERRAME-UNIFORME-EPI'!B:C,2,FALSE)</f>
        <v>0</v>
      </c>
      <c r="E127" s="17">
        <v>0.17</v>
      </c>
      <c r="F127" s="11">
        <f t="shared" si="3"/>
        <v>0</v>
      </c>
    </row>
    <row r="128" spans="2:6" x14ac:dyDescent="0.25">
      <c r="B128" s="31" t="s">
        <v>9</v>
      </c>
      <c r="C128" s="36" t="s">
        <v>8</v>
      </c>
      <c r="D128" s="11">
        <f>VLOOKUP(C128,'1.1 CUSTO FERRAME-UNIFORME-EPI'!B:C,2,FALSE)</f>
        <v>0</v>
      </c>
      <c r="E128" s="17">
        <v>0.17</v>
      </c>
      <c r="F128" s="11">
        <f t="shared" si="3"/>
        <v>0</v>
      </c>
    </row>
    <row r="129" spans="2:6" x14ac:dyDescent="0.25">
      <c r="B129" s="31" t="s">
        <v>7</v>
      </c>
      <c r="C129" s="36" t="str">
        <f>'1.1 CUSTO FERRAME-UNIFORME-EPI'!$B$22</f>
        <v>Protetor solar fator 30 (120ml/Mês)</v>
      </c>
      <c r="D129" s="11">
        <f>VLOOKUP(C129,'1.1 CUSTO FERRAME-UNIFORME-EPI'!B:C,2,FALSE)</f>
        <v>0</v>
      </c>
      <c r="E129" s="17">
        <v>0.3</v>
      </c>
      <c r="F129" s="11">
        <f t="shared" si="3"/>
        <v>0</v>
      </c>
    </row>
    <row r="130" spans="2:6" x14ac:dyDescent="0.25">
      <c r="B130" s="31" t="s">
        <v>3</v>
      </c>
      <c r="C130" s="37" t="str">
        <f>'1.1 CUSTO FERRAME-UNIFORME-EPI'!$B$34</f>
        <v>Garra Térmica 2L</v>
      </c>
      <c r="D130" s="18" t="e">
        <f>VLOOKUP(C130,'1.1 CUSTO FERRAME-UNIFORME-EPI'!B:C,2,FALSE)</f>
        <v>#DIV/0!</v>
      </c>
      <c r="E130" s="19">
        <v>0.08</v>
      </c>
      <c r="F130" s="11" t="e">
        <f t="shared" si="3"/>
        <v>#DIV/0!</v>
      </c>
    </row>
    <row r="131" spans="2:6" x14ac:dyDescent="0.25">
      <c r="B131" s="31"/>
      <c r="C131" s="38" t="s">
        <v>2</v>
      </c>
      <c r="D131" s="20"/>
      <c r="E131" s="20"/>
      <c r="F131" s="21" t="e">
        <f>SUM(F124:F130)</f>
        <v>#DIV/0!</v>
      </c>
    </row>
    <row r="132" spans="2:6" x14ac:dyDescent="0.25">
      <c r="B132" s="39"/>
      <c r="C132" s="40"/>
      <c r="D132" s="41"/>
      <c r="E132" s="41"/>
      <c r="F132" s="42"/>
    </row>
    <row r="133" spans="2:6" x14ac:dyDescent="0.25">
      <c r="B133" s="43" t="s">
        <v>1</v>
      </c>
      <c r="C133" s="44" t="s">
        <v>0</v>
      </c>
      <c r="D133" s="25"/>
      <c r="E133" s="25"/>
      <c r="F133" s="26" t="e">
        <f>SUM(F131,F122,F114)</f>
        <v>#DIV/0!</v>
      </c>
    </row>
    <row r="134" spans="2:6" x14ac:dyDescent="0.25">
      <c r="B134" s="1"/>
      <c r="C134" s="1"/>
      <c r="D134" s="1"/>
      <c r="E134" s="1"/>
      <c r="F134" s="1"/>
    </row>
    <row r="135" spans="2:6" x14ac:dyDescent="0.25">
      <c r="B135" s="1"/>
      <c r="C135" s="1"/>
      <c r="D135" s="1"/>
      <c r="E135" s="1"/>
      <c r="F135" s="1"/>
    </row>
    <row r="136" spans="2:6" x14ac:dyDescent="0.25">
      <c r="B136" s="27" t="s">
        <v>54</v>
      </c>
      <c r="C136" s="27" t="s">
        <v>53</v>
      </c>
      <c r="D136" s="630" t="s">
        <v>379</v>
      </c>
      <c r="E136" s="631"/>
      <c r="F136" s="632"/>
    </row>
    <row r="137" spans="2:6" x14ac:dyDescent="0.25">
      <c r="B137" s="28"/>
      <c r="C137" s="28"/>
      <c r="D137" s="629"/>
      <c r="E137" s="629"/>
      <c r="F137" s="629"/>
    </row>
    <row r="138" spans="2:6" x14ac:dyDescent="0.25">
      <c r="B138" s="29" t="s">
        <v>52</v>
      </c>
      <c r="C138" s="30" t="s">
        <v>51</v>
      </c>
      <c r="D138" s="8" t="s">
        <v>50</v>
      </c>
      <c r="E138" s="8" t="s">
        <v>49</v>
      </c>
      <c r="F138" s="8" t="s">
        <v>48</v>
      </c>
    </row>
    <row r="139" spans="2:6" x14ac:dyDescent="0.25">
      <c r="B139" s="29" t="s">
        <v>47</v>
      </c>
      <c r="C139" s="30" t="s">
        <v>46</v>
      </c>
      <c r="D139" s="8"/>
      <c r="E139" s="8"/>
      <c r="F139" s="8"/>
    </row>
    <row r="140" spans="2:6" x14ac:dyDescent="0.25">
      <c r="B140" s="31" t="s">
        <v>45</v>
      </c>
      <c r="C140" s="32" t="s">
        <v>44</v>
      </c>
      <c r="D140" s="33">
        <f>'1.1 SALÁRIOS'!$F$26</f>
        <v>0</v>
      </c>
      <c r="E140" s="11">
        <v>1</v>
      </c>
      <c r="F140" s="11">
        <f>E140*D140</f>
        <v>0</v>
      </c>
    </row>
    <row r="141" spans="2:6" x14ac:dyDescent="0.25">
      <c r="B141" s="31" t="s">
        <v>43</v>
      </c>
      <c r="C141" s="32" t="s">
        <v>42</v>
      </c>
      <c r="D141" s="11">
        <f>'1.1 SALÁRIOS'!$F$23</f>
        <v>0</v>
      </c>
      <c r="E141" s="34">
        <v>0.4</v>
      </c>
      <c r="F141" s="11">
        <f>E141*D141</f>
        <v>0</v>
      </c>
    </row>
    <row r="142" spans="2:6" x14ac:dyDescent="0.25">
      <c r="B142" s="31" t="s">
        <v>41</v>
      </c>
      <c r="C142" s="32" t="s">
        <v>56</v>
      </c>
      <c r="D142" s="322">
        <f>F140+F141</f>
        <v>0</v>
      </c>
      <c r="E142" s="34">
        <v>0.2</v>
      </c>
      <c r="F142" s="11">
        <f>E142*D142</f>
        <v>0</v>
      </c>
    </row>
    <row r="143" spans="2:6" x14ac:dyDescent="0.25">
      <c r="B143" s="31" t="s">
        <v>39</v>
      </c>
      <c r="C143" s="32" t="s">
        <v>38</v>
      </c>
      <c r="D143" s="11"/>
      <c r="E143" s="11"/>
      <c r="F143" s="11"/>
    </row>
    <row r="144" spans="2:6" x14ac:dyDescent="0.25">
      <c r="B144" s="31" t="s">
        <v>37</v>
      </c>
      <c r="C144" s="32" t="s">
        <v>36</v>
      </c>
      <c r="D144" s="11"/>
      <c r="E144" s="11"/>
      <c r="F144" s="11"/>
    </row>
    <row r="145" spans="2:6" x14ac:dyDescent="0.25">
      <c r="B145" s="31" t="s">
        <v>35</v>
      </c>
      <c r="C145" s="32" t="s">
        <v>34</v>
      </c>
      <c r="D145" s="11"/>
      <c r="E145" s="11"/>
      <c r="F145" s="11"/>
    </row>
    <row r="146" spans="2:6" x14ac:dyDescent="0.25">
      <c r="B146" s="31" t="s">
        <v>33</v>
      </c>
      <c r="C146" s="30" t="s">
        <v>32</v>
      </c>
      <c r="D146" s="11"/>
      <c r="E146" s="11"/>
      <c r="F146" s="12">
        <f>SUM(F140:F145)</f>
        <v>0</v>
      </c>
    </row>
    <row r="147" spans="2:6" x14ac:dyDescent="0.25">
      <c r="B147" s="29" t="s">
        <v>31</v>
      </c>
      <c r="C147" s="35" t="s">
        <v>30</v>
      </c>
      <c r="D147" s="11">
        <f>F146</f>
        <v>0</v>
      </c>
      <c r="E147" s="14">
        <f>'1.1 SALÁRIOS'!$F$33</f>
        <v>0</v>
      </c>
      <c r="F147" s="12">
        <f>E147*D147</f>
        <v>0</v>
      </c>
    </row>
    <row r="148" spans="2:6" x14ac:dyDescent="0.25">
      <c r="B148" s="29" t="s">
        <v>29</v>
      </c>
      <c r="C148" s="35" t="s">
        <v>28</v>
      </c>
      <c r="D148" s="11"/>
      <c r="E148" s="11"/>
      <c r="F148" s="12">
        <f>SUM(F146:F147)</f>
        <v>0</v>
      </c>
    </row>
    <row r="149" spans="2:6" x14ac:dyDescent="0.25">
      <c r="B149" s="29" t="s">
        <v>27</v>
      </c>
      <c r="C149" s="35" t="s">
        <v>26</v>
      </c>
      <c r="D149" s="11"/>
      <c r="E149" s="11"/>
      <c r="F149" s="11"/>
    </row>
    <row r="150" spans="2:6" x14ac:dyDescent="0.25">
      <c r="B150" s="9" t="s">
        <v>25</v>
      </c>
      <c r="C150" s="15" t="s">
        <v>24</v>
      </c>
      <c r="D150" s="11">
        <f>'1.1 SALÁRIOS'!$F$35</f>
        <v>0</v>
      </c>
      <c r="E150" s="11">
        <v>26.08</v>
      </c>
      <c r="F150" s="11">
        <f>IF(2*E150*D150-0.06*D140&lt;0,0,2*E150*D150-0.06*D140)</f>
        <v>0</v>
      </c>
    </row>
    <row r="151" spans="2:6" x14ac:dyDescent="0.25">
      <c r="B151" s="9" t="s">
        <v>23</v>
      </c>
      <c r="C151" s="15" t="s">
        <v>369</v>
      </c>
      <c r="D151" s="11">
        <f>('1.1 SALÁRIOS'!$F$36+'1.1 SALÁRIOS'!$F$37)/12</f>
        <v>0</v>
      </c>
      <c r="E151" s="11">
        <v>1</v>
      </c>
      <c r="F151" s="11">
        <f>E151*D151</f>
        <v>0</v>
      </c>
    </row>
    <row r="152" spans="2:6" x14ac:dyDescent="0.25">
      <c r="B152" s="9" t="s">
        <v>22</v>
      </c>
      <c r="C152" s="15" t="s">
        <v>370</v>
      </c>
      <c r="D152" s="11">
        <f>'1.1 SALÁRIOS'!$F$38</f>
        <v>0</v>
      </c>
      <c r="E152" s="11">
        <f>E150</f>
        <v>26.08</v>
      </c>
      <c r="F152" s="11">
        <f>E152*D152</f>
        <v>0</v>
      </c>
    </row>
    <row r="153" spans="2:6" x14ac:dyDescent="0.25">
      <c r="B153" s="9" t="s">
        <v>21</v>
      </c>
      <c r="C153" s="15" t="s">
        <v>371</v>
      </c>
      <c r="D153" s="11">
        <f>'1.1 SALÁRIOS'!$F$39</f>
        <v>0</v>
      </c>
      <c r="E153" s="11">
        <v>1</v>
      </c>
      <c r="F153" s="11">
        <f>E153*D153</f>
        <v>0</v>
      </c>
    </row>
    <row r="154" spans="2:6" x14ac:dyDescent="0.25">
      <c r="B154" s="9" t="s">
        <v>374</v>
      </c>
      <c r="C154" s="15" t="s">
        <v>372</v>
      </c>
      <c r="D154" s="11">
        <f>'1.1 SALÁRIOS'!$F$40</f>
        <v>0</v>
      </c>
      <c r="E154" s="11">
        <v>1</v>
      </c>
      <c r="F154" s="11">
        <f>E154*D154</f>
        <v>0</v>
      </c>
    </row>
    <row r="155" spans="2:6" x14ac:dyDescent="0.25">
      <c r="B155" s="9" t="s">
        <v>375</v>
      </c>
      <c r="C155" s="15" t="s">
        <v>373</v>
      </c>
      <c r="D155" s="11">
        <f>'1.1 SALÁRIOS'!$F$41</f>
        <v>0</v>
      </c>
      <c r="E155" s="11">
        <v>1</v>
      </c>
      <c r="F155" s="11">
        <f>E155*D155</f>
        <v>0</v>
      </c>
    </row>
    <row r="156" spans="2:6" x14ac:dyDescent="0.25">
      <c r="B156" s="31" t="s">
        <v>57</v>
      </c>
      <c r="C156" s="35" t="s">
        <v>20</v>
      </c>
      <c r="D156" s="12"/>
      <c r="E156" s="12"/>
      <c r="F156" s="12">
        <f>SUM(F150:F155)</f>
        <v>0</v>
      </c>
    </row>
    <row r="157" spans="2:6" x14ac:dyDescent="0.25">
      <c r="B157" s="29" t="s">
        <v>19</v>
      </c>
      <c r="C157" s="35" t="s">
        <v>18</v>
      </c>
      <c r="D157" s="11"/>
      <c r="E157" s="11"/>
      <c r="F157" s="11"/>
    </row>
    <row r="158" spans="2:6" x14ac:dyDescent="0.25">
      <c r="B158" s="31" t="s">
        <v>17</v>
      </c>
      <c r="C158" s="36" t="str">
        <f>'1.1 CUSTO FERRAME-UNIFORME-EPI'!$B$18</f>
        <v>Boné de brim tipo árabe</v>
      </c>
      <c r="D158" s="11" t="e">
        <f>VLOOKUP(C158,'1.1 CUSTO FERRAME-UNIFORME-EPI'!B:C,2,FALSE)</f>
        <v>#DIV/0!</v>
      </c>
      <c r="E158" s="17">
        <v>0.17</v>
      </c>
      <c r="F158" s="11" t="e">
        <f t="shared" ref="F158:F164" si="4">E158*D158</f>
        <v>#DIV/0!</v>
      </c>
    </row>
    <row r="159" spans="2:6" x14ac:dyDescent="0.25">
      <c r="B159" s="31" t="s">
        <v>15</v>
      </c>
      <c r="C159" s="36" t="str">
        <f>'1.1 CUSTO FERRAME-UNIFORME-EPI'!$B$31</f>
        <v>Calça jeans</v>
      </c>
      <c r="D159" s="11" t="e">
        <f>VLOOKUP(C159,'1.1 CUSTO FERRAME-UNIFORME-EPI'!B:C,2,FALSE)</f>
        <v>#DIV/0!</v>
      </c>
      <c r="E159" s="17">
        <v>0.33</v>
      </c>
      <c r="F159" s="11" t="e">
        <f t="shared" si="4"/>
        <v>#DIV/0!</v>
      </c>
    </row>
    <row r="160" spans="2:6" x14ac:dyDescent="0.25">
      <c r="B160" s="31" t="s">
        <v>13</v>
      </c>
      <c r="C160" s="36" t="s">
        <v>12</v>
      </c>
      <c r="D160" s="11" t="e">
        <f>VLOOKUP(C160,'1.1 CUSTO FERRAME-UNIFORME-EPI'!B:C,2,FALSE)</f>
        <v>#DIV/0!</v>
      </c>
      <c r="E160" s="17">
        <v>0.33</v>
      </c>
      <c r="F160" s="11" t="e">
        <f t="shared" si="4"/>
        <v>#DIV/0!</v>
      </c>
    </row>
    <row r="161" spans="2:6" x14ac:dyDescent="0.25">
      <c r="B161" s="31" t="s">
        <v>11</v>
      </c>
      <c r="C161" s="36" t="str">
        <f>'1.1 CUSTO FERRAME-UNIFORME-EPI'!$B$33</f>
        <v>Bota de couro, antiderrapante</v>
      </c>
      <c r="D161" s="11">
        <f>VLOOKUP(C161,'1.1 CUSTO FERRAME-UNIFORME-EPI'!B:C,2,FALSE)</f>
        <v>0</v>
      </c>
      <c r="E161" s="17">
        <v>0.17</v>
      </c>
      <c r="F161" s="11">
        <f t="shared" si="4"/>
        <v>0</v>
      </c>
    </row>
    <row r="162" spans="2:6" x14ac:dyDescent="0.25">
      <c r="B162" s="31" t="s">
        <v>9</v>
      </c>
      <c r="C162" s="36" t="s">
        <v>8</v>
      </c>
      <c r="D162" s="11">
        <f>VLOOKUP(C162,'1.1 CUSTO FERRAME-UNIFORME-EPI'!B:C,2,FALSE)</f>
        <v>0</v>
      </c>
      <c r="E162" s="17">
        <v>0.17</v>
      </c>
      <c r="F162" s="11">
        <f t="shared" si="4"/>
        <v>0</v>
      </c>
    </row>
    <row r="163" spans="2:6" x14ac:dyDescent="0.25">
      <c r="B163" s="31" t="s">
        <v>7</v>
      </c>
      <c r="C163" s="36" t="str">
        <f>'1.1 CUSTO FERRAME-UNIFORME-EPI'!$B$22</f>
        <v>Protetor solar fator 30 (120ml/Mês)</v>
      </c>
      <c r="D163" s="11">
        <f>VLOOKUP(C163,'1.1 CUSTO FERRAME-UNIFORME-EPI'!B:C,2,FALSE)</f>
        <v>0</v>
      </c>
      <c r="E163" s="17"/>
      <c r="F163" s="11">
        <f t="shared" si="4"/>
        <v>0</v>
      </c>
    </row>
    <row r="164" spans="2:6" x14ac:dyDescent="0.25">
      <c r="B164" s="31" t="s">
        <v>3</v>
      </c>
      <c r="C164" s="37" t="str">
        <f>'1.1 CUSTO FERRAME-UNIFORME-EPI'!$B$34</f>
        <v>Garra Térmica 2L</v>
      </c>
      <c r="D164" s="11" t="e">
        <f>VLOOKUP(C164,'1.1 CUSTO FERRAME-UNIFORME-EPI'!B:C,2,FALSE)</f>
        <v>#DIV/0!</v>
      </c>
      <c r="E164" s="19">
        <v>0.08</v>
      </c>
      <c r="F164" s="11" t="e">
        <f t="shared" si="4"/>
        <v>#DIV/0!</v>
      </c>
    </row>
    <row r="165" spans="2:6" x14ac:dyDescent="0.25">
      <c r="B165" s="31"/>
      <c r="C165" s="38" t="s">
        <v>2</v>
      </c>
      <c r="D165" s="20"/>
      <c r="E165" s="20"/>
      <c r="F165" s="21" t="e">
        <f>SUM(F158:F164)</f>
        <v>#DIV/0!</v>
      </c>
    </row>
    <row r="166" spans="2:6" x14ac:dyDescent="0.25">
      <c r="B166" s="39"/>
      <c r="C166" s="40"/>
      <c r="D166" s="41"/>
      <c r="E166" s="41"/>
      <c r="F166" s="42"/>
    </row>
    <row r="167" spans="2:6" x14ac:dyDescent="0.25">
      <c r="B167" s="43" t="s">
        <v>1</v>
      </c>
      <c r="C167" s="44" t="s">
        <v>0</v>
      </c>
      <c r="D167" s="25"/>
      <c r="E167" s="25"/>
      <c r="F167" s="26" t="e">
        <f>SUM(F165,F156,F148)</f>
        <v>#DIV/0!</v>
      </c>
    </row>
    <row r="168" spans="2:6" x14ac:dyDescent="0.25">
      <c r="B168" s="1"/>
      <c r="C168" s="1"/>
      <c r="D168" s="1"/>
      <c r="E168" s="1"/>
      <c r="F168" s="1"/>
    </row>
    <row r="169" spans="2:6" x14ac:dyDescent="0.25">
      <c r="B169" s="1"/>
      <c r="C169" s="1"/>
      <c r="D169" s="1"/>
      <c r="E169" s="1"/>
      <c r="F169" s="1"/>
    </row>
    <row r="170" spans="2:6" x14ac:dyDescent="0.25">
      <c r="B170" s="27" t="s">
        <v>54</v>
      </c>
      <c r="C170" s="27" t="s">
        <v>53</v>
      </c>
      <c r="D170" s="630" t="s">
        <v>380</v>
      </c>
      <c r="E170" s="631"/>
      <c r="F170" s="632"/>
    </row>
    <row r="171" spans="2:6" x14ac:dyDescent="0.25">
      <c r="B171" s="28"/>
      <c r="C171" s="28"/>
      <c r="D171" s="629"/>
      <c r="E171" s="629"/>
      <c r="F171" s="629"/>
    </row>
    <row r="172" spans="2:6" x14ac:dyDescent="0.25">
      <c r="B172" s="29" t="s">
        <v>52</v>
      </c>
      <c r="C172" s="30" t="s">
        <v>51</v>
      </c>
      <c r="D172" s="8" t="s">
        <v>50</v>
      </c>
      <c r="E172" s="8" t="s">
        <v>49</v>
      </c>
      <c r="F172" s="8" t="s">
        <v>48</v>
      </c>
    </row>
    <row r="173" spans="2:6" x14ac:dyDescent="0.25">
      <c r="B173" s="29" t="s">
        <v>47</v>
      </c>
      <c r="C173" s="30" t="s">
        <v>46</v>
      </c>
      <c r="D173" s="8"/>
      <c r="E173" s="8"/>
      <c r="F173" s="8"/>
    </row>
    <row r="174" spans="2:6" x14ac:dyDescent="0.25">
      <c r="B174" s="31" t="s">
        <v>45</v>
      </c>
      <c r="C174" s="32" t="s">
        <v>44</v>
      </c>
      <c r="D174" s="33">
        <f>'1.1 SALÁRIOS'!$F$27</f>
        <v>0</v>
      </c>
      <c r="E174" s="11">
        <v>1</v>
      </c>
      <c r="F174" s="11">
        <f>E174*D174</f>
        <v>0</v>
      </c>
    </row>
    <row r="175" spans="2:6" x14ac:dyDescent="0.25">
      <c r="B175" s="31" t="s">
        <v>43</v>
      </c>
      <c r="C175" s="32" t="s">
        <v>42</v>
      </c>
      <c r="D175" s="11">
        <f>'1.1 SALÁRIOS'!$F$23</f>
        <v>0</v>
      </c>
      <c r="E175" s="34">
        <v>0.4</v>
      </c>
      <c r="F175" s="11">
        <f>E175*D175</f>
        <v>0</v>
      </c>
    </row>
    <row r="176" spans="2:6" x14ac:dyDescent="0.25">
      <c r="B176" s="31" t="s">
        <v>41</v>
      </c>
      <c r="C176" s="32" t="s">
        <v>56</v>
      </c>
      <c r="D176" s="322">
        <f>F174+F175</f>
        <v>0</v>
      </c>
      <c r="E176" s="34">
        <v>0.2</v>
      </c>
      <c r="F176" s="11">
        <f>E176*D176</f>
        <v>0</v>
      </c>
    </row>
    <row r="177" spans="2:6" x14ac:dyDescent="0.25">
      <c r="B177" s="31" t="s">
        <v>39</v>
      </c>
      <c r="C177" s="32" t="s">
        <v>38</v>
      </c>
      <c r="D177" s="11"/>
      <c r="E177" s="11"/>
      <c r="F177" s="11"/>
    </row>
    <row r="178" spans="2:6" x14ac:dyDescent="0.25">
      <c r="B178" s="31" t="s">
        <v>37</v>
      </c>
      <c r="C178" s="32" t="s">
        <v>36</v>
      </c>
      <c r="D178" s="11"/>
      <c r="E178" s="11"/>
      <c r="F178" s="11"/>
    </row>
    <row r="179" spans="2:6" x14ac:dyDescent="0.25">
      <c r="B179" s="31" t="s">
        <v>35</v>
      </c>
      <c r="C179" s="32" t="s">
        <v>34</v>
      </c>
      <c r="D179" s="11"/>
      <c r="E179" s="11"/>
      <c r="F179" s="11"/>
    </row>
    <row r="180" spans="2:6" x14ac:dyDescent="0.25">
      <c r="B180" s="31" t="s">
        <v>33</v>
      </c>
      <c r="C180" s="30" t="s">
        <v>32</v>
      </c>
      <c r="D180" s="11"/>
      <c r="E180" s="11"/>
      <c r="F180" s="12">
        <f>SUM(F174:F179)</f>
        <v>0</v>
      </c>
    </row>
    <row r="181" spans="2:6" x14ac:dyDescent="0.25">
      <c r="B181" s="29" t="s">
        <v>31</v>
      </c>
      <c r="C181" s="35" t="s">
        <v>30</v>
      </c>
      <c r="D181" s="11">
        <f>F180</f>
        <v>0</v>
      </c>
      <c r="E181" s="14">
        <f>'1.1 SALÁRIOS'!$F$33</f>
        <v>0</v>
      </c>
      <c r="F181" s="12">
        <f>E181*D181</f>
        <v>0</v>
      </c>
    </row>
    <row r="182" spans="2:6" x14ac:dyDescent="0.25">
      <c r="B182" s="29" t="s">
        <v>29</v>
      </c>
      <c r="C182" s="35" t="s">
        <v>28</v>
      </c>
      <c r="D182" s="11"/>
      <c r="E182" s="11"/>
      <c r="F182" s="12">
        <f>SUM(F180:F181)</f>
        <v>0</v>
      </c>
    </row>
    <row r="183" spans="2:6" x14ac:dyDescent="0.25">
      <c r="B183" s="29" t="s">
        <v>27</v>
      </c>
      <c r="C183" s="35" t="s">
        <v>26</v>
      </c>
      <c r="D183" s="11"/>
      <c r="E183" s="11"/>
      <c r="F183" s="11"/>
    </row>
    <row r="184" spans="2:6" x14ac:dyDescent="0.25">
      <c r="B184" s="9" t="s">
        <v>25</v>
      </c>
      <c r="C184" s="15" t="s">
        <v>24</v>
      </c>
      <c r="D184" s="11">
        <f>'1.1 SALÁRIOS'!$F$35</f>
        <v>0</v>
      </c>
      <c r="E184" s="11">
        <v>26.08</v>
      </c>
      <c r="F184" s="11">
        <f>IF(2*E184*D184-0.06*D174&lt;0,0,2*E184*D184-0.06*D174)</f>
        <v>0</v>
      </c>
    </row>
    <row r="185" spans="2:6" x14ac:dyDescent="0.25">
      <c r="B185" s="9" t="s">
        <v>23</v>
      </c>
      <c r="C185" s="15" t="s">
        <v>369</v>
      </c>
      <c r="D185" s="11">
        <f>('1.1 SALÁRIOS'!$F$36+'1.1 SALÁRIOS'!$F$37)/12</f>
        <v>0</v>
      </c>
      <c r="E185" s="11">
        <v>1</v>
      </c>
      <c r="F185" s="11">
        <f>E185*D185</f>
        <v>0</v>
      </c>
    </row>
    <row r="186" spans="2:6" x14ac:dyDescent="0.25">
      <c r="B186" s="9" t="s">
        <v>22</v>
      </c>
      <c r="C186" s="15" t="s">
        <v>370</v>
      </c>
      <c r="D186" s="11">
        <f>'1.1 SALÁRIOS'!$F$38</f>
        <v>0</v>
      </c>
      <c r="E186" s="11">
        <f>E184</f>
        <v>26.08</v>
      </c>
      <c r="F186" s="11">
        <f>E186*D186</f>
        <v>0</v>
      </c>
    </row>
    <row r="187" spans="2:6" x14ac:dyDescent="0.25">
      <c r="B187" s="9" t="s">
        <v>21</v>
      </c>
      <c r="C187" s="15" t="s">
        <v>371</v>
      </c>
      <c r="D187" s="11">
        <f>'1.1 SALÁRIOS'!$F$39</f>
        <v>0</v>
      </c>
      <c r="E187" s="11">
        <v>1</v>
      </c>
      <c r="F187" s="11">
        <f>E187*D187</f>
        <v>0</v>
      </c>
    </row>
    <row r="188" spans="2:6" x14ac:dyDescent="0.25">
      <c r="B188" s="9" t="s">
        <v>374</v>
      </c>
      <c r="C188" s="15" t="s">
        <v>372</v>
      </c>
      <c r="D188" s="11">
        <f>'1.1 SALÁRIOS'!$F$40</f>
        <v>0</v>
      </c>
      <c r="E188" s="11">
        <v>1</v>
      </c>
      <c r="F188" s="11">
        <f>E188*D188</f>
        <v>0</v>
      </c>
    </row>
    <row r="189" spans="2:6" x14ac:dyDescent="0.25">
      <c r="B189" s="9" t="s">
        <v>375</v>
      </c>
      <c r="C189" s="15" t="s">
        <v>373</v>
      </c>
      <c r="D189" s="11">
        <f>'1.1 SALÁRIOS'!$F$41</f>
        <v>0</v>
      </c>
      <c r="E189" s="11">
        <v>1</v>
      </c>
      <c r="F189" s="11">
        <f>E189*D189</f>
        <v>0</v>
      </c>
    </row>
    <row r="190" spans="2:6" x14ac:dyDescent="0.25">
      <c r="B190" s="31" t="s">
        <v>57</v>
      </c>
      <c r="C190" s="35" t="s">
        <v>20</v>
      </c>
      <c r="D190" s="12"/>
      <c r="E190" s="12"/>
      <c r="F190" s="12">
        <f>SUM(F184:F189)</f>
        <v>0</v>
      </c>
    </row>
    <row r="191" spans="2:6" x14ac:dyDescent="0.25">
      <c r="B191" s="29" t="s">
        <v>19</v>
      </c>
      <c r="C191" s="35" t="s">
        <v>18</v>
      </c>
      <c r="D191" s="11"/>
      <c r="E191" s="11"/>
      <c r="F191" s="11"/>
    </row>
    <row r="192" spans="2:6" x14ac:dyDescent="0.25">
      <c r="B192" s="31" t="s">
        <v>17</v>
      </c>
      <c r="C192" s="36" t="str">
        <f>'1.1 CUSTO FERRAME-UNIFORME-EPI'!$B$18</f>
        <v>Boné de brim tipo árabe</v>
      </c>
      <c r="D192" s="11" t="e">
        <f>VLOOKUP(C192,'1.1 CUSTO FERRAME-UNIFORME-EPI'!B:C,2,FALSE)</f>
        <v>#DIV/0!</v>
      </c>
      <c r="E192" s="17">
        <v>0.17</v>
      </c>
      <c r="F192" s="11" t="e">
        <f t="shared" ref="F192:F199" si="5">E192*D192</f>
        <v>#DIV/0!</v>
      </c>
    </row>
    <row r="193" spans="2:6" x14ac:dyDescent="0.25">
      <c r="B193" s="31" t="s">
        <v>15</v>
      </c>
      <c r="C193" s="36" t="str">
        <f>'1.1 CUSTO FERRAME-UNIFORME-EPI'!$B$31</f>
        <v>Calça jeans</v>
      </c>
      <c r="D193" s="11" t="e">
        <f>VLOOKUP(C193,'1.1 CUSTO FERRAME-UNIFORME-EPI'!B:C,2,FALSE)</f>
        <v>#DIV/0!</v>
      </c>
      <c r="E193" s="17">
        <v>0.33</v>
      </c>
      <c r="F193" s="11" t="e">
        <f t="shared" si="5"/>
        <v>#DIV/0!</v>
      </c>
    </row>
    <row r="194" spans="2:6" x14ac:dyDescent="0.25">
      <c r="B194" s="31" t="s">
        <v>13</v>
      </c>
      <c r="C194" s="36" t="s">
        <v>12</v>
      </c>
      <c r="D194" s="11" t="e">
        <f>VLOOKUP(C194,'1.1 CUSTO FERRAME-UNIFORME-EPI'!B:C,2,FALSE)</f>
        <v>#DIV/0!</v>
      </c>
      <c r="E194" s="17">
        <v>0.33</v>
      </c>
      <c r="F194" s="11" t="e">
        <f t="shared" si="5"/>
        <v>#DIV/0!</v>
      </c>
    </row>
    <row r="195" spans="2:6" x14ac:dyDescent="0.25">
      <c r="B195" s="31" t="s">
        <v>11</v>
      </c>
      <c r="C195" s="36" t="str">
        <f>'1.1 CUSTO FERRAME-UNIFORME-EPI'!$B$33</f>
        <v>Bota de couro, antiderrapante</v>
      </c>
      <c r="D195" s="11">
        <f>VLOOKUP(C195,'1.1 CUSTO FERRAME-UNIFORME-EPI'!B:C,2,FALSE)</f>
        <v>0</v>
      </c>
      <c r="E195" s="17">
        <v>0.17</v>
      </c>
      <c r="F195" s="11">
        <f t="shared" si="5"/>
        <v>0</v>
      </c>
    </row>
    <row r="196" spans="2:6" x14ac:dyDescent="0.25">
      <c r="B196" s="31" t="s">
        <v>9</v>
      </c>
      <c r="C196" s="36" t="s">
        <v>8</v>
      </c>
      <c r="D196" s="11">
        <f>VLOOKUP(C196,'1.1 CUSTO FERRAME-UNIFORME-EPI'!B:C,2,FALSE)</f>
        <v>0</v>
      </c>
      <c r="E196" s="17">
        <v>0.17</v>
      </c>
      <c r="F196" s="11">
        <f t="shared" si="5"/>
        <v>0</v>
      </c>
    </row>
    <row r="197" spans="2:6" x14ac:dyDescent="0.25">
      <c r="B197" s="31" t="s">
        <v>7</v>
      </c>
      <c r="C197" s="36" t="str">
        <f>'1.1 CUSTO FERRAME-UNIFORME-EPI'!$B$22</f>
        <v>Protetor solar fator 30 (120ml/Mês)</v>
      </c>
      <c r="D197" s="11">
        <f>VLOOKUP(C197,'1.1 CUSTO FERRAME-UNIFORME-EPI'!B:C,2,FALSE)</f>
        <v>0</v>
      </c>
      <c r="E197" s="17">
        <v>0.3</v>
      </c>
      <c r="F197" s="11">
        <f t="shared" si="5"/>
        <v>0</v>
      </c>
    </row>
    <row r="198" spans="2:6" x14ac:dyDescent="0.25">
      <c r="B198" s="31" t="s">
        <v>5</v>
      </c>
      <c r="C198" s="36" t="s">
        <v>4</v>
      </c>
      <c r="D198" s="11" t="e">
        <f>VLOOKUP(C198,'1.1 CUSTO FERRAME-UNIFORME-EPI'!B:C,2,FALSE)</f>
        <v>#DIV/0!</v>
      </c>
      <c r="E198" s="17">
        <v>0</v>
      </c>
      <c r="F198" s="11" t="e">
        <f t="shared" si="5"/>
        <v>#DIV/0!</v>
      </c>
    </row>
    <row r="199" spans="2:6" x14ac:dyDescent="0.25">
      <c r="B199" s="31" t="s">
        <v>3</v>
      </c>
      <c r="C199" s="37" t="str">
        <f>'1.1 CUSTO FERRAME-UNIFORME-EPI'!$B$34</f>
        <v>Garra Térmica 2L</v>
      </c>
      <c r="D199" s="11" t="e">
        <f>VLOOKUP(C199,'1.1 CUSTO FERRAME-UNIFORME-EPI'!B:C,2,FALSE)</f>
        <v>#DIV/0!</v>
      </c>
      <c r="E199" s="19">
        <v>0.08</v>
      </c>
      <c r="F199" s="11" t="e">
        <f t="shared" si="5"/>
        <v>#DIV/0!</v>
      </c>
    </row>
    <row r="200" spans="2:6" x14ac:dyDescent="0.25">
      <c r="B200" s="31"/>
      <c r="C200" s="38" t="s">
        <v>2</v>
      </c>
      <c r="D200" s="20"/>
      <c r="E200" s="20"/>
      <c r="F200" s="21" t="e">
        <f>SUM(F192:F199)</f>
        <v>#DIV/0!</v>
      </c>
    </row>
    <row r="201" spans="2:6" x14ac:dyDescent="0.25">
      <c r="B201" s="39"/>
      <c r="C201" s="40"/>
      <c r="D201" s="41"/>
      <c r="E201" s="41"/>
      <c r="F201" s="42"/>
    </row>
    <row r="202" spans="2:6" x14ac:dyDescent="0.25">
      <c r="B202" s="43" t="s">
        <v>1</v>
      </c>
      <c r="C202" s="44" t="s">
        <v>0</v>
      </c>
      <c r="D202" s="25"/>
      <c r="E202" s="25"/>
      <c r="F202" s="26" t="e">
        <f>SUM(F200,F190,F182)</f>
        <v>#DIV/0!</v>
      </c>
    </row>
    <row r="203" spans="2:6" x14ac:dyDescent="0.25">
      <c r="B203" s="1"/>
      <c r="C203" s="1"/>
      <c r="D203" s="1"/>
      <c r="E203" s="1"/>
      <c r="F203" s="1"/>
    </row>
    <row r="204" spans="2:6" x14ac:dyDescent="0.25">
      <c r="B204" s="1"/>
      <c r="C204" s="1"/>
      <c r="D204" s="1"/>
      <c r="E204" s="1"/>
      <c r="F204" s="1"/>
    </row>
    <row r="205" spans="2:6" x14ac:dyDescent="0.25">
      <c r="B205" s="27" t="s">
        <v>54</v>
      </c>
      <c r="C205" s="27" t="s">
        <v>53</v>
      </c>
      <c r="D205" s="628" t="s">
        <v>381</v>
      </c>
      <c r="E205" s="628"/>
      <c r="F205" s="628"/>
    </row>
    <row r="206" spans="2:6" x14ac:dyDescent="0.25">
      <c r="B206" s="28"/>
      <c r="C206" s="28"/>
      <c r="D206" s="629"/>
      <c r="E206" s="629"/>
      <c r="F206" s="629"/>
    </row>
    <row r="207" spans="2:6" x14ac:dyDescent="0.25">
      <c r="B207" s="29" t="s">
        <v>52</v>
      </c>
      <c r="C207" s="30" t="s">
        <v>51</v>
      </c>
      <c r="D207" s="8" t="s">
        <v>50</v>
      </c>
      <c r="E207" s="8" t="s">
        <v>49</v>
      </c>
      <c r="F207" s="8" t="s">
        <v>48</v>
      </c>
    </row>
    <row r="208" spans="2:6" x14ac:dyDescent="0.25">
      <c r="B208" s="29" t="s">
        <v>47</v>
      </c>
      <c r="C208" s="30" t="s">
        <v>46</v>
      </c>
      <c r="D208" s="8"/>
      <c r="E208" s="8"/>
      <c r="F208" s="8"/>
    </row>
    <row r="209" spans="2:6" x14ac:dyDescent="0.25">
      <c r="B209" s="31" t="s">
        <v>45</v>
      </c>
      <c r="C209" s="32" t="s">
        <v>44</v>
      </c>
      <c r="D209" s="33">
        <f>'1.1 SALÁRIOS'!$F$6</f>
        <v>0</v>
      </c>
      <c r="E209" s="11">
        <v>1</v>
      </c>
      <c r="F209" s="11">
        <f>E209*D209</f>
        <v>0</v>
      </c>
    </row>
    <row r="210" spans="2:6" x14ac:dyDescent="0.25">
      <c r="B210" s="31" t="s">
        <v>43</v>
      </c>
      <c r="C210" s="32" t="s">
        <v>42</v>
      </c>
      <c r="D210" s="11">
        <f>'1.1 SALÁRIOS'!$F$23</f>
        <v>0</v>
      </c>
      <c r="E210" s="34">
        <v>0.4</v>
      </c>
      <c r="F210" s="11">
        <f>E210*D210</f>
        <v>0</v>
      </c>
    </row>
    <row r="211" spans="2:6" x14ac:dyDescent="0.25">
      <c r="B211" s="31" t="s">
        <v>41</v>
      </c>
      <c r="C211" s="32" t="s">
        <v>56</v>
      </c>
      <c r="D211" s="11"/>
      <c r="E211" s="34"/>
      <c r="F211" s="11"/>
    </row>
    <row r="212" spans="2:6" x14ac:dyDescent="0.25">
      <c r="B212" s="31" t="s">
        <v>39</v>
      </c>
      <c r="C212" s="32" t="s">
        <v>38</v>
      </c>
      <c r="D212" s="11"/>
      <c r="E212" s="11"/>
      <c r="F212" s="11"/>
    </row>
    <row r="213" spans="2:6" x14ac:dyDescent="0.25">
      <c r="B213" s="31" t="s">
        <v>37</v>
      </c>
      <c r="C213" s="32" t="s">
        <v>36</v>
      </c>
      <c r="D213" s="11"/>
      <c r="E213" s="11"/>
      <c r="F213" s="11"/>
    </row>
    <row r="214" spans="2:6" x14ac:dyDescent="0.25">
      <c r="B214" s="31" t="s">
        <v>35</v>
      </c>
      <c r="C214" s="32" t="s">
        <v>34</v>
      </c>
      <c r="D214" s="11"/>
      <c r="E214" s="11"/>
      <c r="F214" s="11"/>
    </row>
    <row r="215" spans="2:6" x14ac:dyDescent="0.25">
      <c r="B215" s="31"/>
      <c r="C215" s="30" t="s">
        <v>32</v>
      </c>
      <c r="D215" s="11"/>
      <c r="E215" s="11"/>
      <c r="F215" s="12">
        <f>SUM(F209:F214)</f>
        <v>0</v>
      </c>
    </row>
    <row r="216" spans="2:6" x14ac:dyDescent="0.25">
      <c r="B216" s="29" t="s">
        <v>31</v>
      </c>
      <c r="C216" s="45" t="s">
        <v>30</v>
      </c>
      <c r="D216" s="46">
        <f>F215</f>
        <v>0</v>
      </c>
      <c r="E216" s="14">
        <f>'1.1 SALÁRIOS'!$F$33</f>
        <v>0</v>
      </c>
      <c r="F216" s="11">
        <f>E216*D216</f>
        <v>0</v>
      </c>
    </row>
    <row r="217" spans="2:6" x14ac:dyDescent="0.25">
      <c r="B217" s="29" t="s">
        <v>29</v>
      </c>
      <c r="C217" s="35" t="s">
        <v>28</v>
      </c>
      <c r="D217" s="11"/>
      <c r="E217" s="11"/>
      <c r="F217" s="12">
        <f>SUM(F215:F216)</f>
        <v>0</v>
      </c>
    </row>
    <row r="218" spans="2:6" x14ac:dyDescent="0.25">
      <c r="B218" s="29" t="s">
        <v>27</v>
      </c>
      <c r="C218" s="35" t="s">
        <v>26</v>
      </c>
      <c r="D218" s="11"/>
      <c r="E218" s="11"/>
      <c r="F218" s="11"/>
    </row>
    <row r="219" spans="2:6" x14ac:dyDescent="0.25">
      <c r="B219" s="9" t="s">
        <v>25</v>
      </c>
      <c r="C219" s="15" t="s">
        <v>24</v>
      </c>
      <c r="D219" s="11">
        <f>'1.1 SALÁRIOS'!$F$35</f>
        <v>0</v>
      </c>
      <c r="E219" s="11">
        <v>26.08</v>
      </c>
      <c r="F219" s="11">
        <f>IF(2*E219*D219-0.06*D209&lt;0,0,2*E219*D219-0.06*D209)</f>
        <v>0</v>
      </c>
    </row>
    <row r="220" spans="2:6" x14ac:dyDescent="0.25">
      <c r="B220" s="9" t="s">
        <v>23</v>
      </c>
      <c r="C220" s="15" t="s">
        <v>369</v>
      </c>
      <c r="D220" s="11">
        <f>('1.1 SALÁRIOS'!$F$36+'1.1 SALÁRIOS'!$F$37)/12</f>
        <v>0</v>
      </c>
      <c r="E220" s="11">
        <v>1</v>
      </c>
      <c r="F220" s="11">
        <f>E220*D220</f>
        <v>0</v>
      </c>
    </row>
    <row r="221" spans="2:6" x14ac:dyDescent="0.25">
      <c r="B221" s="9" t="s">
        <v>22</v>
      </c>
      <c r="C221" s="15" t="s">
        <v>370</v>
      </c>
      <c r="D221" s="11">
        <f>'1.1 SALÁRIOS'!$F$38</f>
        <v>0</v>
      </c>
      <c r="E221" s="11">
        <f>E219</f>
        <v>26.08</v>
      </c>
      <c r="F221" s="11">
        <f>E221*D221</f>
        <v>0</v>
      </c>
    </row>
    <row r="222" spans="2:6" x14ac:dyDescent="0.25">
      <c r="B222" s="9" t="s">
        <v>21</v>
      </c>
      <c r="C222" s="15" t="s">
        <v>371</v>
      </c>
      <c r="D222" s="11">
        <f>'1.1 SALÁRIOS'!$F$39</f>
        <v>0</v>
      </c>
      <c r="E222" s="11">
        <v>1</v>
      </c>
      <c r="F222" s="11">
        <f>E222*D222</f>
        <v>0</v>
      </c>
    </row>
    <row r="223" spans="2:6" x14ac:dyDescent="0.25">
      <c r="B223" s="9" t="s">
        <v>374</v>
      </c>
      <c r="C223" s="15" t="s">
        <v>372</v>
      </c>
      <c r="D223" s="11">
        <f>'1.1 SALÁRIOS'!$F$40</f>
        <v>0</v>
      </c>
      <c r="E223" s="11">
        <v>1</v>
      </c>
      <c r="F223" s="11">
        <f>E223*D223</f>
        <v>0</v>
      </c>
    </row>
    <row r="224" spans="2:6" x14ac:dyDescent="0.25">
      <c r="B224" s="9" t="s">
        <v>375</v>
      </c>
      <c r="C224" s="15" t="s">
        <v>373</v>
      </c>
      <c r="D224" s="11">
        <f>'1.1 SALÁRIOS'!$F$41</f>
        <v>0</v>
      </c>
      <c r="E224" s="11">
        <v>1</v>
      </c>
      <c r="F224" s="11">
        <f>E224*D224</f>
        <v>0</v>
      </c>
    </row>
    <row r="225" spans="2:6" x14ac:dyDescent="0.25">
      <c r="B225" s="31"/>
      <c r="C225" s="35" t="s">
        <v>20</v>
      </c>
      <c r="D225" s="12"/>
      <c r="E225" s="12"/>
      <c r="F225" s="12">
        <f>SUM(F219:F224)</f>
        <v>0</v>
      </c>
    </row>
    <row r="226" spans="2:6" x14ac:dyDescent="0.25">
      <c r="B226" s="29" t="s">
        <v>19</v>
      </c>
      <c r="C226" s="35" t="s">
        <v>18</v>
      </c>
      <c r="D226" s="11"/>
      <c r="E226" s="11"/>
      <c r="F226" s="11"/>
    </row>
    <row r="227" spans="2:6" x14ac:dyDescent="0.25">
      <c r="B227" s="31" t="s">
        <v>17</v>
      </c>
      <c r="C227" s="36" t="s">
        <v>16</v>
      </c>
      <c r="D227" s="11" t="e">
        <f>VLOOKUP(C227,'1.1 CUSTO FERRAME-UNIFORME-EPI'!B:C,2,FALSE)</f>
        <v>#DIV/0!</v>
      </c>
      <c r="E227" s="17">
        <v>0.25</v>
      </c>
      <c r="F227" s="11" t="e">
        <f t="shared" ref="F227:F236" si="6">E227*D227</f>
        <v>#DIV/0!</v>
      </c>
    </row>
    <row r="228" spans="2:6" x14ac:dyDescent="0.25">
      <c r="B228" s="31" t="s">
        <v>15</v>
      </c>
      <c r="C228" s="36" t="str">
        <f>'1.1 CUSTO FERRAME-UNIFORME-EPI'!$B$19</f>
        <v>Calça de brim</v>
      </c>
      <c r="D228" s="11">
        <f>VLOOKUP(C228,'1.1 CUSTO FERRAME-UNIFORME-EPI'!B:C,2,FALSE)</f>
        <v>0</v>
      </c>
      <c r="E228" s="17">
        <v>0.5</v>
      </c>
      <c r="F228" s="11">
        <f t="shared" si="6"/>
        <v>0</v>
      </c>
    </row>
    <row r="229" spans="2:6" x14ac:dyDescent="0.25">
      <c r="B229" s="31" t="s">
        <v>13</v>
      </c>
      <c r="C229" s="36" t="str">
        <f>'1.1 CUSTO FERRAME-UNIFORME-EPI'!$B$20</f>
        <v>Camisa de brim, manga longa</v>
      </c>
      <c r="D229" s="11">
        <f>VLOOKUP(C229,'1.1 CUSTO FERRAME-UNIFORME-EPI'!B:C,2,FALSE)</f>
        <v>0</v>
      </c>
      <c r="E229" s="17">
        <v>0.5</v>
      </c>
      <c r="F229" s="11">
        <f t="shared" si="6"/>
        <v>0</v>
      </c>
    </row>
    <row r="230" spans="2:6" x14ac:dyDescent="0.25">
      <c r="B230" s="31" t="s">
        <v>11</v>
      </c>
      <c r="C230" s="36" t="str">
        <f>'1.1 CUSTO FERRAME-UNIFORME-EPI'!$B$27</f>
        <v xml:space="preserve">Calçado, antiderrapante, tipo tênis </v>
      </c>
      <c r="D230" s="11">
        <f>VLOOKUP(C230,'1.1 CUSTO FERRAME-UNIFORME-EPI'!B:C,2,FALSE)</f>
        <v>0</v>
      </c>
      <c r="E230" s="17">
        <v>0.25</v>
      </c>
      <c r="F230" s="11">
        <f t="shared" si="6"/>
        <v>0</v>
      </c>
    </row>
    <row r="231" spans="2:6" x14ac:dyDescent="0.25">
      <c r="B231" s="31" t="s">
        <v>9</v>
      </c>
      <c r="C231" s="36" t="s">
        <v>58</v>
      </c>
      <c r="D231" s="11" t="e">
        <f>VLOOKUP(C231,'1.1 CUSTO FERRAME-UNIFORME-EPI'!B:C,2,FALSE)</f>
        <v>#DIV/0!</v>
      </c>
      <c r="E231" s="17">
        <v>0.25</v>
      </c>
      <c r="F231" s="11" t="e">
        <f t="shared" si="6"/>
        <v>#DIV/0!</v>
      </c>
    </row>
    <row r="232" spans="2:6" x14ac:dyDescent="0.25">
      <c r="B232" s="31" t="s">
        <v>7</v>
      </c>
      <c r="C232" s="36" t="s">
        <v>8</v>
      </c>
      <c r="D232" s="11">
        <f>VLOOKUP(C232,'1.1 CUSTO FERRAME-UNIFORME-EPI'!B:C,2,FALSE)</f>
        <v>0</v>
      </c>
      <c r="E232" s="17">
        <v>0.17</v>
      </c>
      <c r="F232" s="11">
        <f t="shared" si="6"/>
        <v>0</v>
      </c>
    </row>
    <row r="233" spans="2:6" x14ac:dyDescent="0.25">
      <c r="B233" s="31" t="s">
        <v>5</v>
      </c>
      <c r="C233" s="36" t="str">
        <f>'1.1 CUSTO FERRAME-UNIFORME-EPI'!$B$28</f>
        <v>Luva raspa de couro, cano curto</v>
      </c>
      <c r="D233" s="11">
        <f>VLOOKUP(C233,'1.1 CUSTO FERRAME-UNIFORME-EPI'!B:C,2,FALSE)</f>
        <v>0</v>
      </c>
      <c r="E233" s="17">
        <v>0.5</v>
      </c>
      <c r="F233" s="11">
        <f t="shared" si="6"/>
        <v>0</v>
      </c>
    </row>
    <row r="234" spans="2:6" x14ac:dyDescent="0.25">
      <c r="B234" s="31" t="s">
        <v>3</v>
      </c>
      <c r="C234" s="36" t="str">
        <f>'1.1 CUSTO FERRAME-UNIFORME-EPI'!$B$29</f>
        <v xml:space="preserve">Mascara descartável </v>
      </c>
      <c r="D234" s="11">
        <f>VLOOKUP(C234,'1.1 CUSTO FERRAME-UNIFORME-EPI'!B:C,2,FALSE)</f>
        <v>0</v>
      </c>
      <c r="E234" s="17">
        <v>2.17</v>
      </c>
      <c r="F234" s="11">
        <f t="shared" si="6"/>
        <v>0</v>
      </c>
    </row>
    <row r="235" spans="2:6" x14ac:dyDescent="0.25">
      <c r="B235" s="31" t="s">
        <v>59</v>
      </c>
      <c r="C235" s="36" t="s">
        <v>4</v>
      </c>
      <c r="D235" s="11" t="e">
        <f>VLOOKUP(C235,'1.1 CUSTO FERRAME-UNIFORME-EPI'!B:C,2,FALSE)</f>
        <v>#DIV/0!</v>
      </c>
      <c r="E235" s="17">
        <v>0.17</v>
      </c>
      <c r="F235" s="11" t="e">
        <f t="shared" si="6"/>
        <v>#DIV/0!</v>
      </c>
    </row>
    <row r="236" spans="2:6" x14ac:dyDescent="0.25">
      <c r="B236" s="31" t="s">
        <v>60</v>
      </c>
      <c r="C236" s="36" t="str">
        <f>'1.1 CUSTO FERRAME-UNIFORME-EPI'!$B$22</f>
        <v>Protetor solar fator 30 (120ml/Mês)</v>
      </c>
      <c r="D236" s="11">
        <f>VLOOKUP(C236,'1.1 CUSTO FERRAME-UNIFORME-EPI'!B:C,2,FALSE)</f>
        <v>0</v>
      </c>
      <c r="E236" s="17">
        <v>0.3</v>
      </c>
      <c r="F236" s="11">
        <f t="shared" si="6"/>
        <v>0</v>
      </c>
    </row>
    <row r="237" spans="2:6" x14ac:dyDescent="0.25">
      <c r="B237" s="31"/>
      <c r="C237" s="38" t="s">
        <v>2</v>
      </c>
      <c r="D237" s="20"/>
      <c r="E237" s="20"/>
      <c r="F237" s="21" t="e">
        <f>SUM(F227:F236)</f>
        <v>#DIV/0!</v>
      </c>
    </row>
    <row r="238" spans="2:6" x14ac:dyDescent="0.25">
      <c r="B238" s="39"/>
      <c r="C238" s="40"/>
      <c r="D238" s="41"/>
      <c r="E238" s="41"/>
      <c r="F238" s="42"/>
    </row>
    <row r="239" spans="2:6" x14ac:dyDescent="0.25">
      <c r="B239" s="43" t="s">
        <v>1</v>
      </c>
      <c r="C239" s="44" t="s">
        <v>0</v>
      </c>
      <c r="D239" s="25"/>
      <c r="E239" s="25"/>
      <c r="F239" s="26" t="e">
        <f>F237+F225+F217</f>
        <v>#DIV/0!</v>
      </c>
    </row>
    <row r="242" spans="2:6" x14ac:dyDescent="0.25">
      <c r="B242" s="27" t="s">
        <v>54</v>
      </c>
      <c r="C242" s="27" t="s">
        <v>53</v>
      </c>
      <c r="D242" s="628" t="s">
        <v>382</v>
      </c>
      <c r="E242" s="628"/>
      <c r="F242" s="628"/>
    </row>
    <row r="243" spans="2:6" x14ac:dyDescent="0.25">
      <c r="B243" s="28"/>
      <c r="C243" s="28"/>
      <c r="D243" s="629"/>
      <c r="E243" s="629"/>
      <c r="F243" s="629"/>
    </row>
    <row r="244" spans="2:6" x14ac:dyDescent="0.25">
      <c r="B244" s="29" t="s">
        <v>52</v>
      </c>
      <c r="C244" s="30" t="s">
        <v>51</v>
      </c>
      <c r="D244" s="8" t="s">
        <v>50</v>
      </c>
      <c r="E244" s="8" t="s">
        <v>49</v>
      </c>
      <c r="F244" s="8" t="s">
        <v>48</v>
      </c>
    </row>
    <row r="245" spans="2:6" x14ac:dyDescent="0.25">
      <c r="B245" s="29" t="s">
        <v>47</v>
      </c>
      <c r="C245" s="30" t="s">
        <v>46</v>
      </c>
      <c r="D245" s="8"/>
      <c r="E245" s="8"/>
      <c r="F245" s="8"/>
    </row>
    <row r="246" spans="2:6" x14ac:dyDescent="0.25">
      <c r="B246" s="31" t="s">
        <v>45</v>
      </c>
      <c r="C246" s="32" t="s">
        <v>44</v>
      </c>
      <c r="D246" s="33">
        <f>'1.1 SALÁRIOS'!$F$6</f>
        <v>0</v>
      </c>
      <c r="E246" s="11">
        <v>1</v>
      </c>
      <c r="F246" s="11">
        <f>E246*D246</f>
        <v>0</v>
      </c>
    </row>
    <row r="247" spans="2:6" x14ac:dyDescent="0.25">
      <c r="B247" s="31" t="s">
        <v>43</v>
      </c>
      <c r="C247" s="32" t="s">
        <v>42</v>
      </c>
      <c r="D247" s="11">
        <f>'1.1 SALÁRIOS'!$F$23</f>
        <v>0</v>
      </c>
      <c r="E247" s="34">
        <v>0.4</v>
      </c>
      <c r="F247" s="11">
        <f>E247*D247</f>
        <v>0</v>
      </c>
    </row>
    <row r="248" spans="2:6" x14ac:dyDescent="0.25">
      <c r="B248" s="31" t="s">
        <v>41</v>
      </c>
      <c r="C248" s="32" t="s">
        <v>56</v>
      </c>
      <c r="D248" s="322">
        <f>F246+F247</f>
        <v>0</v>
      </c>
      <c r="E248" s="34">
        <v>0.2</v>
      </c>
      <c r="F248" s="11">
        <f>E248*D248</f>
        <v>0</v>
      </c>
    </row>
    <row r="249" spans="2:6" x14ac:dyDescent="0.25">
      <c r="B249" s="31" t="s">
        <v>39</v>
      </c>
      <c r="C249" s="32" t="s">
        <v>38</v>
      </c>
      <c r="D249" s="11"/>
      <c r="E249" s="11"/>
      <c r="F249" s="11"/>
    </row>
    <row r="250" spans="2:6" x14ac:dyDescent="0.25">
      <c r="B250" s="31" t="s">
        <v>37</v>
      </c>
      <c r="C250" s="32" t="s">
        <v>36</v>
      </c>
      <c r="D250" s="11"/>
      <c r="E250" s="11"/>
      <c r="F250" s="11"/>
    </row>
    <row r="251" spans="2:6" x14ac:dyDescent="0.25">
      <c r="B251" s="31" t="s">
        <v>35</v>
      </c>
      <c r="C251" s="32" t="s">
        <v>34</v>
      </c>
      <c r="D251" s="11"/>
      <c r="E251" s="11"/>
      <c r="F251" s="11"/>
    </row>
    <row r="252" spans="2:6" x14ac:dyDescent="0.25">
      <c r="B252" s="31"/>
      <c r="C252" s="30" t="s">
        <v>32</v>
      </c>
      <c r="D252" s="11"/>
      <c r="E252" s="11"/>
      <c r="F252" s="12">
        <f>SUM(F246:F251)</f>
        <v>0</v>
      </c>
    </row>
    <row r="253" spans="2:6" x14ac:dyDescent="0.25">
      <c r="B253" s="29" t="s">
        <v>31</v>
      </c>
      <c r="C253" s="45" t="s">
        <v>30</v>
      </c>
      <c r="D253" s="46">
        <f>F252</f>
        <v>0</v>
      </c>
      <c r="E253" s="14">
        <f>'1.1 SALÁRIOS'!$F$33</f>
        <v>0</v>
      </c>
      <c r="F253" s="11">
        <f>E253*D253</f>
        <v>0</v>
      </c>
    </row>
    <row r="254" spans="2:6" x14ac:dyDescent="0.25">
      <c r="B254" s="29" t="s">
        <v>29</v>
      </c>
      <c r="C254" s="35" t="s">
        <v>28</v>
      </c>
      <c r="D254" s="11"/>
      <c r="E254" s="11"/>
      <c r="F254" s="12">
        <f>SUM(F252:F253)</f>
        <v>0</v>
      </c>
    </row>
    <row r="255" spans="2:6" x14ac:dyDescent="0.25">
      <c r="B255" s="29" t="s">
        <v>27</v>
      </c>
      <c r="C255" s="35" t="s">
        <v>26</v>
      </c>
      <c r="D255" s="11"/>
      <c r="E255" s="11"/>
      <c r="F255" s="11"/>
    </row>
    <row r="256" spans="2:6" x14ac:dyDescent="0.25">
      <c r="B256" s="9" t="s">
        <v>25</v>
      </c>
      <c r="C256" s="15" t="s">
        <v>24</v>
      </c>
      <c r="D256" s="11">
        <f>'1.1 SALÁRIOS'!$F$35</f>
        <v>0</v>
      </c>
      <c r="E256" s="11">
        <v>26.08</v>
      </c>
      <c r="F256" s="11">
        <f>IF(2*E256*D256-0.06*D246&lt;0,0,2*E256*D256-0.06*D246)</f>
        <v>0</v>
      </c>
    </row>
    <row r="257" spans="2:6" x14ac:dyDescent="0.25">
      <c r="B257" s="9" t="s">
        <v>23</v>
      </c>
      <c r="C257" s="15" t="s">
        <v>369</v>
      </c>
      <c r="D257" s="11">
        <f>('1.1 SALÁRIOS'!$F$36+'1.1 SALÁRIOS'!$F$37)/12</f>
        <v>0</v>
      </c>
      <c r="E257" s="11">
        <v>1</v>
      </c>
      <c r="F257" s="11">
        <f>E257*D257</f>
        <v>0</v>
      </c>
    </row>
    <row r="258" spans="2:6" x14ac:dyDescent="0.25">
      <c r="B258" s="9" t="s">
        <v>22</v>
      </c>
      <c r="C258" s="15" t="s">
        <v>370</v>
      </c>
      <c r="D258" s="11">
        <f>'1.1 SALÁRIOS'!$F$38</f>
        <v>0</v>
      </c>
      <c r="E258" s="11">
        <f>E256</f>
        <v>26.08</v>
      </c>
      <c r="F258" s="11">
        <f>E258*D258</f>
        <v>0</v>
      </c>
    </row>
    <row r="259" spans="2:6" x14ac:dyDescent="0.25">
      <c r="B259" s="9" t="s">
        <v>21</v>
      </c>
      <c r="C259" s="15" t="s">
        <v>371</v>
      </c>
      <c r="D259" s="11">
        <f>'1.1 SALÁRIOS'!$F$39</f>
        <v>0</v>
      </c>
      <c r="E259" s="11">
        <v>1</v>
      </c>
      <c r="F259" s="11">
        <f>E259*D259</f>
        <v>0</v>
      </c>
    </row>
    <row r="260" spans="2:6" x14ac:dyDescent="0.25">
      <c r="B260" s="9" t="s">
        <v>374</v>
      </c>
      <c r="C260" s="15" t="s">
        <v>372</v>
      </c>
      <c r="D260" s="11">
        <f>'1.1 SALÁRIOS'!$F$40</f>
        <v>0</v>
      </c>
      <c r="E260" s="11">
        <v>1</v>
      </c>
      <c r="F260" s="11">
        <f>E260*D260</f>
        <v>0</v>
      </c>
    </row>
    <row r="261" spans="2:6" x14ac:dyDescent="0.25">
      <c r="B261" s="9" t="s">
        <v>375</v>
      </c>
      <c r="C261" s="15" t="s">
        <v>373</v>
      </c>
      <c r="D261" s="11">
        <f>'1.1 SALÁRIOS'!$F$41</f>
        <v>0</v>
      </c>
      <c r="E261" s="11">
        <v>1</v>
      </c>
      <c r="F261" s="11">
        <f>E261*D261</f>
        <v>0</v>
      </c>
    </row>
    <row r="262" spans="2:6" x14ac:dyDescent="0.25">
      <c r="B262" s="31"/>
      <c r="C262" s="35" t="s">
        <v>20</v>
      </c>
      <c r="D262" s="12"/>
      <c r="E262" s="12"/>
      <c r="F262" s="12">
        <f>SUM(F256:F261)</f>
        <v>0</v>
      </c>
    </row>
    <row r="263" spans="2:6" x14ac:dyDescent="0.25">
      <c r="B263" s="29" t="s">
        <v>19</v>
      </c>
      <c r="C263" s="35" t="s">
        <v>18</v>
      </c>
      <c r="D263" s="11"/>
      <c r="E263" s="11"/>
      <c r="F263" s="11"/>
    </row>
    <row r="264" spans="2:6" x14ac:dyDescent="0.25">
      <c r="B264" s="31" t="s">
        <v>17</v>
      </c>
      <c r="C264" s="36" t="s">
        <v>16</v>
      </c>
      <c r="D264" s="11" t="e">
        <f>VLOOKUP(C264,'1.1 CUSTO FERRAME-UNIFORME-EPI'!B:C,2,FALSE)</f>
        <v>#DIV/0!</v>
      </c>
      <c r="E264" s="17">
        <v>0.25</v>
      </c>
      <c r="F264" s="11" t="e">
        <f t="shared" ref="F264:F273" si="7">E264*D264</f>
        <v>#DIV/0!</v>
      </c>
    </row>
    <row r="265" spans="2:6" x14ac:dyDescent="0.25">
      <c r="B265" s="31" t="s">
        <v>15</v>
      </c>
      <c r="C265" s="36" t="str">
        <f>'1.1 CUSTO FERRAME-UNIFORME-EPI'!$B$19</f>
        <v>Calça de brim</v>
      </c>
      <c r="D265" s="11">
        <f>VLOOKUP(C265,'1.1 CUSTO FERRAME-UNIFORME-EPI'!B:C,2,FALSE)</f>
        <v>0</v>
      </c>
      <c r="E265" s="17">
        <v>0.5</v>
      </c>
      <c r="F265" s="11">
        <f t="shared" si="7"/>
        <v>0</v>
      </c>
    </row>
    <row r="266" spans="2:6" x14ac:dyDescent="0.25">
      <c r="B266" s="31" t="s">
        <v>13</v>
      </c>
      <c r="C266" s="36" t="str">
        <f>'1.1 CUSTO FERRAME-UNIFORME-EPI'!$B$20</f>
        <v>Camisa de brim, manga longa</v>
      </c>
      <c r="D266" s="11">
        <f>VLOOKUP(C266,'1.1 CUSTO FERRAME-UNIFORME-EPI'!B:C,2,FALSE)</f>
        <v>0</v>
      </c>
      <c r="E266" s="17">
        <v>0.5</v>
      </c>
      <c r="F266" s="11">
        <f t="shared" si="7"/>
        <v>0</v>
      </c>
    </row>
    <row r="267" spans="2:6" x14ac:dyDescent="0.25">
      <c r="B267" s="31" t="s">
        <v>11</v>
      </c>
      <c r="C267" s="36" t="str">
        <f>'1.1 CUSTO FERRAME-UNIFORME-EPI'!$B$27</f>
        <v xml:space="preserve">Calçado, antiderrapante, tipo tênis </v>
      </c>
      <c r="D267" s="11">
        <f>VLOOKUP(C267,'1.1 CUSTO FERRAME-UNIFORME-EPI'!B:C,2,FALSE)</f>
        <v>0</v>
      </c>
      <c r="E267" s="17">
        <v>0.25</v>
      </c>
      <c r="F267" s="11">
        <f t="shared" si="7"/>
        <v>0</v>
      </c>
    </row>
    <row r="268" spans="2:6" x14ac:dyDescent="0.25">
      <c r="B268" s="31" t="s">
        <v>9</v>
      </c>
      <c r="C268" s="36" t="s">
        <v>58</v>
      </c>
      <c r="D268" s="11" t="e">
        <f>VLOOKUP(C268,'1.1 CUSTO FERRAME-UNIFORME-EPI'!B:C,2,FALSE)</f>
        <v>#DIV/0!</v>
      </c>
      <c r="E268" s="17">
        <v>0.25</v>
      </c>
      <c r="F268" s="11" t="e">
        <f t="shared" si="7"/>
        <v>#DIV/0!</v>
      </c>
    </row>
    <row r="269" spans="2:6" x14ac:dyDescent="0.25">
      <c r="B269" s="31" t="s">
        <v>7</v>
      </c>
      <c r="C269" s="36" t="s">
        <v>8</v>
      </c>
      <c r="D269" s="11">
        <f>VLOOKUP(C269,'1.1 CUSTO FERRAME-UNIFORME-EPI'!B:C,2,FALSE)</f>
        <v>0</v>
      </c>
      <c r="E269" s="17">
        <v>0.17</v>
      </c>
      <c r="F269" s="11">
        <f t="shared" si="7"/>
        <v>0</v>
      </c>
    </row>
    <row r="270" spans="2:6" x14ac:dyDescent="0.25">
      <c r="B270" s="31" t="s">
        <v>5</v>
      </c>
      <c r="C270" s="36" t="str">
        <f>'1.1 CUSTO FERRAME-UNIFORME-EPI'!$B$28</f>
        <v>Luva raspa de couro, cano curto</v>
      </c>
      <c r="D270" s="11">
        <f>VLOOKUP(C270,'1.1 CUSTO FERRAME-UNIFORME-EPI'!B:C,2,FALSE)</f>
        <v>0</v>
      </c>
      <c r="E270" s="17">
        <v>0.5</v>
      </c>
      <c r="F270" s="11">
        <f t="shared" si="7"/>
        <v>0</v>
      </c>
    </row>
    <row r="271" spans="2:6" x14ac:dyDescent="0.25">
      <c r="B271" s="31" t="s">
        <v>3</v>
      </c>
      <c r="C271" s="36" t="str">
        <f>'1.1 CUSTO FERRAME-UNIFORME-EPI'!$B$29</f>
        <v xml:space="preserve">Mascara descartável </v>
      </c>
      <c r="D271" s="11">
        <f>VLOOKUP(C271,'1.1 CUSTO FERRAME-UNIFORME-EPI'!B:C,2,FALSE)</f>
        <v>0</v>
      </c>
      <c r="E271" s="17">
        <v>2.17</v>
      </c>
      <c r="F271" s="11">
        <f t="shared" si="7"/>
        <v>0</v>
      </c>
    </row>
    <row r="272" spans="2:6" x14ac:dyDescent="0.25">
      <c r="B272" s="31" t="s">
        <v>59</v>
      </c>
      <c r="C272" s="36" t="s">
        <v>4</v>
      </c>
      <c r="D272" s="11" t="e">
        <f>VLOOKUP(C272,'1.1 CUSTO FERRAME-UNIFORME-EPI'!B:C,2,FALSE)</f>
        <v>#DIV/0!</v>
      </c>
      <c r="E272" s="17">
        <v>0.17</v>
      </c>
      <c r="F272" s="11" t="e">
        <f t="shared" si="7"/>
        <v>#DIV/0!</v>
      </c>
    </row>
    <row r="273" spans="2:6" x14ac:dyDescent="0.25">
      <c r="B273" s="31" t="s">
        <v>60</v>
      </c>
      <c r="C273" s="36" t="str">
        <f>'1.1 CUSTO FERRAME-UNIFORME-EPI'!$B$22</f>
        <v>Protetor solar fator 30 (120ml/Mês)</v>
      </c>
      <c r="D273" s="11">
        <f>VLOOKUP(C273,'1.1 CUSTO FERRAME-UNIFORME-EPI'!B:C,2,FALSE)</f>
        <v>0</v>
      </c>
      <c r="E273" s="17"/>
      <c r="F273" s="11">
        <f t="shared" si="7"/>
        <v>0</v>
      </c>
    </row>
    <row r="274" spans="2:6" x14ac:dyDescent="0.25">
      <c r="B274" s="31"/>
      <c r="C274" s="38" t="s">
        <v>2</v>
      </c>
      <c r="D274" s="20"/>
      <c r="E274" s="20"/>
      <c r="F274" s="21" t="e">
        <f>SUM(F264:F273)</f>
        <v>#DIV/0!</v>
      </c>
    </row>
    <row r="275" spans="2:6" x14ac:dyDescent="0.25">
      <c r="B275" s="39"/>
      <c r="C275" s="40"/>
      <c r="D275" s="41"/>
      <c r="E275" s="41"/>
      <c r="F275" s="42"/>
    </row>
    <row r="276" spans="2:6" x14ac:dyDescent="0.25">
      <c r="B276" s="43" t="s">
        <v>1</v>
      </c>
      <c r="C276" s="44" t="s">
        <v>0</v>
      </c>
      <c r="D276" s="25"/>
      <c r="E276" s="25"/>
      <c r="F276" s="26" t="e">
        <f>F274+F262+F254</f>
        <v>#DIV/0!</v>
      </c>
    </row>
  </sheetData>
  <mergeCells count="17">
    <mergeCell ref="D67:F67"/>
    <mergeCell ref="B2:F2"/>
    <mergeCell ref="D5:F5"/>
    <mergeCell ref="D6:F6"/>
    <mergeCell ref="D36:F36"/>
    <mergeCell ref="D37:F37"/>
    <mergeCell ref="D242:F242"/>
    <mergeCell ref="D243:F243"/>
    <mergeCell ref="D68:F68"/>
    <mergeCell ref="D102:F102"/>
    <mergeCell ref="D103:F103"/>
    <mergeCell ref="D137:F137"/>
    <mergeCell ref="D170:F170"/>
    <mergeCell ref="D171:F171"/>
    <mergeCell ref="D205:F205"/>
    <mergeCell ref="D206:F206"/>
    <mergeCell ref="D136:F136"/>
  </mergeCells>
  <pageMargins left="0.98425196850393704" right="0.59055118110236215" top="1.1811023622047243" bottom="0.59055118110236215" header="0.11811023622047244" footer="0.51181102362204722"/>
  <pageSetup paperSize="9" scale="67" fitToHeight="0"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H114"/>
  <sheetViews>
    <sheetView showGridLines="0" view="pageLayout" topLeftCell="A106" zoomScaleNormal="110" zoomScaleSheetLayoutView="100" workbookViewId="0">
      <selection activeCell="E8" sqref="E8"/>
    </sheetView>
  </sheetViews>
  <sheetFormatPr defaultColWidth="9" defaultRowHeight="13.5" x14ac:dyDescent="0.25"/>
  <cols>
    <col min="1" max="1" width="5.140625" style="181" customWidth="1"/>
    <col min="2" max="2" width="28.85546875" style="181" customWidth="1"/>
    <col min="3" max="4" width="17.85546875" style="181" customWidth="1"/>
    <col min="5" max="5" width="16.42578125" style="181" customWidth="1"/>
    <col min="6" max="7" width="9" style="181"/>
    <col min="8" max="8" width="0" style="181" hidden="1" customWidth="1"/>
    <col min="9" max="16384" width="9" style="181"/>
  </cols>
  <sheetData>
    <row r="1" spans="1:8" ht="15" customHeight="1" x14ac:dyDescent="0.25"/>
    <row r="2" spans="1:8" ht="15.75" x14ac:dyDescent="0.25">
      <c r="A2" s="642" t="s">
        <v>187</v>
      </c>
      <c r="B2" s="642"/>
      <c r="C2" s="642"/>
      <c r="D2" s="642"/>
      <c r="E2" s="642"/>
    </row>
    <row r="3" spans="1:8" x14ac:dyDescent="0.25">
      <c r="C3" s="221"/>
      <c r="D3" s="221"/>
    </row>
    <row r="4" spans="1:8" ht="12" customHeight="1" x14ac:dyDescent="0.25">
      <c r="B4" s="220"/>
      <c r="C4" s="220"/>
      <c r="D4" s="220"/>
    </row>
    <row r="5" spans="1:8" ht="12.95" customHeight="1" x14ac:dyDescent="0.25">
      <c r="C5" s="219"/>
      <c r="D5" s="219"/>
    </row>
    <row r="6" spans="1:8" s="193" customFormat="1" ht="52.5" customHeight="1" x14ac:dyDescent="0.25">
      <c r="A6" s="643" t="s">
        <v>54</v>
      </c>
      <c r="B6" s="644" t="s">
        <v>53</v>
      </c>
      <c r="C6" s="217" t="s">
        <v>6677</v>
      </c>
      <c r="D6" s="217" t="s">
        <v>186</v>
      </c>
      <c r="H6" s="217" t="s">
        <v>6676</v>
      </c>
    </row>
    <row r="7" spans="1:8" s="193" customFormat="1" ht="18" customHeight="1" x14ac:dyDescent="0.25">
      <c r="A7" s="643"/>
      <c r="B7" s="644"/>
      <c r="C7" s="217" t="s">
        <v>184</v>
      </c>
      <c r="D7" s="217" t="s">
        <v>184</v>
      </c>
      <c r="H7" s="217" t="s">
        <v>184</v>
      </c>
    </row>
    <row r="8" spans="1:8" s="193" customFormat="1" ht="14.1" customHeight="1" x14ac:dyDescent="0.25">
      <c r="A8" s="202" t="s">
        <v>183</v>
      </c>
      <c r="B8" s="201" t="s">
        <v>182</v>
      </c>
      <c r="C8" s="200" t="e">
        <f>(C9-C10)/D39/12</f>
        <v>#DIV/0!</v>
      </c>
      <c r="D8" s="200" t="e">
        <f>(D9-D10)/D39/12</f>
        <v>#DIV/0!</v>
      </c>
      <c r="H8" s="200" t="e">
        <f>(H9-H10)/C39/12</f>
        <v>#DIV/0!</v>
      </c>
    </row>
    <row r="9" spans="1:8" s="209" customFormat="1" ht="14.1" customHeight="1" x14ac:dyDescent="0.2">
      <c r="A9" s="208" t="s">
        <v>181</v>
      </c>
      <c r="B9" s="187" t="s">
        <v>180</v>
      </c>
      <c r="C9" s="186" t="e">
        <f>'1.1 REF EQUIPAMENTOS E DIV'!E11+'1.1 REF EQUIPAMENTOS E DIV'!E4</f>
        <v>#DIV/0!</v>
      </c>
      <c r="D9" s="186" t="e">
        <f>'1.1 REF EQUIPAMENTOS E DIV'!E11+'1.1 REF EQUIPAMENTOS E DIV'!E5</f>
        <v>#DIV/0!</v>
      </c>
      <c r="H9" s="186" t="e">
        <f>'1.1 REF EQUIPAMENTOS E DIV'!E11+'1.1 REF EQUIPAMENTOS E DIV'!E4</f>
        <v>#DIV/0!</v>
      </c>
    </row>
    <row r="10" spans="1:8" s="209" customFormat="1" ht="14.1" customHeight="1" x14ac:dyDescent="0.2">
      <c r="A10" s="208" t="s">
        <v>179</v>
      </c>
      <c r="B10" s="187" t="s">
        <v>148</v>
      </c>
      <c r="C10" s="186" t="e">
        <f>C9*D38</f>
        <v>#DIV/0!</v>
      </c>
      <c r="D10" s="186" t="e">
        <f>D9*D38</f>
        <v>#DIV/0!</v>
      </c>
      <c r="H10" s="186" t="e">
        <f>H9*C38</f>
        <v>#DIV/0!</v>
      </c>
    </row>
    <row r="11" spans="1:8" s="209" customFormat="1" ht="9.9499999999999993" customHeight="1" x14ac:dyDescent="0.2">
      <c r="A11" s="213"/>
      <c r="B11" s="204"/>
      <c r="C11" s="203"/>
      <c r="D11" s="203"/>
      <c r="H11" s="203"/>
    </row>
    <row r="12" spans="1:8" s="209" customFormat="1" ht="14.1" customHeight="1" x14ac:dyDescent="0.2">
      <c r="A12" s="212" t="s">
        <v>178</v>
      </c>
      <c r="B12" s="211" t="s">
        <v>177</v>
      </c>
      <c r="C12" s="210" t="e">
        <f>C14*D40/12</f>
        <v>#DIV/0!</v>
      </c>
      <c r="D12" s="210" t="e">
        <f>D14*D40/12</f>
        <v>#DIV/0!</v>
      </c>
      <c r="H12" s="210" t="e">
        <f>H14*C40/12</f>
        <v>#DIV/0!</v>
      </c>
    </row>
    <row r="13" spans="1:8" s="209" customFormat="1" ht="14.1" customHeight="1" x14ac:dyDescent="0.2">
      <c r="A13" s="188" t="s">
        <v>176</v>
      </c>
      <c r="B13" s="187" t="s">
        <v>175</v>
      </c>
      <c r="C13" s="186" t="e">
        <f>C9</f>
        <v>#DIV/0!</v>
      </c>
      <c r="D13" s="186" t="e">
        <f>D9</f>
        <v>#DIV/0!</v>
      </c>
      <c r="H13" s="186" t="e">
        <f>H9</f>
        <v>#DIV/0!</v>
      </c>
    </row>
    <row r="14" spans="1:8" s="209" customFormat="1" ht="14.1" customHeight="1" x14ac:dyDescent="0.2">
      <c r="A14" s="188" t="s">
        <v>174</v>
      </c>
      <c r="B14" s="187" t="s">
        <v>173</v>
      </c>
      <c r="C14" s="186" t="e">
        <f>(C9-C10)*((1+D39)/(2*D39))/1.25</f>
        <v>#DIV/0!</v>
      </c>
      <c r="D14" s="186" t="e">
        <f>(D9-D10)*((1+D39)/(2*D39))/1.25</f>
        <v>#DIV/0!</v>
      </c>
      <c r="H14" s="186" t="e">
        <f>(H9-H10)*((1+C39)/(2*C39))/1.25</f>
        <v>#DIV/0!</v>
      </c>
    </row>
    <row r="15" spans="1:8" s="209" customFormat="1" ht="14.1" customHeight="1" x14ac:dyDescent="0.2">
      <c r="A15" s="213"/>
      <c r="B15" s="204"/>
      <c r="C15" s="203"/>
      <c r="D15" s="203"/>
      <c r="H15" s="203"/>
    </row>
    <row r="16" spans="1:8" s="209" customFormat="1" ht="11.25" x14ac:dyDescent="0.2">
      <c r="A16" s="212" t="s">
        <v>172</v>
      </c>
      <c r="B16" s="211" t="s">
        <v>171</v>
      </c>
      <c r="C16" s="210">
        <f>C21*7.33*26.08</f>
        <v>0</v>
      </c>
      <c r="D16" s="210">
        <f>D21*7.33*26.08</f>
        <v>0</v>
      </c>
      <c r="H16" s="210">
        <f>H21*7.33*26.08*2</f>
        <v>0</v>
      </c>
    </row>
    <row r="17" spans="1:8" s="193" customFormat="1" ht="14.1" customHeight="1" x14ac:dyDescent="0.25">
      <c r="A17" s="208" t="s">
        <v>170</v>
      </c>
      <c r="B17" s="187" t="s">
        <v>169</v>
      </c>
      <c r="C17" s="186">
        <f>0.11*277*0.735</f>
        <v>22.39545</v>
      </c>
      <c r="D17" s="186"/>
      <c r="H17" s="186">
        <f>0.099*200</f>
        <v>19.8</v>
      </c>
    </row>
    <row r="18" spans="1:8" s="193" customFormat="1" ht="14.1" customHeight="1" x14ac:dyDescent="0.25">
      <c r="A18" s="208"/>
      <c r="B18" s="187"/>
      <c r="C18" s="186"/>
      <c r="D18" s="186"/>
      <c r="H18" s="186"/>
    </row>
    <row r="19" spans="1:8" s="193" customFormat="1" ht="14.1" customHeight="1" x14ac:dyDescent="0.25">
      <c r="A19" s="208"/>
      <c r="B19" s="187" t="s">
        <v>168</v>
      </c>
      <c r="C19" s="186">
        <f>'1.1 REF EQUIPAMENTOS E DIV'!$E$38</f>
        <v>0</v>
      </c>
      <c r="D19" s="186"/>
      <c r="H19" s="186">
        <f>'1.1 REF EQUIPAMENTOS E DIV'!$E$38</f>
        <v>0</v>
      </c>
    </row>
    <row r="20" spans="1:8" s="209" customFormat="1" ht="14.1" customHeight="1" x14ac:dyDescent="0.2">
      <c r="A20" s="207"/>
      <c r="B20" s="187"/>
      <c r="C20" s="186"/>
      <c r="D20" s="186"/>
      <c r="H20" s="186"/>
    </row>
    <row r="21" spans="1:8" s="209" customFormat="1" ht="11.25" x14ac:dyDescent="0.2">
      <c r="A21" s="208" t="s">
        <v>167</v>
      </c>
      <c r="B21" s="187" t="s">
        <v>166</v>
      </c>
      <c r="C21" s="186">
        <f>C19*C17</f>
        <v>0</v>
      </c>
      <c r="D21" s="186">
        <f>D19*D17</f>
        <v>0</v>
      </c>
      <c r="H21" s="186">
        <f>H19*H17</f>
        <v>0</v>
      </c>
    </row>
    <row r="22" spans="1:8" s="193" customFormat="1" ht="14.1" customHeight="1" x14ac:dyDescent="0.25">
      <c r="A22" s="202" t="s">
        <v>165</v>
      </c>
      <c r="B22" s="201" t="s">
        <v>164</v>
      </c>
      <c r="C22" s="200">
        <f>C25</f>
        <v>0</v>
      </c>
      <c r="D22" s="200">
        <f>D25</f>
        <v>0</v>
      </c>
      <c r="H22" s="200">
        <f>H25</f>
        <v>0</v>
      </c>
    </row>
    <row r="23" spans="1:8" s="209" customFormat="1" ht="14.1" customHeight="1" x14ac:dyDescent="0.2">
      <c r="A23" s="208" t="s">
        <v>163</v>
      </c>
      <c r="B23" s="187" t="s">
        <v>162</v>
      </c>
      <c r="C23" s="186">
        <v>0.1</v>
      </c>
      <c r="D23" s="186">
        <v>0.1</v>
      </c>
      <c r="H23" s="186">
        <v>0.1</v>
      </c>
    </row>
    <row r="24" spans="1:8" s="209" customFormat="1" ht="9.9499999999999993" customHeight="1" x14ac:dyDescent="0.2">
      <c r="A24" s="207"/>
      <c r="B24" s="187"/>
      <c r="C24" s="186"/>
      <c r="D24" s="186"/>
      <c r="H24" s="186"/>
    </row>
    <row r="25" spans="1:8" s="209" customFormat="1" ht="14.1" customHeight="1" x14ac:dyDescent="0.2">
      <c r="A25" s="208" t="s">
        <v>161</v>
      </c>
      <c r="B25" s="187" t="s">
        <v>160</v>
      </c>
      <c r="C25" s="186">
        <f>C23*C16</f>
        <v>0</v>
      </c>
      <c r="D25" s="186">
        <f>D23*D16</f>
        <v>0</v>
      </c>
      <c r="H25" s="186">
        <f>H23*H16</f>
        <v>0</v>
      </c>
    </row>
    <row r="26" spans="1:8" s="209" customFormat="1" ht="9.9499999999999993" customHeight="1" x14ac:dyDescent="0.2">
      <c r="A26" s="207"/>
      <c r="B26" s="187"/>
      <c r="C26" s="186"/>
      <c r="D26" s="186"/>
      <c r="H26" s="186"/>
    </row>
    <row r="27" spans="1:8" s="209" customFormat="1" ht="14.1" customHeight="1" x14ac:dyDescent="0.2">
      <c r="A27" s="202" t="s">
        <v>159</v>
      </c>
      <c r="B27" s="201" t="s">
        <v>158</v>
      </c>
      <c r="C27" s="200" t="e">
        <f>C33</f>
        <v>#DIV/0!</v>
      </c>
      <c r="D27" s="200" t="e">
        <f>D33</f>
        <v>#DIV/0!</v>
      </c>
      <c r="H27" s="200" t="e">
        <f>H33</f>
        <v>#DIV/0!</v>
      </c>
    </row>
    <row r="28" spans="1:8" s="209" customFormat="1" ht="18" customHeight="1" x14ac:dyDescent="0.2">
      <c r="A28" s="208" t="s">
        <v>157</v>
      </c>
      <c r="B28" s="187" t="s">
        <v>156</v>
      </c>
      <c r="C28" s="186" t="e">
        <f>C8</f>
        <v>#DIV/0!</v>
      </c>
      <c r="D28" s="186" t="e">
        <f>D8</f>
        <v>#DIV/0!</v>
      </c>
      <c r="H28" s="186" t="e">
        <f>H8</f>
        <v>#DIV/0!</v>
      </c>
    </row>
    <row r="29" spans="1:8" s="193" customFormat="1" ht="21.75" customHeight="1" x14ac:dyDescent="0.25">
      <c r="A29" s="207"/>
      <c r="B29" s="187"/>
      <c r="C29" s="186"/>
      <c r="D29" s="186"/>
      <c r="H29" s="186"/>
    </row>
    <row r="30" spans="1:8" s="193" customFormat="1" x14ac:dyDescent="0.25">
      <c r="A30" s="208" t="s">
        <v>155</v>
      </c>
      <c r="B30" s="187" t="s">
        <v>154</v>
      </c>
      <c r="C30" s="186">
        <v>0.9</v>
      </c>
      <c r="D30" s="186">
        <v>0</v>
      </c>
      <c r="H30" s="186">
        <v>0.9</v>
      </c>
    </row>
    <row r="31" spans="1:8" s="193" customFormat="1" x14ac:dyDescent="0.25">
      <c r="A31" s="208" t="s">
        <v>153</v>
      </c>
      <c r="B31" s="187" t="s">
        <v>386</v>
      </c>
      <c r="C31" s="310">
        <v>2.5000000000000001E-2</v>
      </c>
      <c r="D31" s="310">
        <v>2.5000000000000001E-2</v>
      </c>
      <c r="H31" s="310">
        <v>2.5000000000000001E-2</v>
      </c>
    </row>
    <row r="32" spans="1:8" s="193" customFormat="1" x14ac:dyDescent="0.25">
      <c r="A32" s="207"/>
      <c r="B32" s="187"/>
      <c r="C32" s="186"/>
      <c r="D32" s="186"/>
      <c r="H32" s="186"/>
    </row>
    <row r="33" spans="1:8" s="193" customFormat="1" x14ac:dyDescent="0.25">
      <c r="A33" s="205" t="s">
        <v>387</v>
      </c>
      <c r="B33" s="204" t="s">
        <v>152</v>
      </c>
      <c r="C33" s="203" t="e">
        <f>(C30+C31)*C28</f>
        <v>#DIV/0!</v>
      </c>
      <c r="D33" s="203" t="e">
        <f>(D30+D31)*D28</f>
        <v>#DIV/0!</v>
      </c>
      <c r="H33" s="203" t="e">
        <f>(H30+H31)*H28</f>
        <v>#DIV/0!</v>
      </c>
    </row>
    <row r="34" spans="1:8" s="193" customFormat="1" x14ac:dyDescent="0.25">
      <c r="A34" s="202" t="s">
        <v>151</v>
      </c>
      <c r="B34" s="201" t="s">
        <v>150</v>
      </c>
      <c r="C34" s="200" t="e">
        <f>'1.1 REF EQUIPAMENTOS E DIV'!$E$35</f>
        <v>#DIV/0!</v>
      </c>
      <c r="D34" s="200" t="e">
        <f>'1.1 REF EQUIPAMENTOS E DIV'!$E$35</f>
        <v>#DIV/0!</v>
      </c>
      <c r="H34" s="200" t="e">
        <f>'1.1 REF EQUIPAMENTOS E DIV'!$E$35</f>
        <v>#DIV/0!</v>
      </c>
    </row>
    <row r="35" spans="1:8" x14ac:dyDescent="0.25">
      <c r="A35" s="199"/>
      <c r="B35" s="198" t="s">
        <v>149</v>
      </c>
      <c r="C35" s="197" t="e">
        <f>C27++C22+C16+C12+C8+C34</f>
        <v>#DIV/0!</v>
      </c>
      <c r="D35" s="197" t="e">
        <f>D27++D22+D16+D12+D8+D34</f>
        <v>#DIV/0!</v>
      </c>
      <c r="H35" s="197" t="e">
        <f>H27++H22+H16+H12+H8+H34</f>
        <v>#DIV/0!</v>
      </c>
    </row>
    <row r="36" spans="1:8" x14ac:dyDescent="0.25">
      <c r="A36" s="196"/>
      <c r="B36" s="195"/>
      <c r="C36" s="194"/>
      <c r="D36" s="194"/>
    </row>
    <row r="38" spans="1:8" x14ac:dyDescent="0.25">
      <c r="A38" s="192"/>
      <c r="B38" s="191" t="s">
        <v>148</v>
      </c>
      <c r="C38" s="190">
        <v>0.4</v>
      </c>
      <c r="D38" s="190">
        <v>0.4</v>
      </c>
      <c r="E38" s="190">
        <v>0.4</v>
      </c>
    </row>
    <row r="39" spans="1:8" x14ac:dyDescent="0.25">
      <c r="A39" s="188"/>
      <c r="B39" s="187" t="s">
        <v>147</v>
      </c>
      <c r="C39" s="186">
        <v>5</v>
      </c>
      <c r="D39" s="186">
        <v>5</v>
      </c>
      <c r="E39" s="186">
        <v>5</v>
      </c>
    </row>
    <row r="40" spans="1:8" x14ac:dyDescent="0.25">
      <c r="A40" s="184"/>
      <c r="B40" s="183" t="s">
        <v>145</v>
      </c>
      <c r="C40" s="182">
        <v>0.13250000000000001</v>
      </c>
      <c r="D40" s="182">
        <v>0.13250000000000001</v>
      </c>
      <c r="E40" s="182">
        <v>0.13250000000000001</v>
      </c>
    </row>
    <row r="43" spans="1:8" x14ac:dyDescent="0.25">
      <c r="A43" s="643" t="s">
        <v>54</v>
      </c>
      <c r="B43" s="644" t="s">
        <v>53</v>
      </c>
      <c r="C43" s="217" t="s">
        <v>383</v>
      </c>
      <c r="D43" s="217" t="s">
        <v>384</v>
      </c>
      <c r="E43" s="217" t="s">
        <v>385</v>
      </c>
    </row>
    <row r="44" spans="1:8" x14ac:dyDescent="0.25">
      <c r="A44" s="643"/>
      <c r="B44" s="644"/>
      <c r="C44" s="217" t="s">
        <v>184</v>
      </c>
      <c r="D44" s="217" t="s">
        <v>184</v>
      </c>
      <c r="E44" s="217" t="s">
        <v>184</v>
      </c>
    </row>
    <row r="45" spans="1:8" x14ac:dyDescent="0.25">
      <c r="A45" s="202" t="s">
        <v>183</v>
      </c>
      <c r="B45" s="201" t="s">
        <v>182</v>
      </c>
      <c r="C45" s="200">
        <f>(C46-C47)/C76/12</f>
        <v>0</v>
      </c>
      <c r="D45" s="200">
        <f>(D46-D47)/D76/12</f>
        <v>0</v>
      </c>
      <c r="E45" s="200">
        <f>(E46-E47)/E76/12</f>
        <v>0</v>
      </c>
    </row>
    <row r="46" spans="1:8" x14ac:dyDescent="0.25">
      <c r="A46" s="208" t="s">
        <v>181</v>
      </c>
      <c r="B46" s="187" t="s">
        <v>180</v>
      </c>
      <c r="C46" s="186">
        <f>'1.1 REF EQUIPAMENTOS E DIV'!E17</f>
        <v>0</v>
      </c>
      <c r="D46" s="186">
        <f>'1.1 REF EQUIPAMENTOS E DIV'!E17</f>
        <v>0</v>
      </c>
      <c r="E46" s="186">
        <f>'1.1 REF EQUIPAMENTOS E DIV'!E19</f>
        <v>0</v>
      </c>
    </row>
    <row r="47" spans="1:8" x14ac:dyDescent="0.25">
      <c r="A47" s="208" t="s">
        <v>179</v>
      </c>
      <c r="B47" s="187" t="s">
        <v>148</v>
      </c>
      <c r="C47" s="186">
        <f>C46*C75</f>
        <v>0</v>
      </c>
      <c r="D47" s="186">
        <f>D46*D75</f>
        <v>0</v>
      </c>
      <c r="E47" s="186">
        <f>E46*E75</f>
        <v>0</v>
      </c>
    </row>
    <row r="48" spans="1:8" x14ac:dyDescent="0.25">
      <c r="A48" s="213"/>
      <c r="B48" s="204"/>
      <c r="C48" s="203"/>
      <c r="D48" s="203"/>
      <c r="E48" s="203"/>
    </row>
    <row r="49" spans="1:5" x14ac:dyDescent="0.25">
      <c r="A49" s="212" t="s">
        <v>178</v>
      </c>
      <c r="B49" s="211" t="s">
        <v>177</v>
      </c>
      <c r="C49" s="210">
        <f>C51*C77/12</f>
        <v>0</v>
      </c>
      <c r="D49" s="210">
        <f>D51*D77/12</f>
        <v>0</v>
      </c>
      <c r="E49" s="210">
        <f>E51*E77/12</f>
        <v>0</v>
      </c>
    </row>
    <row r="50" spans="1:5" x14ac:dyDescent="0.25">
      <c r="A50" s="188" t="s">
        <v>176</v>
      </c>
      <c r="B50" s="187" t="s">
        <v>175</v>
      </c>
      <c r="C50" s="186">
        <f>C46</f>
        <v>0</v>
      </c>
      <c r="D50" s="186">
        <f>D46</f>
        <v>0</v>
      </c>
      <c r="E50" s="186">
        <f>E46</f>
        <v>0</v>
      </c>
    </row>
    <row r="51" spans="1:5" x14ac:dyDescent="0.25">
      <c r="A51" s="188" t="s">
        <v>174</v>
      </c>
      <c r="B51" s="187" t="s">
        <v>173</v>
      </c>
      <c r="C51" s="186">
        <f>(C46-C47)*((1+C76)/(2*C76))/1.25</f>
        <v>0</v>
      </c>
      <c r="D51" s="186">
        <f>(D46-D47)*((1+D76)/(2*D76))/1.25</f>
        <v>0</v>
      </c>
      <c r="E51" s="186">
        <f>(E46-E47)*((1+E76)/(2*E76))/1.25</f>
        <v>0</v>
      </c>
    </row>
    <row r="52" spans="1:5" x14ac:dyDescent="0.25">
      <c r="A52" s="213"/>
      <c r="B52" s="204"/>
      <c r="C52" s="203"/>
      <c r="D52" s="203"/>
      <c r="E52" s="203"/>
    </row>
    <row r="53" spans="1:5" x14ac:dyDescent="0.25">
      <c r="A53" s="212" t="s">
        <v>172</v>
      </c>
      <c r="B53" s="211" t="s">
        <v>171</v>
      </c>
      <c r="C53" s="210">
        <f>C58*5*26.08</f>
        <v>0</v>
      </c>
      <c r="D53" s="210">
        <f>D58*7.33*26.08</f>
        <v>0</v>
      </c>
      <c r="E53" s="210">
        <f>E58*2*26.08*2</f>
        <v>0</v>
      </c>
    </row>
    <row r="54" spans="1:5" x14ac:dyDescent="0.25">
      <c r="A54" s="208" t="s">
        <v>170</v>
      </c>
      <c r="B54" s="187" t="s">
        <v>169</v>
      </c>
      <c r="C54" s="186">
        <f>160*0.735*0.07</f>
        <v>8.2320000000000011</v>
      </c>
      <c r="D54" s="186"/>
      <c r="E54" s="186">
        <f>80*0.735*0.07</f>
        <v>4.1160000000000005</v>
      </c>
    </row>
    <row r="55" spans="1:5" x14ac:dyDescent="0.25">
      <c r="A55" s="208"/>
      <c r="B55" s="187"/>
      <c r="C55" s="186"/>
      <c r="D55" s="186"/>
      <c r="E55" s="186"/>
    </row>
    <row r="56" spans="1:5" x14ac:dyDescent="0.25">
      <c r="A56" s="208"/>
      <c r="B56" s="187" t="s">
        <v>168</v>
      </c>
      <c r="C56" s="186">
        <f>'1.1 REF EQUIPAMENTOS E DIV'!$E$38</f>
        <v>0</v>
      </c>
      <c r="D56" s="186"/>
      <c r="E56" s="186">
        <f>'1.1 REF EQUIPAMENTOS E DIV'!$E$39</f>
        <v>0</v>
      </c>
    </row>
    <row r="57" spans="1:5" x14ac:dyDescent="0.25">
      <c r="A57" s="207"/>
      <c r="B57" s="187"/>
      <c r="C57" s="186"/>
      <c r="D57" s="186"/>
      <c r="E57" s="186"/>
    </row>
    <row r="58" spans="1:5" x14ac:dyDescent="0.25">
      <c r="A58" s="208" t="s">
        <v>167</v>
      </c>
      <c r="B58" s="187" t="s">
        <v>166</v>
      </c>
      <c r="C58" s="186">
        <f>C56*C54</f>
        <v>0</v>
      </c>
      <c r="D58" s="186">
        <f>D56*D54</f>
        <v>0</v>
      </c>
      <c r="E58" s="186">
        <f>E56*E54</f>
        <v>0</v>
      </c>
    </row>
    <row r="59" spans="1:5" x14ac:dyDescent="0.25">
      <c r="A59" s="202" t="s">
        <v>165</v>
      </c>
      <c r="B59" s="201" t="s">
        <v>164</v>
      </c>
      <c r="C59" s="200">
        <f>C62</f>
        <v>0</v>
      </c>
      <c r="D59" s="200">
        <f>D62</f>
        <v>0</v>
      </c>
      <c r="E59" s="200">
        <f>E62</f>
        <v>0</v>
      </c>
    </row>
    <row r="60" spans="1:5" x14ac:dyDescent="0.25">
      <c r="A60" s="208" t="s">
        <v>163</v>
      </c>
      <c r="B60" s="187" t="s">
        <v>162</v>
      </c>
      <c r="C60" s="186">
        <v>0.1</v>
      </c>
      <c r="D60" s="186">
        <v>0.1</v>
      </c>
      <c r="E60" s="186">
        <v>0.1</v>
      </c>
    </row>
    <row r="61" spans="1:5" x14ac:dyDescent="0.25">
      <c r="A61" s="207"/>
      <c r="B61" s="187"/>
      <c r="C61" s="186"/>
      <c r="D61" s="186"/>
      <c r="E61" s="186"/>
    </row>
    <row r="62" spans="1:5" x14ac:dyDescent="0.25">
      <c r="A62" s="208" t="s">
        <v>161</v>
      </c>
      <c r="B62" s="187" t="s">
        <v>160</v>
      </c>
      <c r="C62" s="186">
        <f>C60*C53</f>
        <v>0</v>
      </c>
      <c r="D62" s="186">
        <f>D60*D53</f>
        <v>0</v>
      </c>
      <c r="E62" s="186">
        <f>E60*E53</f>
        <v>0</v>
      </c>
    </row>
    <row r="63" spans="1:5" x14ac:dyDescent="0.25">
      <c r="A63" s="207"/>
      <c r="B63" s="187"/>
      <c r="C63" s="186"/>
      <c r="D63" s="186"/>
      <c r="E63" s="186"/>
    </row>
    <row r="64" spans="1:5" x14ac:dyDescent="0.25">
      <c r="A64" s="202" t="s">
        <v>159</v>
      </c>
      <c r="B64" s="201" t="s">
        <v>158</v>
      </c>
      <c r="C64" s="200">
        <f>C70</f>
        <v>0</v>
      </c>
      <c r="D64" s="200">
        <f>D70</f>
        <v>0</v>
      </c>
      <c r="E64" s="200">
        <f>E70</f>
        <v>0</v>
      </c>
    </row>
    <row r="65" spans="1:5" x14ac:dyDescent="0.25">
      <c r="A65" s="208" t="s">
        <v>157</v>
      </c>
      <c r="B65" s="187" t="s">
        <v>156</v>
      </c>
      <c r="C65" s="186">
        <f>C45</f>
        <v>0</v>
      </c>
      <c r="D65" s="186">
        <f>D45</f>
        <v>0</v>
      </c>
      <c r="E65" s="186">
        <f>E45</f>
        <v>0</v>
      </c>
    </row>
    <row r="66" spans="1:5" x14ac:dyDescent="0.25">
      <c r="A66" s="207"/>
      <c r="B66" s="187"/>
      <c r="C66" s="186"/>
      <c r="D66" s="186"/>
      <c r="E66" s="186"/>
    </row>
    <row r="67" spans="1:5" x14ac:dyDescent="0.25">
      <c r="A67" s="208" t="s">
        <v>155</v>
      </c>
      <c r="B67" s="187" t="s">
        <v>154</v>
      </c>
      <c r="C67" s="186">
        <v>0.6</v>
      </c>
      <c r="D67" s="186">
        <v>0</v>
      </c>
      <c r="E67" s="186">
        <v>0.6</v>
      </c>
    </row>
    <row r="68" spans="1:5" x14ac:dyDescent="0.25">
      <c r="A68" s="208" t="s">
        <v>153</v>
      </c>
      <c r="B68" s="187" t="s">
        <v>386</v>
      </c>
      <c r="C68" s="310">
        <v>2.5000000000000001E-2</v>
      </c>
      <c r="D68" s="310">
        <v>2.5000000000000001E-2</v>
      </c>
      <c r="E68" s="310">
        <v>2.5000000000000001E-2</v>
      </c>
    </row>
    <row r="69" spans="1:5" x14ac:dyDescent="0.25">
      <c r="A69" s="207"/>
      <c r="B69" s="187"/>
      <c r="C69" s="186"/>
      <c r="D69" s="186"/>
      <c r="E69" s="186"/>
    </row>
    <row r="70" spans="1:5" x14ac:dyDescent="0.25">
      <c r="A70" s="205" t="s">
        <v>387</v>
      </c>
      <c r="B70" s="204" t="s">
        <v>152</v>
      </c>
      <c r="C70" s="203">
        <f>(C67+C68)*C65</f>
        <v>0</v>
      </c>
      <c r="D70" s="203">
        <f>(D67+D68)*D65</f>
        <v>0</v>
      </c>
      <c r="E70" s="203">
        <f>(E67+E68)*E65</f>
        <v>0</v>
      </c>
    </row>
    <row r="71" spans="1:5" x14ac:dyDescent="0.25">
      <c r="A71" s="202" t="s">
        <v>151</v>
      </c>
      <c r="B71" s="201" t="s">
        <v>150</v>
      </c>
      <c r="C71" s="200" t="e">
        <f>'1.1 REF EQUIPAMENTOS E DIV'!$E$35</f>
        <v>#DIV/0!</v>
      </c>
      <c r="D71" s="200" t="e">
        <f>'1.1 REF EQUIPAMENTOS E DIV'!$E$35</f>
        <v>#DIV/0!</v>
      </c>
      <c r="E71" s="200" t="e">
        <f>'1.1 REF EQUIPAMENTOS E DIV'!$E$35</f>
        <v>#DIV/0!</v>
      </c>
    </row>
    <row r="72" spans="1:5" x14ac:dyDescent="0.25">
      <c r="A72" s="199"/>
      <c r="B72" s="198" t="s">
        <v>149</v>
      </c>
      <c r="C72" s="197" t="e">
        <f>C64++C59+C53+C49+C45+C71</f>
        <v>#DIV/0!</v>
      </c>
      <c r="D72" s="197" t="e">
        <f>D64++D59+D53+D49+D45+D71</f>
        <v>#DIV/0!</v>
      </c>
      <c r="E72" s="197" t="e">
        <f>E64++E59+E53+E49+E45+E71</f>
        <v>#DIV/0!</v>
      </c>
    </row>
    <row r="73" spans="1:5" x14ac:dyDescent="0.25">
      <c r="A73" s="196"/>
      <c r="B73" s="195"/>
      <c r="C73" s="194"/>
      <c r="D73" s="194"/>
      <c r="E73" s="194"/>
    </row>
    <row r="75" spans="1:5" x14ac:dyDescent="0.25">
      <c r="A75" s="192"/>
      <c r="B75" s="191" t="s">
        <v>148</v>
      </c>
      <c r="C75" s="190">
        <v>0.4</v>
      </c>
      <c r="D75" s="190">
        <v>0.4</v>
      </c>
      <c r="E75" s="190">
        <v>0.4</v>
      </c>
    </row>
    <row r="76" spans="1:5" x14ac:dyDescent="0.25">
      <c r="A76" s="188"/>
      <c r="B76" s="187" t="s">
        <v>147</v>
      </c>
      <c r="C76" s="186">
        <v>4.9999499499499498</v>
      </c>
      <c r="D76" s="186">
        <v>4.9999499499499498</v>
      </c>
      <c r="E76" s="186">
        <v>4.9999499499499498</v>
      </c>
    </row>
    <row r="77" spans="1:5" x14ac:dyDescent="0.25">
      <c r="A77" s="184"/>
      <c r="B77" s="183" t="s">
        <v>145</v>
      </c>
      <c r="C77" s="182">
        <v>0.13250000000000001</v>
      </c>
      <c r="D77" s="182">
        <v>0.13250000000000001</v>
      </c>
      <c r="E77" s="182">
        <v>0.13250000000000001</v>
      </c>
    </row>
    <row r="80" spans="1:5" ht="27" x14ac:dyDescent="0.25">
      <c r="A80" s="643" t="s">
        <v>54</v>
      </c>
      <c r="B80" s="644" t="s">
        <v>53</v>
      </c>
      <c r="C80" s="218" t="s">
        <v>185</v>
      </c>
    </row>
    <row r="81" spans="1:3" x14ac:dyDescent="0.25">
      <c r="A81" s="643"/>
      <c r="B81" s="644"/>
      <c r="C81" s="216" t="s">
        <v>184</v>
      </c>
    </row>
    <row r="82" spans="1:3" x14ac:dyDescent="0.25">
      <c r="A82" s="202" t="s">
        <v>183</v>
      </c>
      <c r="B82" s="201" t="s">
        <v>182</v>
      </c>
      <c r="C82" s="215" t="e">
        <f>(C83-C84)/12/C113</f>
        <v>#DIV/0!</v>
      </c>
    </row>
    <row r="83" spans="1:3" x14ac:dyDescent="0.25">
      <c r="A83" s="208" t="s">
        <v>181</v>
      </c>
      <c r="B83" s="187" t="s">
        <v>180</v>
      </c>
      <c r="C83" s="206" t="e">
        <f>'1.1 REF EQUIPAMENTOS E DIV'!$E$25</f>
        <v>#DIV/0!</v>
      </c>
    </row>
    <row r="84" spans="1:3" x14ac:dyDescent="0.25">
      <c r="A84" s="208" t="s">
        <v>179</v>
      </c>
      <c r="B84" s="187" t="s">
        <v>148</v>
      </c>
      <c r="C84" s="186" t="e">
        <f>C83*C112</f>
        <v>#DIV/0!</v>
      </c>
    </row>
    <row r="85" spans="1:3" x14ac:dyDescent="0.25">
      <c r="A85" s="213"/>
      <c r="B85" s="204"/>
      <c r="C85" s="203"/>
    </row>
    <row r="86" spans="1:3" x14ac:dyDescent="0.25">
      <c r="A86" s="212" t="s">
        <v>178</v>
      </c>
      <c r="B86" s="211" t="s">
        <v>177</v>
      </c>
      <c r="C86" s="210" t="e">
        <f>C88/12*C114</f>
        <v>#DIV/0!</v>
      </c>
    </row>
    <row r="87" spans="1:3" x14ac:dyDescent="0.25">
      <c r="A87" s="188" t="s">
        <v>176</v>
      </c>
      <c r="B87" s="187" t="s">
        <v>175</v>
      </c>
      <c r="C87" s="186" t="e">
        <f>C83</f>
        <v>#DIV/0!</v>
      </c>
    </row>
    <row r="88" spans="1:3" x14ac:dyDescent="0.25">
      <c r="A88" s="188" t="s">
        <v>174</v>
      </c>
      <c r="B88" s="187" t="s">
        <v>173</v>
      </c>
      <c r="C88" s="214" t="e">
        <f>(C83-C84)*((1+C113)/(2*C113))/1.25</f>
        <v>#DIV/0!</v>
      </c>
    </row>
    <row r="89" spans="1:3" x14ac:dyDescent="0.25">
      <c r="A89" s="213"/>
      <c r="B89" s="204"/>
      <c r="C89" s="203"/>
    </row>
    <row r="90" spans="1:3" x14ac:dyDescent="0.25">
      <c r="A90" s="212" t="s">
        <v>172</v>
      </c>
      <c r="B90" s="211" t="s">
        <v>171</v>
      </c>
      <c r="C90" s="210">
        <f>C95*7.33*26.08</f>
        <v>0</v>
      </c>
    </row>
    <row r="91" spans="1:3" x14ac:dyDescent="0.25">
      <c r="A91" s="208" t="s">
        <v>170</v>
      </c>
      <c r="B91" s="187" t="s">
        <v>169</v>
      </c>
      <c r="C91" s="186"/>
    </row>
    <row r="92" spans="1:3" x14ac:dyDescent="0.25">
      <c r="A92" s="208"/>
      <c r="B92" s="187"/>
      <c r="C92" s="186"/>
    </row>
    <row r="93" spans="1:3" x14ac:dyDescent="0.25">
      <c r="A93" s="208"/>
      <c r="B93" s="187" t="s">
        <v>168</v>
      </c>
      <c r="C93" s="186"/>
    </row>
    <row r="94" spans="1:3" x14ac:dyDescent="0.25">
      <c r="A94" s="207"/>
      <c r="B94" s="187"/>
      <c r="C94" s="186"/>
    </row>
    <row r="95" spans="1:3" x14ac:dyDescent="0.25">
      <c r="A95" s="208" t="s">
        <v>167</v>
      </c>
      <c r="B95" s="187" t="s">
        <v>166</v>
      </c>
      <c r="C95" s="186">
        <f>C93*C91</f>
        <v>0</v>
      </c>
    </row>
    <row r="96" spans="1:3" x14ac:dyDescent="0.25">
      <c r="A96" s="202" t="s">
        <v>165</v>
      </c>
      <c r="B96" s="201" t="s">
        <v>164</v>
      </c>
      <c r="C96" s="200">
        <f>C99</f>
        <v>0</v>
      </c>
    </row>
    <row r="97" spans="1:3" x14ac:dyDescent="0.25">
      <c r="A97" s="208" t="s">
        <v>163</v>
      </c>
      <c r="B97" s="187" t="s">
        <v>162</v>
      </c>
      <c r="C97" s="186">
        <v>0.1</v>
      </c>
    </row>
    <row r="98" spans="1:3" x14ac:dyDescent="0.25">
      <c r="A98" s="207"/>
      <c r="B98" s="187"/>
      <c r="C98" s="186"/>
    </row>
    <row r="99" spans="1:3" x14ac:dyDescent="0.25">
      <c r="A99" s="208" t="s">
        <v>161</v>
      </c>
      <c r="B99" s="187" t="s">
        <v>160</v>
      </c>
      <c r="C99" s="186">
        <f>C97*C90</f>
        <v>0</v>
      </c>
    </row>
    <row r="100" spans="1:3" x14ac:dyDescent="0.25">
      <c r="A100" s="207"/>
      <c r="B100" s="187"/>
      <c r="C100" s="186"/>
    </row>
    <row r="101" spans="1:3" x14ac:dyDescent="0.25">
      <c r="A101" s="202" t="s">
        <v>159</v>
      </c>
      <c r="B101" s="201" t="s">
        <v>158</v>
      </c>
      <c r="C101" s="200" t="e">
        <f>C102*C104</f>
        <v>#DIV/0!</v>
      </c>
    </row>
    <row r="102" spans="1:3" x14ac:dyDescent="0.25">
      <c r="A102" s="208" t="s">
        <v>157</v>
      </c>
      <c r="B102" s="187" t="s">
        <v>156</v>
      </c>
      <c r="C102" s="186" t="e">
        <f>C82</f>
        <v>#DIV/0!</v>
      </c>
    </row>
    <row r="103" spans="1:3" x14ac:dyDescent="0.25">
      <c r="A103" s="207"/>
      <c r="B103" s="187"/>
      <c r="C103" s="186"/>
    </row>
    <row r="104" spans="1:3" x14ac:dyDescent="0.25">
      <c r="A104" s="208" t="s">
        <v>155</v>
      </c>
      <c r="B104" s="187" t="s">
        <v>154</v>
      </c>
      <c r="C104" s="186">
        <v>0.8</v>
      </c>
    </row>
    <row r="105" spans="1:3" x14ac:dyDescent="0.25">
      <c r="A105" s="208" t="s">
        <v>153</v>
      </c>
      <c r="B105" s="187" t="s">
        <v>386</v>
      </c>
      <c r="C105" s="310">
        <v>0</v>
      </c>
    </row>
    <row r="106" spans="1:3" x14ac:dyDescent="0.25">
      <c r="A106" s="207"/>
      <c r="B106" s="187"/>
      <c r="C106" s="206"/>
    </row>
    <row r="107" spans="1:3" x14ac:dyDescent="0.25">
      <c r="A107" s="205" t="s">
        <v>387</v>
      </c>
      <c r="B107" s="204" t="s">
        <v>152</v>
      </c>
      <c r="C107" s="203" t="e">
        <f>(C104+C105)*C102</f>
        <v>#DIV/0!</v>
      </c>
    </row>
    <row r="108" spans="1:3" x14ac:dyDescent="0.25">
      <c r="A108" s="202" t="s">
        <v>151</v>
      </c>
      <c r="B108" s="201" t="s">
        <v>150</v>
      </c>
      <c r="C108" s="200"/>
    </row>
    <row r="109" spans="1:3" x14ac:dyDescent="0.25">
      <c r="A109" s="199"/>
      <c r="B109" s="198" t="s">
        <v>149</v>
      </c>
      <c r="C109" s="197" t="e">
        <f>C101++C96+C90+C86+C82+C108</f>
        <v>#DIV/0!</v>
      </c>
    </row>
    <row r="110" spans="1:3" x14ac:dyDescent="0.25">
      <c r="A110" s="196"/>
      <c r="B110" s="195"/>
      <c r="C110" s="193"/>
    </row>
    <row r="111" spans="1:3" x14ac:dyDescent="0.25">
      <c r="C111" s="193"/>
    </row>
    <row r="112" spans="1:3" x14ac:dyDescent="0.25">
      <c r="A112" s="192"/>
      <c r="B112" s="191" t="s">
        <v>148</v>
      </c>
      <c r="C112" s="189">
        <v>0.3</v>
      </c>
    </row>
    <row r="113" spans="1:3" x14ac:dyDescent="0.25">
      <c r="A113" s="188"/>
      <c r="B113" s="187" t="s">
        <v>147</v>
      </c>
      <c r="C113" s="185">
        <v>2.5</v>
      </c>
    </row>
    <row r="114" spans="1:3" x14ac:dyDescent="0.25">
      <c r="A114" s="184"/>
      <c r="B114" s="183" t="s">
        <v>145</v>
      </c>
      <c r="C114" s="182">
        <v>0.13250000000000001</v>
      </c>
    </row>
  </sheetData>
  <sheetProtection selectLockedCells="1" selectUnlockedCells="1"/>
  <mergeCells count="7">
    <mergeCell ref="A2:E2"/>
    <mergeCell ref="A80:A81"/>
    <mergeCell ref="B80:B81"/>
    <mergeCell ref="A6:A7"/>
    <mergeCell ref="B6:B7"/>
    <mergeCell ref="A43:A44"/>
    <mergeCell ref="B43:B44"/>
  </mergeCells>
  <pageMargins left="0.98425196850393704" right="0.59055118110236227" top="1.1811023622047245" bottom="0.59055118110236227" header="0.11811023622047245" footer="0.51181102362204722"/>
  <pageSetup paperSize="9" scale="99" firstPageNumber="0" fitToHeight="0" orientation="portrait" r:id="rId1"/>
  <headerFooter alignWithMargins="0">
    <oddHeader>&amp;L&amp;G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39997558519241921"/>
    <pageSetUpPr fitToPage="1"/>
  </sheetPr>
  <dimension ref="A1:I123"/>
  <sheetViews>
    <sheetView view="pageLayout" topLeftCell="A99" zoomScaleNormal="100" zoomScaleSheetLayoutView="100" workbookViewId="0">
      <selection activeCell="E44" sqref="E44:E51"/>
    </sheetView>
  </sheetViews>
  <sheetFormatPr defaultColWidth="9.140625" defaultRowHeight="13.5" outlineLevelRow="1" x14ac:dyDescent="0.25"/>
  <cols>
    <col min="1" max="1" width="3" style="359" bestFit="1" customWidth="1"/>
    <col min="2" max="2" width="35.28515625" style="359" customWidth="1"/>
    <col min="3" max="5" width="18.140625" style="359" customWidth="1"/>
    <col min="6" max="6" width="18" style="359" customWidth="1"/>
    <col min="7" max="7" width="22.85546875" style="359" customWidth="1"/>
    <col min="8" max="8" width="10.5703125" style="359" customWidth="1"/>
    <col min="9" max="9" width="11.7109375" style="359" bestFit="1" customWidth="1"/>
    <col min="10" max="16384" width="9.140625" style="359"/>
  </cols>
  <sheetData>
    <row r="1" spans="1:9" ht="14.25" thickBot="1" x14ac:dyDescent="0.3">
      <c r="A1" s="682" t="s">
        <v>419</v>
      </c>
      <c r="B1" s="683"/>
      <c r="C1" s="683"/>
      <c r="D1" s="683"/>
      <c r="E1" s="683"/>
      <c r="F1" s="503"/>
      <c r="G1" s="503"/>
      <c r="H1" s="503"/>
      <c r="I1" s="503"/>
    </row>
    <row r="2" spans="1:9" ht="18" customHeight="1" thickBot="1" x14ac:dyDescent="0.3">
      <c r="A2" s="684" t="s">
        <v>574</v>
      </c>
      <c r="B2" s="685"/>
      <c r="C2" s="685"/>
      <c r="D2" s="685"/>
      <c r="E2" s="685"/>
      <c r="F2" s="503"/>
      <c r="G2" s="503"/>
      <c r="H2" s="503"/>
      <c r="I2" s="503"/>
    </row>
    <row r="3" spans="1:9" ht="41.25" thickBot="1" x14ac:dyDescent="0.3">
      <c r="A3" s="502" t="s">
        <v>248</v>
      </c>
      <c r="B3" s="501" t="s">
        <v>573</v>
      </c>
      <c r="C3" s="500" t="s">
        <v>572</v>
      </c>
      <c r="D3" s="500" t="s">
        <v>571</v>
      </c>
      <c r="E3" s="499" t="s">
        <v>570</v>
      </c>
      <c r="F3" s="466"/>
      <c r="G3" s="466"/>
      <c r="H3" s="466"/>
      <c r="I3" s="468"/>
    </row>
    <row r="4" spans="1:9" x14ac:dyDescent="0.25">
      <c r="A4" s="477">
        <v>1</v>
      </c>
      <c r="B4" s="498" t="s">
        <v>6689</v>
      </c>
      <c r="C4" s="497">
        <v>54.915999999999997</v>
      </c>
      <c r="D4" s="492" t="str">
        <f>"-"</f>
        <v>-</v>
      </c>
      <c r="E4" s="496">
        <f>(26.08/1)*C4</f>
        <v>1432.2092799999998</v>
      </c>
      <c r="F4" s="466"/>
      <c r="G4" s="466"/>
      <c r="H4" s="466"/>
      <c r="I4" s="489"/>
    </row>
    <row r="5" spans="1:9" x14ac:dyDescent="0.25">
      <c r="A5" s="481">
        <v>2</v>
      </c>
      <c r="B5" s="494" t="s">
        <v>6688</v>
      </c>
      <c r="C5" s="495">
        <v>71.108000000000004</v>
      </c>
      <c r="D5" s="492">
        <f>(26.08/2)*C5</f>
        <v>927.24832000000004</v>
      </c>
      <c r="E5" s="471" t="str">
        <f t="shared" ref="E5:E6" si="0">"-"</f>
        <v>-</v>
      </c>
      <c r="F5" s="490"/>
      <c r="G5" s="491"/>
      <c r="H5" s="490"/>
      <c r="I5" s="489"/>
    </row>
    <row r="6" spans="1:9" x14ac:dyDescent="0.25">
      <c r="A6" s="481">
        <v>3</v>
      </c>
      <c r="B6" s="494" t="s">
        <v>6688</v>
      </c>
      <c r="C6" s="495">
        <f>C8-C4-C5</f>
        <v>182.12099999999998</v>
      </c>
      <c r="D6" s="492">
        <f>(26.08/2)*C6</f>
        <v>2374.8578399999997</v>
      </c>
      <c r="E6" s="471" t="str">
        <f t="shared" si="0"/>
        <v>-</v>
      </c>
      <c r="F6" s="490"/>
      <c r="G6" s="490"/>
      <c r="H6" s="490"/>
      <c r="I6" s="489"/>
    </row>
    <row r="7" spans="1:9" ht="14.25" thickBot="1" x14ac:dyDescent="0.3">
      <c r="A7" s="481"/>
      <c r="B7" s="494"/>
      <c r="C7" s="493"/>
      <c r="D7" s="492"/>
      <c r="E7" s="470"/>
      <c r="F7" s="491"/>
      <c r="G7" s="491"/>
      <c r="H7" s="490"/>
      <c r="I7" s="489"/>
    </row>
    <row r="8" spans="1:9" ht="13.5" customHeight="1" thickBot="1" x14ac:dyDescent="0.3">
      <c r="A8" s="686" t="s">
        <v>569</v>
      </c>
      <c r="B8" s="686"/>
      <c r="C8" s="488">
        <v>308.14499999999998</v>
      </c>
      <c r="D8" s="487">
        <f>SUM(D4:D7)</f>
        <v>3302.1061599999998</v>
      </c>
      <c r="E8" s="487">
        <f>SUM(E4:E7)</f>
        <v>1432.2092799999998</v>
      </c>
      <c r="F8" s="466"/>
      <c r="G8" s="466"/>
    </row>
    <row r="9" spans="1:9" ht="14.25" thickBot="1" x14ac:dyDescent="0.3">
      <c r="A9" s="686" t="s">
        <v>569</v>
      </c>
      <c r="B9" s="686"/>
      <c r="C9" s="483"/>
      <c r="D9" s="695">
        <f>D8+E8</f>
        <v>4734.3154399999994</v>
      </c>
      <c r="E9" s="696"/>
    </row>
    <row r="10" spans="1:9" ht="12.75" customHeight="1" thickBot="1" x14ac:dyDescent="0.3">
      <c r="A10" s="484"/>
      <c r="B10" s="484"/>
      <c r="C10" s="483"/>
      <c r="D10" s="486">
        <f>D8/D9</f>
        <v>0.69748334301949266</v>
      </c>
      <c r="E10" s="485">
        <f>E8/D9</f>
        <v>0.30251665698050739</v>
      </c>
    </row>
    <row r="11" spans="1:9" ht="12.75" customHeight="1" x14ac:dyDescent="0.25">
      <c r="A11" s="484"/>
      <c r="B11" s="484"/>
      <c r="C11" s="483"/>
      <c r="D11" s="482"/>
      <c r="E11" s="482"/>
    </row>
    <row r="12" spans="1:9" ht="12.75" customHeight="1" thickBot="1" x14ac:dyDescent="0.3">
      <c r="A12" s="484"/>
      <c r="B12" s="484"/>
      <c r="C12" s="483"/>
      <c r="D12" s="482"/>
      <c r="E12" s="482"/>
      <c r="G12" s="472">
        <v>45292</v>
      </c>
      <c r="H12" s="359">
        <v>1449.09</v>
      </c>
    </row>
    <row r="13" spans="1:9" x14ac:dyDescent="0.25">
      <c r="A13" s="687" t="s">
        <v>568</v>
      </c>
      <c r="B13" s="688"/>
      <c r="C13" s="688"/>
      <c r="D13" s="689"/>
      <c r="G13" s="472">
        <v>45323</v>
      </c>
      <c r="H13" s="359">
        <v>1270.73</v>
      </c>
    </row>
    <row r="14" spans="1:9" x14ac:dyDescent="0.25">
      <c r="A14" s="690" t="s">
        <v>567</v>
      </c>
      <c r="B14" s="586"/>
      <c r="C14" s="586"/>
      <c r="D14" s="460">
        <v>26.08</v>
      </c>
      <c r="G14" s="472">
        <v>45352</v>
      </c>
      <c r="H14" s="359">
        <v>1259.22</v>
      </c>
    </row>
    <row r="15" spans="1:9" x14ac:dyDescent="0.25">
      <c r="A15" s="690" t="s">
        <v>566</v>
      </c>
      <c r="B15" s="586"/>
      <c r="C15" s="586"/>
      <c r="D15" s="479">
        <f>D8/D14</f>
        <v>126.61450000000001</v>
      </c>
      <c r="E15" s="691"/>
      <c r="G15" s="472">
        <v>45383</v>
      </c>
      <c r="H15" s="359">
        <v>1292.3</v>
      </c>
    </row>
    <row r="16" spans="1:9" ht="14.25" thickBot="1" x14ac:dyDescent="0.3">
      <c r="A16" s="693" t="s">
        <v>565</v>
      </c>
      <c r="B16" s="694"/>
      <c r="C16" s="694"/>
      <c r="D16" s="478">
        <f>E8/D14</f>
        <v>54.915999999999997</v>
      </c>
      <c r="E16" s="692"/>
      <c r="G16" s="472">
        <v>45413</v>
      </c>
      <c r="H16" s="359">
        <v>1279.9000000000001</v>
      </c>
    </row>
    <row r="17" spans="1:8" x14ac:dyDescent="0.25">
      <c r="A17" s="687" t="s">
        <v>564</v>
      </c>
      <c r="B17" s="688"/>
      <c r="C17" s="688"/>
      <c r="D17" s="689"/>
      <c r="E17" s="476"/>
      <c r="G17" s="472">
        <v>45444</v>
      </c>
      <c r="H17" s="359">
        <v>1217.1199999999999</v>
      </c>
    </row>
    <row r="18" spans="1:8" x14ac:dyDescent="0.25">
      <c r="A18" s="673" t="s">
        <v>563</v>
      </c>
      <c r="B18" s="674"/>
      <c r="C18" s="675"/>
      <c r="D18" s="471">
        <v>84087</v>
      </c>
      <c r="E18" s="468"/>
      <c r="G18" s="472">
        <v>45474</v>
      </c>
      <c r="H18" s="359">
        <v>1238.94</v>
      </c>
    </row>
    <row r="19" spans="1:8" x14ac:dyDescent="0.25">
      <c r="A19" s="673" t="s">
        <v>562</v>
      </c>
      <c r="B19" s="674"/>
      <c r="C19" s="675"/>
      <c r="D19" s="471">
        <f>D18</f>
        <v>84087</v>
      </c>
      <c r="E19" s="468"/>
      <c r="G19" s="472">
        <v>45505</v>
      </c>
      <c r="H19" s="359">
        <v>1210.0999999999999</v>
      </c>
    </row>
    <row r="20" spans="1:8" x14ac:dyDescent="0.25">
      <c r="A20" s="673" t="s">
        <v>561</v>
      </c>
      <c r="B20" s="674"/>
      <c r="C20" s="675"/>
      <c r="D20" s="475">
        <v>0.52</v>
      </c>
      <c r="E20" s="474"/>
      <c r="G20" s="472">
        <v>45536</v>
      </c>
      <c r="H20" s="359">
        <v>1160.57</v>
      </c>
    </row>
    <row r="21" spans="1:8" x14ac:dyDescent="0.25">
      <c r="A21" s="673" t="s">
        <v>560</v>
      </c>
      <c r="B21" s="674"/>
      <c r="C21" s="675"/>
      <c r="D21" s="471">
        <f>D20*D19</f>
        <v>43725.24</v>
      </c>
      <c r="E21" s="468"/>
      <c r="G21" s="472">
        <v>45566</v>
      </c>
      <c r="H21" s="359">
        <v>1301.3</v>
      </c>
    </row>
    <row r="22" spans="1:8" x14ac:dyDescent="0.25">
      <c r="A22" s="673" t="s">
        <v>559</v>
      </c>
      <c r="B22" s="674"/>
      <c r="C22" s="675"/>
      <c r="D22" s="471">
        <f>D21*30</f>
        <v>1311757.2</v>
      </c>
      <c r="E22" s="468"/>
      <c r="G22" s="472">
        <v>45597</v>
      </c>
      <c r="H22" s="359">
        <v>1305.26</v>
      </c>
    </row>
    <row r="23" spans="1:8" x14ac:dyDescent="0.25">
      <c r="A23" s="667" t="s">
        <v>558</v>
      </c>
      <c r="B23" s="668"/>
      <c r="C23" s="669"/>
      <c r="D23" s="473">
        <f>D22/1000</f>
        <v>1311.7572</v>
      </c>
      <c r="E23" s="468"/>
      <c r="G23" s="472">
        <v>45627</v>
      </c>
      <c r="H23" s="359">
        <v>1518.29</v>
      </c>
    </row>
    <row r="24" spans="1:8" x14ac:dyDescent="0.25">
      <c r="A24" s="697" t="s">
        <v>557</v>
      </c>
      <c r="B24" s="698"/>
      <c r="C24" s="699"/>
      <c r="D24" s="471">
        <f>D14</f>
        <v>26.08</v>
      </c>
      <c r="E24" s="468"/>
    </row>
    <row r="25" spans="1:8" ht="14.25" thickBot="1" x14ac:dyDescent="0.3">
      <c r="A25" s="700" t="s">
        <v>556</v>
      </c>
      <c r="B25" s="701"/>
      <c r="C25" s="702"/>
      <c r="D25" s="470">
        <f>ROUND(D23/D24,3)</f>
        <v>50.296999999999997</v>
      </c>
      <c r="E25" s="468"/>
    </row>
    <row r="26" spans="1:8" ht="34.5" customHeight="1" thickBot="1" x14ac:dyDescent="0.3">
      <c r="A26" s="670" t="s">
        <v>555</v>
      </c>
      <c r="B26" s="671"/>
      <c r="C26" s="672"/>
      <c r="D26" s="469">
        <f>D25*0.5</f>
        <v>25.148499999999999</v>
      </c>
      <c r="E26" s="468"/>
    </row>
    <row r="27" spans="1:8" ht="34.5" customHeight="1" thickBot="1" x14ac:dyDescent="0.3">
      <c r="A27" s="670" t="s">
        <v>554</v>
      </c>
      <c r="B27" s="671"/>
      <c r="C27" s="672"/>
      <c r="D27" s="469">
        <f>D25*0.5</f>
        <v>25.148499999999999</v>
      </c>
      <c r="E27" s="468"/>
    </row>
    <row r="28" spans="1:8" ht="14.25" outlineLevel="1" thickBot="1" x14ac:dyDescent="0.3">
      <c r="A28" s="665" t="s">
        <v>553</v>
      </c>
      <c r="B28" s="665"/>
      <c r="C28" s="666"/>
    </row>
    <row r="29" spans="1:8" outlineLevel="1" x14ac:dyDescent="0.25">
      <c r="A29" s="662" t="s">
        <v>549</v>
      </c>
      <c r="B29" s="663"/>
      <c r="C29" s="664"/>
    </row>
    <row r="30" spans="1:8" s="466" customFormat="1" outlineLevel="1" x14ac:dyDescent="0.25">
      <c r="A30" s="656" t="s">
        <v>548</v>
      </c>
      <c r="B30" s="657"/>
      <c r="C30" s="467">
        <v>250</v>
      </c>
    </row>
    <row r="31" spans="1:8" outlineLevel="1" x14ac:dyDescent="0.25">
      <c r="A31" s="658" t="s">
        <v>547</v>
      </c>
      <c r="B31" s="659"/>
      <c r="C31" s="462">
        <v>3</v>
      </c>
    </row>
    <row r="32" spans="1:8" outlineLevel="1" x14ac:dyDescent="0.25">
      <c r="A32" s="658" t="s">
        <v>546</v>
      </c>
      <c r="B32" s="659"/>
      <c r="C32" s="462">
        <v>15</v>
      </c>
    </row>
    <row r="33" spans="1:6" outlineLevel="1" x14ac:dyDescent="0.25">
      <c r="A33" s="658" t="s">
        <v>545</v>
      </c>
      <c r="B33" s="659"/>
      <c r="C33" s="461">
        <f>0.7*C32</f>
        <v>10.5</v>
      </c>
    </row>
    <row r="34" spans="1:6" ht="14.25" outlineLevel="1" thickBot="1" x14ac:dyDescent="0.3">
      <c r="A34" s="660" t="s">
        <v>544</v>
      </c>
      <c r="B34" s="661"/>
      <c r="C34" s="458">
        <f>(C30*C31*C33)/1000</f>
        <v>7.875</v>
      </c>
    </row>
    <row r="35" spans="1:6" outlineLevel="1" x14ac:dyDescent="0.25">
      <c r="A35" s="662" t="s">
        <v>543</v>
      </c>
      <c r="B35" s="663"/>
      <c r="C35" s="664"/>
    </row>
    <row r="36" spans="1:6" outlineLevel="1" x14ac:dyDescent="0.25">
      <c r="A36" s="656" t="s">
        <v>542</v>
      </c>
      <c r="B36" s="657"/>
      <c r="C36" s="463">
        <v>25</v>
      </c>
    </row>
    <row r="37" spans="1:6" outlineLevel="1" x14ac:dyDescent="0.25">
      <c r="A37" s="656" t="s">
        <v>541</v>
      </c>
      <c r="B37" s="657"/>
      <c r="C37" s="463">
        <v>50</v>
      </c>
    </row>
    <row r="38" spans="1:6" outlineLevel="1" x14ac:dyDescent="0.25">
      <c r="A38" s="656" t="s">
        <v>552</v>
      </c>
      <c r="B38" s="657"/>
      <c r="C38" s="461">
        <v>0.33300000000000002</v>
      </c>
    </row>
    <row r="39" spans="1:6" ht="14.25" outlineLevel="1" thickBot="1" x14ac:dyDescent="0.3">
      <c r="A39" s="660" t="s">
        <v>539</v>
      </c>
      <c r="B39" s="661"/>
      <c r="C39" s="458">
        <f>((2*C36)/C37)+C38</f>
        <v>1.333</v>
      </c>
    </row>
    <row r="40" spans="1:6" outlineLevel="1" x14ac:dyDescent="0.25">
      <c r="A40" s="662" t="s">
        <v>538</v>
      </c>
      <c r="B40" s="663"/>
      <c r="C40" s="664"/>
    </row>
    <row r="41" spans="1:6" outlineLevel="1" x14ac:dyDescent="0.25">
      <c r="A41" s="656" t="s">
        <v>537</v>
      </c>
      <c r="B41" s="657"/>
      <c r="C41" s="460">
        <f>D26</f>
        <v>25.148499999999999</v>
      </c>
      <c r="E41" s="465"/>
    </row>
    <row r="42" spans="1:6" outlineLevel="1" x14ac:dyDescent="0.25">
      <c r="A42" s="656" t="s">
        <v>551</v>
      </c>
      <c r="B42" s="657"/>
      <c r="C42" s="460">
        <v>6.5</v>
      </c>
      <c r="E42" s="465"/>
    </row>
    <row r="43" spans="1:6" outlineLevel="1" x14ac:dyDescent="0.25">
      <c r="A43" s="658" t="s">
        <v>535</v>
      </c>
      <c r="B43" s="659"/>
      <c r="C43" s="461">
        <v>7.33</v>
      </c>
      <c r="E43" s="465"/>
    </row>
    <row r="44" spans="1:6" outlineLevel="1" x14ac:dyDescent="0.25">
      <c r="A44" s="656" t="s">
        <v>534</v>
      </c>
      <c r="B44" s="657"/>
      <c r="C44" s="460">
        <f>D15</f>
        <v>126.61450000000001</v>
      </c>
      <c r="E44" s="766"/>
    </row>
    <row r="45" spans="1:6" outlineLevel="1" x14ac:dyDescent="0.25">
      <c r="A45" s="656" t="s">
        <v>550</v>
      </c>
      <c r="B45" s="657"/>
      <c r="C45" s="459">
        <f>C34</f>
        <v>7.875</v>
      </c>
      <c r="E45" s="766"/>
    </row>
    <row r="46" spans="1:6" outlineLevel="1" x14ac:dyDescent="0.25">
      <c r="A46" s="656" t="s">
        <v>532</v>
      </c>
      <c r="B46" s="657"/>
      <c r="C46" s="459">
        <f>C39</f>
        <v>1.333</v>
      </c>
      <c r="E46" s="766"/>
    </row>
    <row r="47" spans="1:6" ht="14.25" outlineLevel="1" thickBot="1" x14ac:dyDescent="0.3">
      <c r="A47" s="660" t="s">
        <v>531</v>
      </c>
      <c r="B47" s="661"/>
      <c r="C47" s="458">
        <f>((C41*C42*C43)/((C44*C45)+(C41*C42*C46)))</f>
        <v>0.98618251522133971</v>
      </c>
      <c r="E47" s="766">
        <f>C47</f>
        <v>0.98618251522133971</v>
      </c>
      <c r="F47" s="359">
        <f>2*E47*25</f>
        <v>49.309125761066987</v>
      </c>
    </row>
    <row r="48" spans="1:6" outlineLevel="1" x14ac:dyDescent="0.25">
      <c r="A48" s="653" t="s">
        <v>530</v>
      </c>
      <c r="B48" s="654"/>
      <c r="C48" s="655"/>
      <c r="E48" s="766">
        <f>C78</f>
        <v>1.9458707759986491</v>
      </c>
      <c r="F48" s="359">
        <f>2*E48*25</f>
        <v>97.293538799932449</v>
      </c>
    </row>
    <row r="49" spans="1:6" outlineLevel="1" x14ac:dyDescent="0.25">
      <c r="A49" s="651" t="s">
        <v>529</v>
      </c>
      <c r="B49" s="652"/>
      <c r="C49" s="455">
        <f>C41</f>
        <v>25.148499999999999</v>
      </c>
      <c r="E49" s="766"/>
      <c r="F49" s="359">
        <f>SUM(F47:F48)</f>
        <v>146.60266456099944</v>
      </c>
    </row>
    <row r="50" spans="1:6" outlineLevel="1" x14ac:dyDescent="0.25">
      <c r="A50" s="651" t="s">
        <v>528</v>
      </c>
      <c r="B50" s="652"/>
      <c r="C50" s="455">
        <f>C47</f>
        <v>0.98618251522133971</v>
      </c>
      <c r="E50" s="766"/>
      <c r="F50" s="359">
        <f>1.2*D9</f>
        <v>5681.1785279999995</v>
      </c>
    </row>
    <row r="51" spans="1:6" outlineLevel="1" x14ac:dyDescent="0.25">
      <c r="A51" s="651" t="s">
        <v>527</v>
      </c>
      <c r="B51" s="652"/>
      <c r="C51" s="455">
        <f>C34</f>
        <v>7.875</v>
      </c>
      <c r="E51" s="766"/>
      <c r="F51" s="359">
        <f>F50+F49</f>
        <v>5827.7811925609985</v>
      </c>
    </row>
    <row r="52" spans="1:6" outlineLevel="1" x14ac:dyDescent="0.25">
      <c r="A52" s="651" t="s">
        <v>526</v>
      </c>
      <c r="B52" s="652"/>
      <c r="C52" s="455">
        <f>((C49)/(C50*C51))</f>
        <v>3.2382041540693649</v>
      </c>
      <c r="E52" s="465"/>
      <c r="F52" s="359">
        <f>F51/26.08/6</f>
        <v>37.242977968820291</v>
      </c>
    </row>
    <row r="53" spans="1:6" outlineLevel="1" x14ac:dyDescent="0.25">
      <c r="A53" s="647" t="s">
        <v>519</v>
      </c>
      <c r="B53" s="648"/>
      <c r="C53" s="456">
        <f>_xlfn.CEILING.MATH(C52,1)</f>
        <v>4</v>
      </c>
      <c r="E53" s="465"/>
    </row>
    <row r="54" spans="1:6" outlineLevel="1" x14ac:dyDescent="0.25">
      <c r="A54" s="651" t="s">
        <v>518</v>
      </c>
      <c r="B54" s="652"/>
      <c r="C54" s="455">
        <f>ROUNDUP(0.1*C53,0)</f>
        <v>1</v>
      </c>
      <c r="E54" s="465"/>
      <c r="F54" s="359">
        <f>40*26.08*6</f>
        <v>6259.1999999999989</v>
      </c>
    </row>
    <row r="55" spans="1:6" ht="14.25" outlineLevel="1" thickBot="1" x14ac:dyDescent="0.3">
      <c r="A55" s="649" t="s">
        <v>517</v>
      </c>
      <c r="B55" s="650"/>
      <c r="C55" s="457">
        <f>C53*3</f>
        <v>12</v>
      </c>
      <c r="E55" s="465"/>
    </row>
    <row r="56" spans="1:6" ht="14.25" outlineLevel="1" thickBot="1" x14ac:dyDescent="0.3">
      <c r="A56" s="645" t="s">
        <v>516</v>
      </c>
      <c r="B56" s="646"/>
      <c r="C56" s="454">
        <f>C53</f>
        <v>4</v>
      </c>
      <c r="E56" s="465"/>
    </row>
    <row r="57" spans="1:6" ht="13.5" customHeight="1" outlineLevel="1" thickBot="1" x14ac:dyDescent="0.3">
      <c r="A57" s="649" t="s">
        <v>515</v>
      </c>
      <c r="B57" s="650"/>
      <c r="C57" s="457">
        <v>3</v>
      </c>
      <c r="E57" s="465"/>
    </row>
    <row r="58" spans="1:6" ht="14.25" outlineLevel="1" thickBot="1" x14ac:dyDescent="0.3">
      <c r="A58" s="645" t="s">
        <v>514</v>
      </c>
      <c r="B58" s="646"/>
      <c r="C58" s="457">
        <f>ROUNDUP(0.15*C56,0)</f>
        <v>1</v>
      </c>
      <c r="E58" s="465"/>
      <c r="F58" s="359">
        <v>17125.39</v>
      </c>
    </row>
    <row r="59" spans="1:6" ht="14.25" outlineLevel="1" thickBot="1" x14ac:dyDescent="0.3">
      <c r="A59" s="665" t="s">
        <v>553</v>
      </c>
      <c r="B59" s="665"/>
      <c r="C59" s="666"/>
      <c r="F59" s="359">
        <f>F58/26.08</f>
        <v>656.64838957055213</v>
      </c>
    </row>
    <row r="60" spans="1:6" outlineLevel="1" x14ac:dyDescent="0.25">
      <c r="A60" s="662" t="s">
        <v>549</v>
      </c>
      <c r="B60" s="663"/>
      <c r="C60" s="664"/>
      <c r="F60" s="359">
        <f>F59/5</f>
        <v>131.32967791411042</v>
      </c>
    </row>
    <row r="61" spans="1:6" outlineLevel="1" x14ac:dyDescent="0.25">
      <c r="A61" s="656" t="s">
        <v>548</v>
      </c>
      <c r="B61" s="657"/>
      <c r="C61" s="464">
        <v>230</v>
      </c>
    </row>
    <row r="62" spans="1:6" outlineLevel="1" x14ac:dyDescent="0.25">
      <c r="A62" s="658" t="s">
        <v>547</v>
      </c>
      <c r="B62" s="659"/>
      <c r="C62" s="461">
        <v>3</v>
      </c>
    </row>
    <row r="63" spans="1:6" outlineLevel="1" x14ac:dyDescent="0.25">
      <c r="A63" s="658" t="s">
        <v>546</v>
      </c>
      <c r="B63" s="659"/>
      <c r="C63" s="461">
        <v>15</v>
      </c>
    </row>
    <row r="64" spans="1:6" outlineLevel="1" x14ac:dyDescent="0.25">
      <c r="A64" s="658" t="s">
        <v>545</v>
      </c>
      <c r="B64" s="659"/>
      <c r="C64" s="461">
        <f>0.7*C63</f>
        <v>10.5</v>
      </c>
    </row>
    <row r="65" spans="1:3" ht="14.25" outlineLevel="1" thickBot="1" x14ac:dyDescent="0.3">
      <c r="A65" s="660" t="s">
        <v>544</v>
      </c>
      <c r="B65" s="661"/>
      <c r="C65" s="458">
        <f>(C61*C62*C64)/1000</f>
        <v>7.2450000000000001</v>
      </c>
    </row>
    <row r="66" spans="1:3" outlineLevel="1" x14ac:dyDescent="0.25">
      <c r="A66" s="662" t="s">
        <v>543</v>
      </c>
      <c r="B66" s="663"/>
      <c r="C66" s="664"/>
    </row>
    <row r="67" spans="1:3" outlineLevel="1" x14ac:dyDescent="0.25">
      <c r="A67" s="656" t="s">
        <v>542</v>
      </c>
      <c r="B67" s="657"/>
      <c r="C67" s="463">
        <v>25</v>
      </c>
    </row>
    <row r="68" spans="1:3" outlineLevel="1" x14ac:dyDescent="0.25">
      <c r="A68" s="656" t="s">
        <v>541</v>
      </c>
      <c r="B68" s="657"/>
      <c r="C68" s="463">
        <v>50</v>
      </c>
    </row>
    <row r="69" spans="1:3" outlineLevel="1" x14ac:dyDescent="0.25">
      <c r="A69" s="656" t="s">
        <v>540</v>
      </c>
      <c r="B69" s="657"/>
      <c r="C69" s="461">
        <v>0.33300000000000002</v>
      </c>
    </row>
    <row r="70" spans="1:3" ht="14.25" outlineLevel="1" thickBot="1" x14ac:dyDescent="0.3">
      <c r="A70" s="660" t="s">
        <v>539</v>
      </c>
      <c r="B70" s="661"/>
      <c r="C70" s="458">
        <f>((2*C67)/C68)+C69</f>
        <v>1.333</v>
      </c>
    </row>
    <row r="71" spans="1:3" outlineLevel="1" x14ac:dyDescent="0.25">
      <c r="A71" s="662" t="s">
        <v>538</v>
      </c>
      <c r="B71" s="663"/>
      <c r="C71" s="664"/>
    </row>
    <row r="72" spans="1:3" outlineLevel="1" x14ac:dyDescent="0.25">
      <c r="A72" s="656" t="s">
        <v>537</v>
      </c>
      <c r="B72" s="657"/>
      <c r="C72" s="460">
        <f>D27</f>
        <v>25.148499999999999</v>
      </c>
    </row>
    <row r="73" spans="1:3" outlineLevel="1" x14ac:dyDescent="0.25">
      <c r="A73" s="656" t="s">
        <v>536</v>
      </c>
      <c r="B73" s="657"/>
      <c r="C73" s="462">
        <v>6.5</v>
      </c>
    </row>
    <row r="74" spans="1:3" outlineLevel="1" x14ac:dyDescent="0.25">
      <c r="A74" s="658" t="s">
        <v>535</v>
      </c>
      <c r="B74" s="659"/>
      <c r="C74" s="461">
        <v>7.33</v>
      </c>
    </row>
    <row r="75" spans="1:3" outlineLevel="1" x14ac:dyDescent="0.25">
      <c r="A75" s="656" t="s">
        <v>534</v>
      </c>
      <c r="B75" s="657"/>
      <c r="C75" s="460">
        <f>D16</f>
        <v>54.915999999999997</v>
      </c>
    </row>
    <row r="76" spans="1:3" outlineLevel="1" x14ac:dyDescent="0.25">
      <c r="A76" s="656" t="s">
        <v>533</v>
      </c>
      <c r="B76" s="657"/>
      <c r="C76" s="459">
        <f>C65</f>
        <v>7.2450000000000001</v>
      </c>
    </row>
    <row r="77" spans="1:3" outlineLevel="1" x14ac:dyDescent="0.25">
      <c r="A77" s="656" t="s">
        <v>532</v>
      </c>
      <c r="B77" s="657"/>
      <c r="C77" s="459">
        <f>C70</f>
        <v>1.333</v>
      </c>
    </row>
    <row r="78" spans="1:3" ht="14.25" outlineLevel="1" thickBot="1" x14ac:dyDescent="0.3">
      <c r="A78" s="660" t="s">
        <v>531</v>
      </c>
      <c r="B78" s="661"/>
      <c r="C78" s="458">
        <f>((C72*C73*C74)/((C75*C76)+(C72*C73*C77)))</f>
        <v>1.9458707759986491</v>
      </c>
    </row>
    <row r="79" spans="1:3" outlineLevel="1" x14ac:dyDescent="0.25">
      <c r="A79" s="653" t="s">
        <v>530</v>
      </c>
      <c r="B79" s="654"/>
      <c r="C79" s="655"/>
    </row>
    <row r="80" spans="1:3" outlineLevel="1" x14ac:dyDescent="0.25">
      <c r="A80" s="651" t="s">
        <v>529</v>
      </c>
      <c r="B80" s="652"/>
      <c r="C80" s="455">
        <f>C72</f>
        <v>25.148499999999999</v>
      </c>
    </row>
    <row r="81" spans="1:3" outlineLevel="1" x14ac:dyDescent="0.25">
      <c r="A81" s="651" t="s">
        <v>528</v>
      </c>
      <c r="B81" s="652"/>
      <c r="C81" s="455">
        <f>C78</f>
        <v>1.9458707759986491</v>
      </c>
    </row>
    <row r="82" spans="1:3" outlineLevel="1" x14ac:dyDescent="0.25">
      <c r="A82" s="651" t="s">
        <v>527</v>
      </c>
      <c r="B82" s="652"/>
      <c r="C82" s="455">
        <f>C65</f>
        <v>7.2450000000000001</v>
      </c>
    </row>
    <row r="83" spans="1:3" outlineLevel="1" x14ac:dyDescent="0.25">
      <c r="A83" s="651" t="s">
        <v>526</v>
      </c>
      <c r="B83" s="652"/>
      <c r="C83" s="455">
        <f>((C80)/(C81*C82))</f>
        <v>1.7838556197017552</v>
      </c>
    </row>
    <row r="84" spans="1:3" outlineLevel="1" x14ac:dyDescent="0.25">
      <c r="A84" s="647" t="s">
        <v>525</v>
      </c>
      <c r="B84" s="648"/>
      <c r="C84" s="456">
        <f>_xlfn.CEILING.MATH(C83,1)</f>
        <v>2</v>
      </c>
    </row>
    <row r="85" spans="1:3" ht="14.25" outlineLevel="1" thickBot="1" x14ac:dyDescent="0.3">
      <c r="A85" s="649" t="s">
        <v>524</v>
      </c>
      <c r="B85" s="650"/>
      <c r="C85" s="457">
        <f>C84*3</f>
        <v>6</v>
      </c>
    </row>
    <row r="86" spans="1:3" ht="14.25" outlineLevel="1" thickBot="1" x14ac:dyDescent="0.3">
      <c r="A86" s="645" t="s">
        <v>523</v>
      </c>
      <c r="B86" s="646"/>
      <c r="C86" s="454">
        <f>C84</f>
        <v>2</v>
      </c>
    </row>
    <row r="87" spans="1:3" ht="13.5" customHeight="1" thickBot="1" x14ac:dyDescent="0.3">
      <c r="A87" s="649" t="s">
        <v>522</v>
      </c>
      <c r="B87" s="650"/>
      <c r="C87" s="457">
        <v>0</v>
      </c>
    </row>
    <row r="88" spans="1:3" ht="14.25" thickBot="1" x14ac:dyDescent="0.3">
      <c r="A88" s="645" t="s">
        <v>521</v>
      </c>
      <c r="B88" s="646"/>
      <c r="C88" s="457">
        <v>0</v>
      </c>
    </row>
    <row r="89" spans="1:3" ht="14.25" thickBot="1" x14ac:dyDescent="0.3"/>
    <row r="90" spans="1:3" x14ac:dyDescent="0.25">
      <c r="A90" s="679" t="s">
        <v>520</v>
      </c>
      <c r="B90" s="680"/>
      <c r="C90" s="681"/>
    </row>
    <row r="91" spans="1:3" ht="12.75" customHeight="1" x14ac:dyDescent="0.25">
      <c r="A91" s="647" t="s">
        <v>519</v>
      </c>
      <c r="B91" s="648"/>
      <c r="C91" s="456">
        <v>1</v>
      </c>
    </row>
    <row r="92" spans="1:3" ht="13.5" customHeight="1" x14ac:dyDescent="0.25">
      <c r="A92" s="651" t="s">
        <v>518</v>
      </c>
      <c r="B92" s="652"/>
      <c r="C92" s="455">
        <v>1</v>
      </c>
    </row>
    <row r="93" spans="1:3" ht="13.5" customHeight="1" x14ac:dyDescent="0.25">
      <c r="A93" s="651" t="s">
        <v>517</v>
      </c>
      <c r="B93" s="652"/>
      <c r="C93" s="455">
        <f>C91*2</f>
        <v>2</v>
      </c>
    </row>
    <row r="94" spans="1:3" ht="13.5" customHeight="1" x14ac:dyDescent="0.25">
      <c r="A94" s="651" t="s">
        <v>516</v>
      </c>
      <c r="B94" s="652"/>
      <c r="C94" s="455">
        <f>C91</f>
        <v>1</v>
      </c>
    </row>
    <row r="95" spans="1:3" ht="13.5" customHeight="1" x14ac:dyDescent="0.25">
      <c r="A95" s="651" t="s">
        <v>515</v>
      </c>
      <c r="B95" s="652"/>
      <c r="C95" s="455">
        <f>ROUND(0.15*C93,0)</f>
        <v>0</v>
      </c>
    </row>
    <row r="96" spans="1:3" ht="14.25" thickBot="1" x14ac:dyDescent="0.3">
      <c r="A96" s="676" t="s">
        <v>514</v>
      </c>
      <c r="B96" s="677"/>
      <c r="C96" s="454">
        <f>ROUND(0.15*C94,0)</f>
        <v>0</v>
      </c>
    </row>
    <row r="100" spans="2:3" x14ac:dyDescent="0.25">
      <c r="B100" s="678" t="s">
        <v>513</v>
      </c>
      <c r="C100" s="678"/>
    </row>
    <row r="102" spans="2:3" x14ac:dyDescent="0.25">
      <c r="B102" s="359" t="s">
        <v>112</v>
      </c>
    </row>
    <row r="104" spans="2:3" x14ac:dyDescent="0.25">
      <c r="B104" s="453" t="s">
        <v>512</v>
      </c>
      <c r="C104" s="453" t="s">
        <v>511</v>
      </c>
    </row>
    <row r="105" spans="2:3" x14ac:dyDescent="0.25">
      <c r="B105" s="453" t="s">
        <v>6672</v>
      </c>
      <c r="C105" s="452">
        <f>C55+C57</f>
        <v>15</v>
      </c>
    </row>
    <row r="106" spans="2:3" x14ac:dyDescent="0.25">
      <c r="B106" s="453" t="s">
        <v>6673</v>
      </c>
      <c r="C106" s="452">
        <f>C85+C87</f>
        <v>6</v>
      </c>
    </row>
    <row r="107" spans="2:3" x14ac:dyDescent="0.25">
      <c r="B107" s="453" t="s">
        <v>6674</v>
      </c>
      <c r="C107" s="452">
        <f>C56+C58</f>
        <v>5</v>
      </c>
    </row>
    <row r="108" spans="2:3" x14ac:dyDescent="0.25">
      <c r="B108" s="453" t="s">
        <v>6675</v>
      </c>
      <c r="C108" s="452">
        <f>C86+C88</f>
        <v>2</v>
      </c>
    </row>
    <row r="109" spans="2:3" x14ac:dyDescent="0.25">
      <c r="B109" s="453" t="s">
        <v>575</v>
      </c>
      <c r="C109" s="452">
        <f>+C94+C96</f>
        <v>1</v>
      </c>
    </row>
    <row r="110" spans="2:3" x14ac:dyDescent="0.25">
      <c r="B110" s="453" t="s">
        <v>61</v>
      </c>
      <c r="C110" s="452">
        <v>1</v>
      </c>
    </row>
    <row r="111" spans="2:3" x14ac:dyDescent="0.25">
      <c r="B111" s="453" t="s">
        <v>62</v>
      </c>
      <c r="C111" s="452">
        <v>0</v>
      </c>
    </row>
    <row r="115" spans="2:3" x14ac:dyDescent="0.25">
      <c r="B115" s="359" t="s">
        <v>99</v>
      </c>
    </row>
    <row r="117" spans="2:3" ht="27" x14ac:dyDescent="0.25">
      <c r="B117" s="453" t="s">
        <v>508</v>
      </c>
      <c r="C117" s="452">
        <v>50</v>
      </c>
    </row>
    <row r="118" spans="2:3" x14ac:dyDescent="0.25">
      <c r="B118" s="453" t="s">
        <v>6686</v>
      </c>
      <c r="C118" s="452">
        <v>4</v>
      </c>
    </row>
    <row r="119" spans="2:3" x14ac:dyDescent="0.25">
      <c r="B119" s="453" t="s">
        <v>6687</v>
      </c>
      <c r="C119" s="452">
        <v>2</v>
      </c>
    </row>
    <row r="120" spans="2:3" ht="27" x14ac:dyDescent="0.25">
      <c r="B120" s="453" t="s">
        <v>98</v>
      </c>
      <c r="C120" s="452">
        <v>1</v>
      </c>
    </row>
    <row r="121" spans="2:3" x14ac:dyDescent="0.25">
      <c r="B121" s="450" t="s">
        <v>245</v>
      </c>
      <c r="C121" s="451">
        <f>C91</f>
        <v>1</v>
      </c>
    </row>
    <row r="122" spans="2:3" x14ac:dyDescent="0.25">
      <c r="B122" s="450" t="s">
        <v>246</v>
      </c>
      <c r="C122" s="451">
        <f>C92</f>
        <v>1</v>
      </c>
    </row>
    <row r="123" spans="2:3" x14ac:dyDescent="0.25">
      <c r="B123" s="450" t="s">
        <v>6684</v>
      </c>
      <c r="C123" s="450">
        <v>1</v>
      </c>
    </row>
  </sheetData>
  <mergeCells count="90">
    <mergeCell ref="A1:E1"/>
    <mergeCell ref="A2:E2"/>
    <mergeCell ref="A9:B9"/>
    <mergeCell ref="A95:B95"/>
    <mergeCell ref="A13:D13"/>
    <mergeCell ref="A14:C14"/>
    <mergeCell ref="A15:C15"/>
    <mergeCell ref="E15:E16"/>
    <mergeCell ref="A16:C16"/>
    <mergeCell ref="A8:B8"/>
    <mergeCell ref="D9:E9"/>
    <mergeCell ref="A24:C24"/>
    <mergeCell ref="A25:C25"/>
    <mergeCell ref="A26:C26"/>
    <mergeCell ref="A39:B39"/>
    <mergeCell ref="A17:D17"/>
    <mergeCell ref="A96:B96"/>
    <mergeCell ref="B100:C100"/>
    <mergeCell ref="A90:C90"/>
    <mergeCell ref="A91:B91"/>
    <mergeCell ref="A92:B92"/>
    <mergeCell ref="A93:B93"/>
    <mergeCell ref="A94:B94"/>
    <mergeCell ref="A18:C18"/>
    <mergeCell ref="A19:C19"/>
    <mergeCell ref="A20:C20"/>
    <mergeCell ref="A21:C21"/>
    <mergeCell ref="A22:C22"/>
    <mergeCell ref="A23:C23"/>
    <mergeCell ref="A35:C35"/>
    <mergeCell ref="A36:B36"/>
    <mergeCell ref="A37:B37"/>
    <mergeCell ref="A28:C28"/>
    <mergeCell ref="A29:C29"/>
    <mergeCell ref="A27:C27"/>
    <mergeCell ref="A69:B69"/>
    <mergeCell ref="A70:B70"/>
    <mergeCell ref="A42:B42"/>
    <mergeCell ref="A30:B30"/>
    <mergeCell ref="A31:B31"/>
    <mergeCell ref="A32:B32"/>
    <mergeCell ref="A33:B33"/>
    <mergeCell ref="A34:B34"/>
    <mergeCell ref="A40:C40"/>
    <mergeCell ref="A41:B41"/>
    <mergeCell ref="A38:B38"/>
    <mergeCell ref="A56:B56"/>
    <mergeCell ref="A59:C59"/>
    <mergeCell ref="A66:C66"/>
    <mergeCell ref="A67:B67"/>
    <mergeCell ref="A68:B68"/>
    <mergeCell ref="A63:B63"/>
    <mergeCell ref="A64:B64"/>
    <mergeCell ref="A65:B65"/>
    <mergeCell ref="A43:B43"/>
    <mergeCell ref="A44:B44"/>
    <mergeCell ref="A45:B45"/>
    <mergeCell ref="A46:B46"/>
    <mergeCell ref="A47:B47"/>
    <mergeCell ref="A48:C48"/>
    <mergeCell ref="A49:B49"/>
    <mergeCell ref="A50:B50"/>
    <mergeCell ref="A52:B52"/>
    <mergeCell ref="A51:B51"/>
    <mergeCell ref="A53:B53"/>
    <mergeCell ref="A54:B54"/>
    <mergeCell ref="A55:B55"/>
    <mergeCell ref="A57:B57"/>
    <mergeCell ref="A58:B58"/>
    <mergeCell ref="A79:C79"/>
    <mergeCell ref="A80:B80"/>
    <mergeCell ref="A87:B87"/>
    <mergeCell ref="A72:B72"/>
    <mergeCell ref="A73:B73"/>
    <mergeCell ref="A74:B74"/>
    <mergeCell ref="A75:B75"/>
    <mergeCell ref="A76:B76"/>
    <mergeCell ref="A77:B77"/>
    <mergeCell ref="A78:B78"/>
    <mergeCell ref="A71:C71"/>
    <mergeCell ref="A60:C60"/>
    <mergeCell ref="A61:B61"/>
    <mergeCell ref="A62:B62"/>
    <mergeCell ref="A88:B88"/>
    <mergeCell ref="A84:B84"/>
    <mergeCell ref="A85:B85"/>
    <mergeCell ref="A86:B86"/>
    <mergeCell ref="A81:B81"/>
    <mergeCell ref="A82:B82"/>
    <mergeCell ref="A83:B83"/>
  </mergeCells>
  <pageMargins left="0.98425196850393704" right="0.59055118110236215" top="1.1811023622047243" bottom="0.59055118110236215" header="0.11811023622047244" footer="0.51181102362204722"/>
  <pageSetup paperSize="9" scale="54" fitToHeight="0" orientation="portrait" r:id="rId1"/>
  <headerFooter>
    <oddHeader>&amp;L&amp;G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39997558519241921"/>
    <pageSetUpPr fitToPage="1"/>
  </sheetPr>
  <dimension ref="A1:N28"/>
  <sheetViews>
    <sheetView showGridLines="0" view="pageLayout" zoomScaleNormal="112" zoomScaleSheetLayoutView="100" workbookViewId="0">
      <selection activeCell="A5" sqref="A5"/>
    </sheetView>
  </sheetViews>
  <sheetFormatPr defaultColWidth="9.140625" defaultRowHeight="13.5" x14ac:dyDescent="0.25"/>
  <cols>
    <col min="1" max="1" width="8" style="47" customWidth="1"/>
    <col min="2" max="2" width="50.7109375" style="47" customWidth="1"/>
    <col min="3" max="3" width="15.140625" style="47" customWidth="1"/>
    <col min="4" max="4" width="15.140625" style="49" customWidth="1"/>
    <col min="5" max="6" width="15.140625" style="48" customWidth="1"/>
    <col min="7" max="7" width="5.7109375" style="47" bestFit="1" customWidth="1"/>
    <col min="8" max="8" width="15.85546875" style="47" bestFit="1" customWidth="1"/>
    <col min="9" max="9" width="9.140625" style="47"/>
    <col min="10" max="10" width="15.85546875" style="47" bestFit="1" customWidth="1"/>
    <col min="11" max="11" width="7.7109375" style="47" bestFit="1" customWidth="1"/>
    <col min="12" max="12" width="8" style="47" bestFit="1" customWidth="1"/>
    <col min="13" max="16384" width="9.140625" style="47"/>
  </cols>
  <sheetData>
    <row r="1" spans="1:14" ht="15" x14ac:dyDescent="0.25">
      <c r="A1" s="92"/>
    </row>
    <row r="2" spans="1:14" s="80" customFormat="1" ht="15.75" x14ac:dyDescent="0.25">
      <c r="A2" s="627" t="s">
        <v>105</v>
      </c>
      <c r="B2" s="627"/>
      <c r="C2" s="627"/>
      <c r="D2" s="627"/>
      <c r="E2" s="627"/>
      <c r="F2" s="627"/>
      <c r="G2" s="91"/>
    </row>
    <row r="3" spans="1:14" ht="15" x14ac:dyDescent="0.25">
      <c r="G3" s="91"/>
      <c r="J3" s="80"/>
      <c r="K3" s="80"/>
      <c r="L3" s="80"/>
    </row>
    <row r="4" spans="1:14" ht="15" x14ac:dyDescent="0.25">
      <c r="A4" s="626" t="str">
        <f>'ORÇAMENTO GERAL'!B8</f>
        <v>Coleta Seletiva de Resíduos Reciclaveis</v>
      </c>
      <c r="B4" s="626"/>
      <c r="C4" s="626"/>
      <c r="D4" s="626"/>
      <c r="E4" s="626"/>
      <c r="F4" s="626"/>
      <c r="G4" s="91"/>
      <c r="H4" s="89"/>
      <c r="I4" s="89"/>
      <c r="J4" s="80"/>
      <c r="K4" s="80"/>
      <c r="L4" s="80"/>
    </row>
    <row r="5" spans="1:14" ht="15.75" thickBot="1" x14ac:dyDescent="0.3">
      <c r="E5" s="90" t="s">
        <v>104</v>
      </c>
      <c r="F5" s="90" t="s">
        <v>399</v>
      </c>
      <c r="H5" s="89"/>
      <c r="I5" s="89"/>
      <c r="J5" s="80"/>
      <c r="K5" s="80"/>
      <c r="L5" s="80"/>
    </row>
    <row r="6" spans="1:14" ht="15.75" thickBot="1" x14ac:dyDescent="0.3">
      <c r="A6" s="88" t="s">
        <v>54</v>
      </c>
      <c r="B6" s="87" t="s">
        <v>53</v>
      </c>
      <c r="C6" s="86" t="s">
        <v>102</v>
      </c>
      <c r="D6" s="85" t="s">
        <v>49</v>
      </c>
      <c r="E6" s="85" t="s">
        <v>101</v>
      </c>
      <c r="F6" s="84" t="s">
        <v>100</v>
      </c>
      <c r="G6" s="83"/>
      <c r="J6" s="80"/>
      <c r="K6" s="80"/>
      <c r="L6" s="80"/>
    </row>
    <row r="7" spans="1:14" ht="15" x14ac:dyDescent="0.25">
      <c r="A7" s="78">
        <v>1</v>
      </c>
      <c r="B7" s="77" t="s">
        <v>99</v>
      </c>
      <c r="C7" s="76"/>
      <c r="D7" s="75"/>
      <c r="E7" s="75"/>
      <c r="F7" s="74"/>
      <c r="G7" s="82"/>
      <c r="J7" s="80"/>
      <c r="K7" s="80"/>
      <c r="L7" s="80"/>
    </row>
    <row r="8" spans="1:14" ht="15" x14ac:dyDescent="0.25">
      <c r="A8" s="73" t="s">
        <v>47</v>
      </c>
      <c r="B8" s="72" t="s">
        <v>505</v>
      </c>
      <c r="C8" s="71" t="s">
        <v>85</v>
      </c>
      <c r="D8" s="70">
        <v>3</v>
      </c>
      <c r="E8" s="69" t="e">
        <f>'2.3 EQUIP. VEICULOS'!C35</f>
        <v>#DIV/0!</v>
      </c>
      <c r="F8" s="68" t="e">
        <f>E8*D8</f>
        <v>#DIV/0!</v>
      </c>
      <c r="J8" s="80"/>
      <c r="K8" s="80"/>
      <c r="L8" s="80"/>
    </row>
    <row r="9" spans="1:14" s="48" customFormat="1" ht="15" x14ac:dyDescent="0.25">
      <c r="A9" s="73" t="s">
        <v>31</v>
      </c>
      <c r="B9" s="72" t="s">
        <v>506</v>
      </c>
      <c r="C9" s="71" t="s">
        <v>85</v>
      </c>
      <c r="D9" s="70">
        <v>1</v>
      </c>
      <c r="E9" s="69" t="e">
        <f>'2.3 EQUIP. VEICULOS'!D35</f>
        <v>#DIV/0!</v>
      </c>
      <c r="F9" s="68" t="e">
        <f>E9*D9</f>
        <v>#DIV/0!</v>
      </c>
      <c r="G9" s="81"/>
      <c r="J9" s="80"/>
      <c r="K9" s="80"/>
      <c r="L9" s="80"/>
      <c r="N9" s="48" t="s">
        <v>502</v>
      </c>
    </row>
    <row r="10" spans="1:14" s="48" customFormat="1" ht="15" x14ac:dyDescent="0.25">
      <c r="A10" s="73"/>
      <c r="B10" s="72"/>
      <c r="C10" s="71"/>
      <c r="D10" s="70"/>
      <c r="E10" s="69" t="s">
        <v>96</v>
      </c>
      <c r="F10" s="68" t="e">
        <f>SUM(F8:F9)</f>
        <v>#DIV/0!</v>
      </c>
      <c r="J10" s="80"/>
      <c r="K10" s="80"/>
      <c r="L10" s="80"/>
      <c r="N10" s="48" t="s">
        <v>503</v>
      </c>
    </row>
    <row r="11" spans="1:14" s="48" customFormat="1" ht="15" x14ac:dyDescent="0.25">
      <c r="A11" s="78">
        <v>2</v>
      </c>
      <c r="B11" s="77" t="s">
        <v>95</v>
      </c>
      <c r="C11" s="76"/>
      <c r="D11" s="75"/>
      <c r="E11" s="350"/>
      <c r="F11" s="351"/>
      <c r="J11" s="80"/>
      <c r="K11" s="80"/>
      <c r="L11" s="80"/>
    </row>
    <row r="12" spans="1:14" s="48" customFormat="1" x14ac:dyDescent="0.25">
      <c r="A12" s="73" t="s">
        <v>17</v>
      </c>
      <c r="B12" s="72" t="s">
        <v>388</v>
      </c>
      <c r="C12" s="71" t="s">
        <v>94</v>
      </c>
      <c r="D12" s="574">
        <f>'2.4 DIM SELETIVA'!C63</f>
        <v>10</v>
      </c>
      <c r="E12" s="69" t="e">
        <f>'2.2 MAO DE OBRA'!F73</f>
        <v>#DIV/0!</v>
      </c>
      <c r="F12" s="68" t="e">
        <f>E12*D12</f>
        <v>#DIV/0!</v>
      </c>
    </row>
    <row r="13" spans="1:14" s="48" customFormat="1" x14ac:dyDescent="0.25">
      <c r="A13" s="73" t="s">
        <v>13</v>
      </c>
      <c r="B13" s="72" t="s">
        <v>389</v>
      </c>
      <c r="C13" s="71" t="s">
        <v>94</v>
      </c>
      <c r="D13" s="70">
        <f>'2.4 DIM SELETIVA'!C65</f>
        <v>4</v>
      </c>
      <c r="E13" s="69" t="e">
        <f>'2.2 MAO DE OBRA'!F36</f>
        <v>#DIV/0!</v>
      </c>
      <c r="F13" s="68" t="e">
        <f>E13*D13</f>
        <v>#DIV/0!</v>
      </c>
    </row>
    <row r="14" spans="1:14" s="48" customFormat="1" x14ac:dyDescent="0.25">
      <c r="A14" s="73"/>
      <c r="B14" s="72"/>
      <c r="C14" s="71"/>
      <c r="D14" s="70"/>
      <c r="E14" s="69" t="s">
        <v>93</v>
      </c>
      <c r="F14" s="68" t="e">
        <f>SUM(F12:F13)</f>
        <v>#DIV/0!</v>
      </c>
    </row>
    <row r="15" spans="1:14" s="48" customFormat="1" x14ac:dyDescent="0.25">
      <c r="A15" s="78">
        <v>3</v>
      </c>
      <c r="B15" s="77" t="s">
        <v>92</v>
      </c>
      <c r="C15" s="76"/>
      <c r="D15" s="75"/>
      <c r="E15" s="350"/>
      <c r="F15" s="351"/>
    </row>
    <row r="16" spans="1:14" s="48" customFormat="1" x14ac:dyDescent="0.25">
      <c r="A16" s="73" t="s">
        <v>91</v>
      </c>
      <c r="B16" s="72" t="s">
        <v>90</v>
      </c>
      <c r="C16" s="71" t="s">
        <v>85</v>
      </c>
      <c r="D16" s="70">
        <f>D8</f>
        <v>3</v>
      </c>
      <c r="E16" s="69" t="e">
        <f>VLOOKUP(B16,'1.1 CUSTO FERRAME-UNIFORME-EPI'!B:C,2,FALSE)</f>
        <v>#DIV/0!</v>
      </c>
      <c r="F16" s="68" t="e">
        <f>E16*D16</f>
        <v>#DIV/0!</v>
      </c>
    </row>
    <row r="17" spans="1:8" s="48" customFormat="1" x14ac:dyDescent="0.25">
      <c r="A17" s="73" t="s">
        <v>89</v>
      </c>
      <c r="B17" s="72" t="s">
        <v>88</v>
      </c>
      <c r="C17" s="71" t="s">
        <v>85</v>
      </c>
      <c r="D17" s="70">
        <f>2*(D8)</f>
        <v>6</v>
      </c>
      <c r="E17" s="69">
        <f>VLOOKUP(B17,'1.1 CUSTO FERRAME-UNIFORME-EPI'!B:C,2,FALSE)</f>
        <v>0</v>
      </c>
      <c r="F17" s="68">
        <f>E17*D17</f>
        <v>0</v>
      </c>
    </row>
    <row r="18" spans="1:8" s="48" customFormat="1" x14ac:dyDescent="0.25">
      <c r="A18" s="73" t="s">
        <v>87</v>
      </c>
      <c r="B18" s="72" t="s">
        <v>86</v>
      </c>
      <c r="C18" s="71" t="s">
        <v>85</v>
      </c>
      <c r="D18" s="70">
        <f>D8</f>
        <v>3</v>
      </c>
      <c r="E18" s="69">
        <f>VLOOKUP(B18,'1.1 CUSTO FERRAME-UNIFORME-EPI'!B:C,2,FALSE)</f>
        <v>0</v>
      </c>
      <c r="F18" s="68">
        <f>E18*D18</f>
        <v>0</v>
      </c>
    </row>
    <row r="19" spans="1:8" s="48" customFormat="1" x14ac:dyDescent="0.25">
      <c r="A19" s="73"/>
      <c r="B19" s="72"/>
      <c r="C19" s="71"/>
      <c r="D19" s="70"/>
      <c r="E19" s="69" t="s">
        <v>84</v>
      </c>
      <c r="F19" s="68" t="e">
        <f>SUM(F16:F18)</f>
        <v>#DIV/0!</v>
      </c>
      <c r="H19" s="48" t="e">
        <f>F19/F14</f>
        <v>#DIV/0!</v>
      </c>
    </row>
    <row r="20" spans="1:8" s="48" customFormat="1" x14ac:dyDescent="0.25">
      <c r="A20" s="54"/>
      <c r="B20" s="54" t="s">
        <v>83</v>
      </c>
      <c r="C20" s="54"/>
      <c r="D20" s="54"/>
      <c r="E20" s="54"/>
      <c r="F20" s="67"/>
    </row>
    <row r="21" spans="1:8" s="48" customFormat="1" x14ac:dyDescent="0.25">
      <c r="A21" s="59"/>
      <c r="B21" s="60" t="s">
        <v>82</v>
      </c>
      <c r="C21" s="57" t="s">
        <v>81</v>
      </c>
      <c r="D21" s="64"/>
      <c r="E21" s="57"/>
      <c r="F21" s="66" t="e">
        <f>SUM(F19,F14,F10)</f>
        <v>#DIV/0!</v>
      </c>
    </row>
    <row r="22" spans="1:8" s="48" customFormat="1" x14ac:dyDescent="0.25">
      <c r="A22" s="59"/>
      <c r="B22" s="65" t="s">
        <v>80</v>
      </c>
      <c r="C22" s="59" t="s">
        <v>398</v>
      </c>
      <c r="E22" s="62"/>
      <c r="F22" s="64">
        <v>3</v>
      </c>
    </row>
    <row r="23" spans="1:8" s="48" customFormat="1" x14ac:dyDescent="0.25">
      <c r="A23" s="59"/>
      <c r="B23" s="60" t="s">
        <v>78</v>
      </c>
      <c r="C23" s="59" t="s">
        <v>119</v>
      </c>
      <c r="D23" s="63"/>
      <c r="E23" s="62"/>
      <c r="F23" s="61" t="e">
        <f>ROUND(F21/F22,2)</f>
        <v>#DIV/0!</v>
      </c>
    </row>
    <row r="24" spans="1:8" s="48" customFormat="1" x14ac:dyDescent="0.25">
      <c r="A24" s="59"/>
      <c r="B24" s="60" t="s">
        <v>77</v>
      </c>
      <c r="C24" s="59" t="s">
        <v>76</v>
      </c>
      <c r="D24" s="58">
        <f>'BDI '!$C$22</f>
        <v>5.2600000000000001E-2</v>
      </c>
      <c r="E24" s="57"/>
      <c r="F24" s="56" t="e">
        <f>ROUND(F23*D24,2)</f>
        <v>#DIV/0!</v>
      </c>
    </row>
    <row r="25" spans="1:8" s="48" customFormat="1" x14ac:dyDescent="0.25">
      <c r="A25" s="54"/>
      <c r="B25" s="54" t="s">
        <v>75</v>
      </c>
      <c r="C25" s="55" t="s">
        <v>119</v>
      </c>
      <c r="D25" s="54"/>
      <c r="E25" s="54"/>
      <c r="F25" s="53" t="e">
        <f>SUM(F23:F24)</f>
        <v>#DIV/0!</v>
      </c>
    </row>
    <row r="26" spans="1:8" s="48" customFormat="1" x14ac:dyDescent="0.25">
      <c r="A26" s="47"/>
      <c r="B26" s="47"/>
      <c r="C26" s="47"/>
      <c r="D26" s="52"/>
      <c r="E26" s="47"/>
      <c r="F26" s="51"/>
    </row>
    <row r="28" spans="1:8" s="48" customFormat="1" ht="11.25" x14ac:dyDescent="0.25">
      <c r="F28" s="50"/>
    </row>
  </sheetData>
  <mergeCells count="2">
    <mergeCell ref="A2:F2"/>
    <mergeCell ref="A4:F4"/>
  </mergeCells>
  <printOptions horizontalCentered="1"/>
  <pageMargins left="0.98425196850393704" right="0.59055118110236215" top="1.1811023622047243" bottom="0.59055118110236215" header="0.11811023622047244" footer="0.51181102362204722"/>
  <pageSetup paperSize="9" scale="42" firstPageNumber="0" fitToHeight="0" orientation="portrait" r:id="rId1"/>
  <headerFooter alignWithMargins="0">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39997558519241921"/>
    <pageSetUpPr fitToPage="1"/>
  </sheetPr>
  <dimension ref="B1:F73"/>
  <sheetViews>
    <sheetView view="pageLayout" topLeftCell="A61" zoomScaleNormal="100" zoomScaleSheetLayoutView="85" workbookViewId="0">
      <selection activeCell="D2" sqref="D2"/>
    </sheetView>
  </sheetViews>
  <sheetFormatPr defaultRowHeight="15" x14ac:dyDescent="0.25"/>
  <cols>
    <col min="1" max="1" width="7.28515625" customWidth="1"/>
    <col min="2" max="2" width="12" customWidth="1"/>
    <col min="3" max="3" width="52.28515625" customWidth="1"/>
    <col min="4" max="6" width="18.140625" customWidth="1"/>
    <col min="7" max="7" width="7.28515625" customWidth="1"/>
  </cols>
  <sheetData>
    <row r="1" spans="2:6" ht="15.75" thickBot="1" x14ac:dyDescent="0.3">
      <c r="B1" s="633" t="s">
        <v>55</v>
      </c>
      <c r="C1" s="634"/>
      <c r="D1" s="634"/>
      <c r="E1" s="634"/>
      <c r="F1" s="635"/>
    </row>
    <row r="2" spans="2:6" x14ac:dyDescent="0.25">
      <c r="B2" s="1"/>
      <c r="C2" s="1"/>
      <c r="D2" s="1"/>
      <c r="E2" s="1"/>
      <c r="F2" s="1"/>
    </row>
    <row r="3" spans="2:6" x14ac:dyDescent="0.25">
      <c r="B3" s="1"/>
      <c r="C3" s="1"/>
      <c r="D3" s="1"/>
      <c r="E3" s="1"/>
      <c r="F3" s="1"/>
    </row>
    <row r="4" spans="2:6" x14ac:dyDescent="0.25">
      <c r="B4" s="27" t="s">
        <v>54</v>
      </c>
      <c r="C4" s="27" t="s">
        <v>53</v>
      </c>
      <c r="D4" s="630" t="s">
        <v>394</v>
      </c>
      <c r="E4" s="631"/>
      <c r="F4" s="632"/>
    </row>
    <row r="5" spans="2:6" x14ac:dyDescent="0.25">
      <c r="B5" s="28"/>
      <c r="C5" s="28"/>
      <c r="D5" s="629"/>
      <c r="E5" s="629"/>
      <c r="F5" s="629"/>
    </row>
    <row r="6" spans="2:6" x14ac:dyDescent="0.25">
      <c r="B6" s="29" t="s">
        <v>52</v>
      </c>
      <c r="C6" s="30" t="s">
        <v>51</v>
      </c>
      <c r="D6" s="8" t="s">
        <v>50</v>
      </c>
      <c r="E6" s="8" t="s">
        <v>49</v>
      </c>
      <c r="F6" s="8" t="s">
        <v>48</v>
      </c>
    </row>
    <row r="7" spans="2:6" x14ac:dyDescent="0.25">
      <c r="B7" s="29" t="s">
        <v>47</v>
      </c>
      <c r="C7" s="30" t="s">
        <v>46</v>
      </c>
      <c r="D7" s="8"/>
      <c r="E7" s="8"/>
      <c r="F7" s="8"/>
    </row>
    <row r="8" spans="2:6" x14ac:dyDescent="0.25">
      <c r="B8" s="31" t="s">
        <v>45</v>
      </c>
      <c r="C8" s="32" t="s">
        <v>44</v>
      </c>
      <c r="D8" s="33">
        <f>'1.1 SALÁRIOS'!$F$26</f>
        <v>0</v>
      </c>
      <c r="E8" s="11">
        <v>1</v>
      </c>
      <c r="F8" s="11">
        <f>E8*D8</f>
        <v>0</v>
      </c>
    </row>
    <row r="9" spans="2:6" x14ac:dyDescent="0.25">
      <c r="B9" s="31" t="s">
        <v>43</v>
      </c>
      <c r="C9" s="32" t="s">
        <v>42</v>
      </c>
      <c r="D9" s="11">
        <f>'1.1 SALÁRIOS'!$F$23</f>
        <v>0</v>
      </c>
      <c r="E9" s="34">
        <v>0.2</v>
      </c>
      <c r="F9" s="11">
        <f>E9*D9</f>
        <v>0</v>
      </c>
    </row>
    <row r="10" spans="2:6" x14ac:dyDescent="0.25">
      <c r="B10" s="31" t="s">
        <v>41</v>
      </c>
      <c r="C10" s="32" t="s">
        <v>56</v>
      </c>
      <c r="D10" s="11"/>
      <c r="E10" s="11"/>
      <c r="F10" s="11"/>
    </row>
    <row r="11" spans="2:6" x14ac:dyDescent="0.25">
      <c r="B11" s="31" t="s">
        <v>39</v>
      </c>
      <c r="C11" s="32" t="s">
        <v>38</v>
      </c>
      <c r="D11" s="11"/>
      <c r="E11" s="11"/>
      <c r="F11" s="11"/>
    </row>
    <row r="12" spans="2:6" x14ac:dyDescent="0.25">
      <c r="B12" s="31" t="s">
        <v>37</v>
      </c>
      <c r="C12" s="32" t="s">
        <v>36</v>
      </c>
      <c r="D12" s="11"/>
      <c r="E12" s="11"/>
      <c r="F12" s="11"/>
    </row>
    <row r="13" spans="2:6" x14ac:dyDescent="0.25">
      <c r="B13" s="31" t="s">
        <v>35</v>
      </c>
      <c r="C13" s="32" t="s">
        <v>34</v>
      </c>
      <c r="D13" s="11"/>
      <c r="E13" s="11"/>
      <c r="F13" s="11"/>
    </row>
    <row r="14" spans="2:6" x14ac:dyDescent="0.25">
      <c r="B14" s="31" t="s">
        <v>33</v>
      </c>
      <c r="C14" s="30" t="s">
        <v>32</v>
      </c>
      <c r="D14" s="11"/>
      <c r="E14" s="11"/>
      <c r="F14" s="12">
        <f>SUM(F8:F13)</f>
        <v>0</v>
      </c>
    </row>
    <row r="15" spans="2:6" x14ac:dyDescent="0.25">
      <c r="B15" s="29" t="s">
        <v>31</v>
      </c>
      <c r="C15" s="35" t="s">
        <v>30</v>
      </c>
      <c r="D15" s="11">
        <f>F14</f>
        <v>0</v>
      </c>
      <c r="E15" s="14">
        <f>'1.1 SALÁRIOS'!$F$33</f>
        <v>0</v>
      </c>
      <c r="F15" s="12">
        <f>E15*D15</f>
        <v>0</v>
      </c>
    </row>
    <row r="16" spans="2:6" x14ac:dyDescent="0.25">
      <c r="B16" s="29" t="s">
        <v>29</v>
      </c>
      <c r="C16" s="35" t="s">
        <v>28</v>
      </c>
      <c r="D16" s="11"/>
      <c r="E16" s="11"/>
      <c r="F16" s="12">
        <f>SUM(F14:F15)</f>
        <v>0</v>
      </c>
    </row>
    <row r="17" spans="2:6" x14ac:dyDescent="0.25">
      <c r="B17" s="29" t="s">
        <v>27</v>
      </c>
      <c r="C17" s="35" t="s">
        <v>26</v>
      </c>
      <c r="D17" s="11"/>
      <c r="E17" s="11"/>
      <c r="F17" s="11"/>
    </row>
    <row r="18" spans="2:6" x14ac:dyDescent="0.25">
      <c r="B18" s="9" t="s">
        <v>25</v>
      </c>
      <c r="C18" s="15" t="s">
        <v>24</v>
      </c>
      <c r="D18" s="11">
        <f>'1.1 SALÁRIOS'!$F$35</f>
        <v>0</v>
      </c>
      <c r="E18" s="11">
        <v>25.25</v>
      </c>
      <c r="F18" s="11">
        <f>IF(2*E18*D18-0.06*D8&lt;0,0,2*E18*D18-0.06*D8)</f>
        <v>0</v>
      </c>
    </row>
    <row r="19" spans="2:6" x14ac:dyDescent="0.25">
      <c r="B19" s="9" t="s">
        <v>23</v>
      </c>
      <c r="C19" s="15" t="s">
        <v>369</v>
      </c>
      <c r="D19" s="11">
        <f>('1.1 SALÁRIOS'!$F$36+'1.1 SALÁRIOS'!$F$37)/12</f>
        <v>0</v>
      </c>
      <c r="E19" s="11">
        <v>1</v>
      </c>
      <c r="F19" s="11">
        <f>E19*D19</f>
        <v>0</v>
      </c>
    </row>
    <row r="20" spans="2:6" x14ac:dyDescent="0.25">
      <c r="B20" s="9" t="s">
        <v>22</v>
      </c>
      <c r="C20" s="15" t="s">
        <v>370</v>
      </c>
      <c r="D20" s="11">
        <f>'1.1 SALÁRIOS'!$F$38</f>
        <v>0</v>
      </c>
      <c r="E20" s="11">
        <f>E18</f>
        <v>25.25</v>
      </c>
      <c r="F20" s="11">
        <f>E20*D20</f>
        <v>0</v>
      </c>
    </row>
    <row r="21" spans="2:6" x14ac:dyDescent="0.25">
      <c r="B21" s="9" t="s">
        <v>21</v>
      </c>
      <c r="C21" s="15" t="s">
        <v>371</v>
      </c>
      <c r="D21" s="11">
        <f>'1.1 SALÁRIOS'!$F$39</f>
        <v>0</v>
      </c>
      <c r="E21" s="11">
        <v>1</v>
      </c>
      <c r="F21" s="11">
        <f>E21*D21</f>
        <v>0</v>
      </c>
    </row>
    <row r="22" spans="2:6" x14ac:dyDescent="0.25">
      <c r="B22" s="9" t="s">
        <v>374</v>
      </c>
      <c r="C22" s="15" t="s">
        <v>372</v>
      </c>
      <c r="D22" s="11">
        <f>'1.1 SALÁRIOS'!$F$40</f>
        <v>0</v>
      </c>
      <c r="E22" s="11">
        <v>1</v>
      </c>
      <c r="F22" s="11">
        <f>E22*D22</f>
        <v>0</v>
      </c>
    </row>
    <row r="23" spans="2:6" x14ac:dyDescent="0.25">
      <c r="B23" s="9" t="s">
        <v>375</v>
      </c>
      <c r="C23" s="15" t="s">
        <v>373</v>
      </c>
      <c r="D23" s="11">
        <f>'1.1 SALÁRIOS'!$F$41</f>
        <v>0</v>
      </c>
      <c r="E23" s="11">
        <v>1</v>
      </c>
      <c r="F23" s="11">
        <f>E23*D23</f>
        <v>0</v>
      </c>
    </row>
    <row r="24" spans="2:6" x14ac:dyDescent="0.25">
      <c r="B24" s="31" t="s">
        <v>57</v>
      </c>
      <c r="C24" s="35" t="s">
        <v>20</v>
      </c>
      <c r="D24" s="12"/>
      <c r="E24" s="12"/>
      <c r="F24" s="12">
        <f>SUM(F18:F23)</f>
        <v>0</v>
      </c>
    </row>
    <row r="25" spans="2:6" x14ac:dyDescent="0.25">
      <c r="B25" s="29" t="s">
        <v>19</v>
      </c>
      <c r="C25" s="35" t="s">
        <v>18</v>
      </c>
      <c r="D25" s="11"/>
      <c r="E25" s="11"/>
      <c r="F25" s="11"/>
    </row>
    <row r="26" spans="2:6" x14ac:dyDescent="0.25">
      <c r="B26" s="31" t="s">
        <v>17</v>
      </c>
      <c r="C26" s="36" t="str">
        <f>'1.1 CUSTO FERRAME-UNIFORME-EPI'!$B$18</f>
        <v>Boné de brim tipo árabe</v>
      </c>
      <c r="D26" s="11" t="e">
        <f>VLOOKUP(C26,'1.1 CUSTO FERRAME-UNIFORME-EPI'!B:C,2,FALSE)</f>
        <v>#DIV/0!</v>
      </c>
      <c r="E26" s="17">
        <v>0.17</v>
      </c>
      <c r="F26" s="11" t="e">
        <f t="shared" ref="F26:F33" si="0">E26*D26</f>
        <v>#DIV/0!</v>
      </c>
    </row>
    <row r="27" spans="2:6" x14ac:dyDescent="0.25">
      <c r="B27" s="31" t="s">
        <v>15</v>
      </c>
      <c r="C27" s="36" t="str">
        <f>'1.1 CUSTO FERRAME-UNIFORME-EPI'!$B$31</f>
        <v>Calça jeans</v>
      </c>
      <c r="D27" s="11" t="e">
        <f>VLOOKUP(C27,'1.1 CUSTO FERRAME-UNIFORME-EPI'!B:C,2,FALSE)</f>
        <v>#DIV/0!</v>
      </c>
      <c r="E27" s="17">
        <v>0.33</v>
      </c>
      <c r="F27" s="11" t="e">
        <f t="shared" si="0"/>
        <v>#DIV/0!</v>
      </c>
    </row>
    <row r="28" spans="2:6" x14ac:dyDescent="0.25">
      <c r="B28" s="31" t="s">
        <v>13</v>
      </c>
      <c r="C28" s="36" t="s">
        <v>12</v>
      </c>
      <c r="D28" s="11" t="e">
        <f>VLOOKUP(C28,'1.1 CUSTO FERRAME-UNIFORME-EPI'!B:C,2,FALSE)</f>
        <v>#DIV/0!</v>
      </c>
      <c r="E28" s="17">
        <v>0.33</v>
      </c>
      <c r="F28" s="11" t="e">
        <f t="shared" si="0"/>
        <v>#DIV/0!</v>
      </c>
    </row>
    <row r="29" spans="2:6" x14ac:dyDescent="0.25">
      <c r="B29" s="31" t="s">
        <v>11</v>
      </c>
      <c r="C29" s="36" t="str">
        <f>'1.1 CUSTO FERRAME-UNIFORME-EPI'!$B$33</f>
        <v>Bota de couro, antiderrapante</v>
      </c>
      <c r="D29" s="11">
        <f>VLOOKUP(C29,'1.1 CUSTO FERRAME-UNIFORME-EPI'!B:C,2,FALSE)</f>
        <v>0</v>
      </c>
      <c r="E29" s="17">
        <v>0.17</v>
      </c>
      <c r="F29" s="11">
        <f t="shared" si="0"/>
        <v>0</v>
      </c>
    </row>
    <row r="30" spans="2:6" x14ac:dyDescent="0.25">
      <c r="B30" s="31" t="s">
        <v>9</v>
      </c>
      <c r="C30" s="36" t="s">
        <v>8</v>
      </c>
      <c r="D30" s="11">
        <f>VLOOKUP(C30,'1.1 CUSTO FERRAME-UNIFORME-EPI'!B:C,2,FALSE)</f>
        <v>0</v>
      </c>
      <c r="E30" s="17">
        <v>0.17</v>
      </c>
      <c r="F30" s="11">
        <f t="shared" si="0"/>
        <v>0</v>
      </c>
    </row>
    <row r="31" spans="2:6" x14ac:dyDescent="0.25">
      <c r="B31" s="31" t="s">
        <v>7</v>
      </c>
      <c r="C31" s="36" t="str">
        <f>'1.1 CUSTO FERRAME-UNIFORME-EPI'!$B$22</f>
        <v>Protetor solar fator 30 (120ml/Mês)</v>
      </c>
      <c r="D31" s="11">
        <f>VLOOKUP(C31,'1.1 CUSTO FERRAME-UNIFORME-EPI'!B:C,2,FALSE)</f>
        <v>0</v>
      </c>
      <c r="E31" s="17">
        <v>0.3</v>
      </c>
      <c r="F31" s="11">
        <f t="shared" si="0"/>
        <v>0</v>
      </c>
    </row>
    <row r="32" spans="2:6" x14ac:dyDescent="0.25">
      <c r="B32" s="31" t="s">
        <v>5</v>
      </c>
      <c r="C32" s="36" t="s">
        <v>4</v>
      </c>
      <c r="D32" s="11" t="e">
        <f>VLOOKUP(C32,'1.1 CUSTO FERRAME-UNIFORME-EPI'!B:C,2,FALSE)</f>
        <v>#DIV/0!</v>
      </c>
      <c r="E32" s="17">
        <v>0</v>
      </c>
      <c r="F32" s="11" t="e">
        <f t="shared" si="0"/>
        <v>#DIV/0!</v>
      </c>
    </row>
    <row r="33" spans="2:6" x14ac:dyDescent="0.25">
      <c r="B33" s="31" t="s">
        <v>3</v>
      </c>
      <c r="C33" s="37" t="str">
        <f>'1.1 CUSTO FERRAME-UNIFORME-EPI'!$B$34</f>
        <v>Garra Térmica 2L</v>
      </c>
      <c r="D33" s="18" t="e">
        <f>VLOOKUP(C33,'1.1 CUSTO FERRAME-UNIFORME-EPI'!B:C,2,FALSE)</f>
        <v>#DIV/0!</v>
      </c>
      <c r="E33" s="19">
        <v>0.08</v>
      </c>
      <c r="F33" s="11" t="e">
        <f t="shared" si="0"/>
        <v>#DIV/0!</v>
      </c>
    </row>
    <row r="34" spans="2:6" x14ac:dyDescent="0.25">
      <c r="B34" s="31"/>
      <c r="C34" s="38" t="s">
        <v>2</v>
      </c>
      <c r="D34" s="20"/>
      <c r="E34" s="20"/>
      <c r="F34" s="21" t="e">
        <f>SUM(F26:F33)</f>
        <v>#DIV/0!</v>
      </c>
    </row>
    <row r="35" spans="2:6" x14ac:dyDescent="0.25">
      <c r="B35" s="39"/>
      <c r="C35" s="40"/>
      <c r="D35" s="41"/>
      <c r="E35" s="41"/>
      <c r="F35" s="42"/>
    </row>
    <row r="36" spans="2:6" x14ac:dyDescent="0.25">
      <c r="B36" s="43" t="s">
        <v>1</v>
      </c>
      <c r="C36" s="44" t="s">
        <v>0</v>
      </c>
      <c r="D36" s="25"/>
      <c r="E36" s="25"/>
      <c r="F36" s="26" t="e">
        <f>SUM(F34,F24,F16)</f>
        <v>#DIV/0!</v>
      </c>
    </row>
    <row r="37" spans="2:6" x14ac:dyDescent="0.25">
      <c r="B37" s="1"/>
      <c r="C37" s="1"/>
      <c r="D37" s="1"/>
      <c r="E37" s="1"/>
      <c r="F37" s="1"/>
    </row>
    <row r="38" spans="2:6" x14ac:dyDescent="0.25">
      <c r="B38" s="1"/>
      <c r="C38" s="1"/>
      <c r="D38" s="1"/>
      <c r="E38" s="1"/>
      <c r="F38" s="1"/>
    </row>
    <row r="39" spans="2:6" x14ac:dyDescent="0.25">
      <c r="B39" s="27" t="s">
        <v>54</v>
      </c>
      <c r="C39" s="27" t="s">
        <v>53</v>
      </c>
      <c r="D39" s="628" t="s">
        <v>381</v>
      </c>
      <c r="E39" s="628"/>
      <c r="F39" s="628"/>
    </row>
    <row r="40" spans="2:6" x14ac:dyDescent="0.25">
      <c r="B40" s="28"/>
      <c r="C40" s="28"/>
      <c r="D40" s="629"/>
      <c r="E40" s="629"/>
      <c r="F40" s="629"/>
    </row>
    <row r="41" spans="2:6" x14ac:dyDescent="0.25">
      <c r="B41" s="29" t="s">
        <v>52</v>
      </c>
      <c r="C41" s="30" t="s">
        <v>51</v>
      </c>
      <c r="D41" s="8" t="s">
        <v>50</v>
      </c>
      <c r="E41" s="8" t="s">
        <v>49</v>
      </c>
      <c r="F41" s="8" t="s">
        <v>48</v>
      </c>
    </row>
    <row r="42" spans="2:6" x14ac:dyDescent="0.25">
      <c r="B42" s="29" t="s">
        <v>47</v>
      </c>
      <c r="C42" s="30" t="s">
        <v>46</v>
      </c>
      <c r="D42" s="8"/>
      <c r="E42" s="8"/>
      <c r="F42" s="8"/>
    </row>
    <row r="43" spans="2:6" x14ac:dyDescent="0.25">
      <c r="B43" s="31" t="s">
        <v>45</v>
      </c>
      <c r="C43" s="32" t="s">
        <v>44</v>
      </c>
      <c r="D43" s="33">
        <f>'1.1 SALÁRIOS'!$F$6</f>
        <v>0</v>
      </c>
      <c r="E43" s="11">
        <v>1</v>
      </c>
      <c r="F43" s="11">
        <f>E43*D43</f>
        <v>0</v>
      </c>
    </row>
    <row r="44" spans="2:6" x14ac:dyDescent="0.25">
      <c r="B44" s="31" t="s">
        <v>43</v>
      </c>
      <c r="C44" s="32" t="s">
        <v>42</v>
      </c>
      <c r="D44" s="11">
        <f>'1.1 SALÁRIOS'!$F$23</f>
        <v>0</v>
      </c>
      <c r="E44" s="34">
        <v>0.2</v>
      </c>
      <c r="F44" s="11">
        <f>E44*D44</f>
        <v>0</v>
      </c>
    </row>
    <row r="45" spans="2:6" x14ac:dyDescent="0.25">
      <c r="B45" s="31" t="s">
        <v>41</v>
      </c>
      <c r="C45" s="32" t="s">
        <v>56</v>
      </c>
      <c r="D45" s="11"/>
      <c r="E45" s="34"/>
      <c r="F45" s="11"/>
    </row>
    <row r="46" spans="2:6" x14ac:dyDescent="0.25">
      <c r="B46" s="31" t="s">
        <v>39</v>
      </c>
      <c r="C46" s="32" t="s">
        <v>38</v>
      </c>
      <c r="D46" s="11"/>
      <c r="E46" s="11"/>
      <c r="F46" s="11"/>
    </row>
    <row r="47" spans="2:6" x14ac:dyDescent="0.25">
      <c r="B47" s="31" t="s">
        <v>37</v>
      </c>
      <c r="C47" s="32" t="s">
        <v>36</v>
      </c>
      <c r="D47" s="11"/>
      <c r="E47" s="11"/>
      <c r="F47" s="11"/>
    </row>
    <row r="48" spans="2:6" x14ac:dyDescent="0.25">
      <c r="B48" s="31" t="s">
        <v>35</v>
      </c>
      <c r="C48" s="32" t="s">
        <v>34</v>
      </c>
      <c r="D48" s="11"/>
      <c r="E48" s="11"/>
      <c r="F48" s="11"/>
    </row>
    <row r="49" spans="2:6" x14ac:dyDescent="0.25">
      <c r="B49" s="31"/>
      <c r="C49" s="30" t="s">
        <v>32</v>
      </c>
      <c r="D49" s="11"/>
      <c r="E49" s="11"/>
      <c r="F49" s="12">
        <f>SUM(F43:F48)</f>
        <v>0</v>
      </c>
    </row>
    <row r="50" spans="2:6" x14ac:dyDescent="0.25">
      <c r="B50" s="29" t="s">
        <v>31</v>
      </c>
      <c r="C50" s="45" t="s">
        <v>30</v>
      </c>
      <c r="D50" s="46">
        <f>F49</f>
        <v>0</v>
      </c>
      <c r="E50" s="14">
        <f>'1.1 SALÁRIOS'!$F$33</f>
        <v>0</v>
      </c>
      <c r="F50" s="11">
        <f>E50*D50</f>
        <v>0</v>
      </c>
    </row>
    <row r="51" spans="2:6" x14ac:dyDescent="0.25">
      <c r="B51" s="29" t="s">
        <v>29</v>
      </c>
      <c r="C51" s="35" t="s">
        <v>28</v>
      </c>
      <c r="D51" s="11"/>
      <c r="E51" s="11"/>
      <c r="F51" s="12">
        <f>SUM(F49:F50)</f>
        <v>0</v>
      </c>
    </row>
    <row r="52" spans="2:6" x14ac:dyDescent="0.25">
      <c r="B52" s="29" t="s">
        <v>27</v>
      </c>
      <c r="C52" s="35" t="s">
        <v>26</v>
      </c>
      <c r="D52" s="11"/>
      <c r="E52" s="11"/>
      <c r="F52" s="11"/>
    </row>
    <row r="53" spans="2:6" x14ac:dyDescent="0.25">
      <c r="B53" s="9" t="s">
        <v>25</v>
      </c>
      <c r="C53" s="15" t="s">
        <v>24</v>
      </c>
      <c r="D53" s="11">
        <f>'1.1 SALÁRIOS'!$F$35</f>
        <v>0</v>
      </c>
      <c r="E53" s="11">
        <v>25.25</v>
      </c>
      <c r="F53" s="11">
        <f>IF(2*E53*D53-0.06*D43&lt;0,0,2*E53*D53-0.06*D43)</f>
        <v>0</v>
      </c>
    </row>
    <row r="54" spans="2:6" x14ac:dyDescent="0.25">
      <c r="B54" s="9" t="s">
        <v>23</v>
      </c>
      <c r="C54" s="15" t="s">
        <v>369</v>
      </c>
      <c r="D54" s="11">
        <f>('1.1 SALÁRIOS'!$F$36+'1.1 SALÁRIOS'!$F$37)/12</f>
        <v>0</v>
      </c>
      <c r="E54" s="11">
        <v>1</v>
      </c>
      <c r="F54" s="11">
        <f>E54*D54</f>
        <v>0</v>
      </c>
    </row>
    <row r="55" spans="2:6" x14ac:dyDescent="0.25">
      <c r="B55" s="9" t="s">
        <v>22</v>
      </c>
      <c r="C55" s="15" t="s">
        <v>370</v>
      </c>
      <c r="D55" s="11">
        <f>'1.1 SALÁRIOS'!$F$38</f>
        <v>0</v>
      </c>
      <c r="E55" s="11">
        <f>E53</f>
        <v>25.25</v>
      </c>
      <c r="F55" s="11">
        <f>E55*D55</f>
        <v>0</v>
      </c>
    </row>
    <row r="56" spans="2:6" x14ac:dyDescent="0.25">
      <c r="B56" s="9" t="s">
        <v>21</v>
      </c>
      <c r="C56" s="15" t="s">
        <v>371</v>
      </c>
      <c r="D56" s="11">
        <f>'1.1 SALÁRIOS'!$F$39</f>
        <v>0</v>
      </c>
      <c r="E56" s="11">
        <v>1</v>
      </c>
      <c r="F56" s="11">
        <f>E56*D56</f>
        <v>0</v>
      </c>
    </row>
    <row r="57" spans="2:6" x14ac:dyDescent="0.25">
      <c r="B57" s="9" t="s">
        <v>374</v>
      </c>
      <c r="C57" s="15" t="s">
        <v>372</v>
      </c>
      <c r="D57" s="11">
        <f>'1.1 SALÁRIOS'!$F$40</f>
        <v>0</v>
      </c>
      <c r="E57" s="11">
        <v>1</v>
      </c>
      <c r="F57" s="11">
        <f>E57*D57</f>
        <v>0</v>
      </c>
    </row>
    <row r="58" spans="2:6" x14ac:dyDescent="0.25">
      <c r="B58" s="9" t="s">
        <v>375</v>
      </c>
      <c r="C58" s="15" t="s">
        <v>373</v>
      </c>
      <c r="D58" s="11">
        <f>'1.1 SALÁRIOS'!$F$41</f>
        <v>0</v>
      </c>
      <c r="E58" s="11">
        <v>1</v>
      </c>
      <c r="F58" s="11">
        <f>E58*D58</f>
        <v>0</v>
      </c>
    </row>
    <row r="59" spans="2:6" x14ac:dyDescent="0.25">
      <c r="B59" s="31"/>
      <c r="C59" s="35" t="s">
        <v>20</v>
      </c>
      <c r="D59" s="12"/>
      <c r="E59" s="12"/>
      <c r="F59" s="12">
        <f>SUM(F53:F58)</f>
        <v>0</v>
      </c>
    </row>
    <row r="60" spans="2:6" x14ac:dyDescent="0.25">
      <c r="B60" s="29" t="s">
        <v>19</v>
      </c>
      <c r="C60" s="35" t="s">
        <v>18</v>
      </c>
      <c r="D60" s="11"/>
      <c r="E60" s="11"/>
      <c r="F60" s="11"/>
    </row>
    <row r="61" spans="2:6" x14ac:dyDescent="0.25">
      <c r="B61" s="31" t="s">
        <v>17</v>
      </c>
      <c r="C61" s="36" t="s">
        <v>16</v>
      </c>
      <c r="D61" s="11" t="e">
        <f>VLOOKUP(C61,'1.1 CUSTO FERRAME-UNIFORME-EPI'!B:C,2,FALSE)</f>
        <v>#DIV/0!</v>
      </c>
      <c r="E61" s="17">
        <v>0.25</v>
      </c>
      <c r="F61" s="11" t="e">
        <f t="shared" ref="F61:F70" si="1">E61*D61</f>
        <v>#DIV/0!</v>
      </c>
    </row>
    <row r="62" spans="2:6" x14ac:dyDescent="0.25">
      <c r="B62" s="31" t="s">
        <v>15</v>
      </c>
      <c r="C62" s="36" t="str">
        <f>'1.1 CUSTO FERRAME-UNIFORME-EPI'!$B$19</f>
        <v>Calça de brim</v>
      </c>
      <c r="D62" s="11">
        <f>VLOOKUP(C62,'1.1 CUSTO FERRAME-UNIFORME-EPI'!B:C,2,FALSE)</f>
        <v>0</v>
      </c>
      <c r="E62" s="17">
        <v>0.5</v>
      </c>
      <c r="F62" s="11">
        <f t="shared" si="1"/>
        <v>0</v>
      </c>
    </row>
    <row r="63" spans="2:6" x14ac:dyDescent="0.25">
      <c r="B63" s="31" t="s">
        <v>13</v>
      </c>
      <c r="C63" s="36" t="str">
        <f>'1.1 CUSTO FERRAME-UNIFORME-EPI'!$B$20</f>
        <v>Camisa de brim, manga longa</v>
      </c>
      <c r="D63" s="11">
        <f>VLOOKUP(C63,'1.1 CUSTO FERRAME-UNIFORME-EPI'!B:C,2,FALSE)</f>
        <v>0</v>
      </c>
      <c r="E63" s="17">
        <v>0.5</v>
      </c>
      <c r="F63" s="11">
        <f t="shared" si="1"/>
        <v>0</v>
      </c>
    </row>
    <row r="64" spans="2:6" x14ac:dyDescent="0.25">
      <c r="B64" s="31" t="s">
        <v>11</v>
      </c>
      <c r="C64" s="36" t="str">
        <f>'1.1 CUSTO FERRAME-UNIFORME-EPI'!$B$27</f>
        <v xml:space="preserve">Calçado, antiderrapante, tipo tênis </v>
      </c>
      <c r="D64" s="11">
        <f>VLOOKUP(C64,'1.1 CUSTO FERRAME-UNIFORME-EPI'!B:C,2,FALSE)</f>
        <v>0</v>
      </c>
      <c r="E64" s="17">
        <v>0.25</v>
      </c>
      <c r="F64" s="11">
        <f t="shared" si="1"/>
        <v>0</v>
      </c>
    </row>
    <row r="65" spans="2:6" x14ac:dyDescent="0.25">
      <c r="B65" s="31" t="s">
        <v>9</v>
      </c>
      <c r="C65" s="36" t="s">
        <v>58</v>
      </c>
      <c r="D65" s="11" t="e">
        <f>VLOOKUP(C65,'1.1 CUSTO FERRAME-UNIFORME-EPI'!B:C,2,FALSE)</f>
        <v>#DIV/0!</v>
      </c>
      <c r="E65" s="17">
        <v>0.25</v>
      </c>
      <c r="F65" s="11" t="e">
        <f t="shared" si="1"/>
        <v>#DIV/0!</v>
      </c>
    </row>
    <row r="66" spans="2:6" x14ac:dyDescent="0.25">
      <c r="B66" s="31" t="s">
        <v>7</v>
      </c>
      <c r="C66" s="36" t="s">
        <v>8</v>
      </c>
      <c r="D66" s="11">
        <f>VLOOKUP(C66,'1.1 CUSTO FERRAME-UNIFORME-EPI'!B:C,2,FALSE)</f>
        <v>0</v>
      </c>
      <c r="E66" s="17">
        <v>0.17</v>
      </c>
      <c r="F66" s="11">
        <f t="shared" si="1"/>
        <v>0</v>
      </c>
    </row>
    <row r="67" spans="2:6" x14ac:dyDescent="0.25">
      <c r="B67" s="31" t="s">
        <v>5</v>
      </c>
      <c r="C67" s="36" t="str">
        <f>'1.1 CUSTO FERRAME-UNIFORME-EPI'!$B$28</f>
        <v>Luva raspa de couro, cano curto</v>
      </c>
      <c r="D67" s="11">
        <f>VLOOKUP(C67,'1.1 CUSTO FERRAME-UNIFORME-EPI'!B:C,2,FALSE)</f>
        <v>0</v>
      </c>
      <c r="E67" s="17">
        <v>0.5</v>
      </c>
      <c r="F67" s="11">
        <f t="shared" si="1"/>
        <v>0</v>
      </c>
    </row>
    <row r="68" spans="2:6" x14ac:dyDescent="0.25">
      <c r="B68" s="31" t="s">
        <v>3</v>
      </c>
      <c r="C68" s="36" t="str">
        <f>'1.1 CUSTO FERRAME-UNIFORME-EPI'!$B$29</f>
        <v xml:space="preserve">Mascara descartável </v>
      </c>
      <c r="D68" s="11">
        <f>VLOOKUP(C68,'1.1 CUSTO FERRAME-UNIFORME-EPI'!B:C,2,FALSE)</f>
        <v>0</v>
      </c>
      <c r="E68" s="17">
        <v>2.17</v>
      </c>
      <c r="F68" s="11">
        <f t="shared" si="1"/>
        <v>0</v>
      </c>
    </row>
    <row r="69" spans="2:6" x14ac:dyDescent="0.25">
      <c r="B69" s="31" t="s">
        <v>59</v>
      </c>
      <c r="C69" s="36" t="s">
        <v>4</v>
      </c>
      <c r="D69" s="11" t="e">
        <f>VLOOKUP(C69,'1.1 CUSTO FERRAME-UNIFORME-EPI'!B:C,2,FALSE)</f>
        <v>#DIV/0!</v>
      </c>
      <c r="E69" s="17">
        <v>0.17</v>
      </c>
      <c r="F69" s="11" t="e">
        <f t="shared" si="1"/>
        <v>#DIV/0!</v>
      </c>
    </row>
    <row r="70" spans="2:6" x14ac:dyDescent="0.25">
      <c r="B70" s="31" t="s">
        <v>60</v>
      </c>
      <c r="C70" s="36" t="str">
        <f>'1.1 CUSTO FERRAME-UNIFORME-EPI'!$B$22</f>
        <v>Protetor solar fator 30 (120ml/Mês)</v>
      </c>
      <c r="D70" s="11">
        <f>VLOOKUP(C70,'1.1 CUSTO FERRAME-UNIFORME-EPI'!B:C,2,FALSE)</f>
        <v>0</v>
      </c>
      <c r="E70" s="17">
        <v>0.3</v>
      </c>
      <c r="F70" s="11">
        <f t="shared" si="1"/>
        <v>0</v>
      </c>
    </row>
    <row r="71" spans="2:6" x14ac:dyDescent="0.25">
      <c r="B71" s="31"/>
      <c r="C71" s="38" t="s">
        <v>2</v>
      </c>
      <c r="D71" s="20"/>
      <c r="E71" s="20"/>
      <c r="F71" s="21" t="e">
        <f>SUM(F61:F70)</f>
        <v>#DIV/0!</v>
      </c>
    </row>
    <row r="72" spans="2:6" x14ac:dyDescent="0.25">
      <c r="B72" s="39"/>
      <c r="C72" s="40"/>
      <c r="D72" s="41"/>
      <c r="E72" s="41"/>
      <c r="F72" s="42"/>
    </row>
    <row r="73" spans="2:6" x14ac:dyDescent="0.25">
      <c r="B73" s="43" t="s">
        <v>1</v>
      </c>
      <c r="C73" s="44" t="s">
        <v>0</v>
      </c>
      <c r="D73" s="25"/>
      <c r="E73" s="25"/>
      <c r="F73" s="26" t="e">
        <f>F71+F59+F51</f>
        <v>#DIV/0!</v>
      </c>
    </row>
  </sheetData>
  <mergeCells count="5">
    <mergeCell ref="D39:F39"/>
    <mergeCell ref="D40:F40"/>
    <mergeCell ref="D5:F5"/>
    <mergeCell ref="B1:F1"/>
    <mergeCell ref="D4:F4"/>
  </mergeCells>
  <pageMargins left="0.98425196850393704" right="0.59055118110236215" top="1.1811023622047243" bottom="0.59055118110236215" header="0.11811023622047244" footer="0.51181102362204722"/>
  <pageSetup paperSize="9" scale="67" fitToHeight="0" orientation="portrait" r:id="rId1"/>
  <headerFooter>
    <oddHeader>&amp;L&amp;G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39997558519241921"/>
    <pageSetUpPr fitToPage="1"/>
  </sheetPr>
  <dimension ref="A1:F40"/>
  <sheetViews>
    <sheetView showGridLines="0" view="pageLayout" topLeftCell="A29" zoomScaleNormal="110" zoomScaleSheetLayoutView="100" workbookViewId="0">
      <selection activeCell="I6" sqref="I6"/>
    </sheetView>
  </sheetViews>
  <sheetFormatPr defaultColWidth="9" defaultRowHeight="13.5" x14ac:dyDescent="0.25"/>
  <cols>
    <col min="1" max="1" width="5.140625" style="181" customWidth="1"/>
    <col min="2" max="2" width="28.85546875" style="181" customWidth="1"/>
    <col min="3" max="4" width="17.85546875" style="181" customWidth="1"/>
    <col min="5" max="5" width="16.42578125" style="181" customWidth="1"/>
    <col min="6" max="16384" width="9" style="181"/>
  </cols>
  <sheetData>
    <row r="1" spans="1:5" ht="11.1" customHeight="1" x14ac:dyDescent="0.25"/>
    <row r="2" spans="1:5" ht="15.75" x14ac:dyDescent="0.25">
      <c r="A2" s="642" t="s">
        <v>187</v>
      </c>
      <c r="B2" s="642"/>
      <c r="C2" s="642"/>
      <c r="D2" s="642"/>
      <c r="E2" s="642"/>
    </row>
    <row r="3" spans="1:5" x14ac:dyDescent="0.25">
      <c r="C3" s="221"/>
      <c r="D3" s="221"/>
    </row>
    <row r="4" spans="1:5" ht="12" customHeight="1" x14ac:dyDescent="0.25">
      <c r="B4" s="220"/>
      <c r="C4" s="220"/>
      <c r="D4" s="220"/>
    </row>
    <row r="5" spans="1:5" ht="12.95" customHeight="1" x14ac:dyDescent="0.25">
      <c r="C5" s="219"/>
      <c r="D5" s="219"/>
    </row>
    <row r="6" spans="1:5" s="193" customFormat="1" ht="52.5" customHeight="1" x14ac:dyDescent="0.25">
      <c r="A6" s="643" t="s">
        <v>54</v>
      </c>
      <c r="B6" s="644" t="s">
        <v>53</v>
      </c>
      <c r="C6" s="217" t="s">
        <v>395</v>
      </c>
      <c r="D6" s="217" t="s">
        <v>396</v>
      </c>
      <c r="E6" s="218"/>
    </row>
    <row r="7" spans="1:5" s="193" customFormat="1" ht="18" customHeight="1" x14ac:dyDescent="0.25">
      <c r="A7" s="643"/>
      <c r="B7" s="644"/>
      <c r="C7" s="217" t="s">
        <v>184</v>
      </c>
      <c r="D7" s="217" t="s">
        <v>184</v>
      </c>
      <c r="E7" s="216"/>
    </row>
    <row r="8" spans="1:5" s="193" customFormat="1" ht="14.1" customHeight="1" x14ac:dyDescent="0.25">
      <c r="A8" s="202" t="s">
        <v>183</v>
      </c>
      <c r="B8" s="201" t="s">
        <v>182</v>
      </c>
      <c r="C8" s="200" t="e">
        <f>(C9-C10)/C39/12</f>
        <v>#DIV/0!</v>
      </c>
      <c r="D8" s="200" t="e">
        <f>(D9-D10)/D39/12</f>
        <v>#DIV/0!</v>
      </c>
      <c r="E8" s="215"/>
    </row>
    <row r="9" spans="1:5" s="209" customFormat="1" ht="14.1" customHeight="1" x14ac:dyDescent="0.2">
      <c r="A9" s="208" t="s">
        <v>181</v>
      </c>
      <c r="B9" s="187" t="s">
        <v>180</v>
      </c>
      <c r="C9" s="186" t="e">
        <f>'1.1 REF EQUIPAMENTOS E DIV'!E12+'1.1 REF EQUIPAMENTOS E DIV'!E4</f>
        <v>#DIV/0!</v>
      </c>
      <c r="D9" s="186" t="e">
        <f>'1.1 REF EQUIPAMENTOS E DIV'!E12+'1.1 REF EQUIPAMENTOS E DIV'!E4</f>
        <v>#DIV/0!</v>
      </c>
      <c r="E9" s="206"/>
    </row>
    <row r="10" spans="1:5" s="209" customFormat="1" ht="14.1" customHeight="1" x14ac:dyDescent="0.2">
      <c r="A10" s="208" t="s">
        <v>179</v>
      </c>
      <c r="B10" s="187" t="s">
        <v>148</v>
      </c>
      <c r="C10" s="186" t="e">
        <f>C9*C38</f>
        <v>#DIV/0!</v>
      </c>
      <c r="D10" s="186" t="e">
        <f>D9*D38</f>
        <v>#DIV/0!</v>
      </c>
      <c r="E10" s="186"/>
    </row>
    <row r="11" spans="1:5" s="209" customFormat="1" ht="9.9499999999999993" customHeight="1" x14ac:dyDescent="0.2">
      <c r="A11" s="213"/>
      <c r="B11" s="204"/>
      <c r="C11" s="203"/>
      <c r="D11" s="203"/>
      <c r="E11" s="203"/>
    </row>
    <row r="12" spans="1:5" s="209" customFormat="1" ht="14.1" customHeight="1" x14ac:dyDescent="0.2">
      <c r="A12" s="212" t="s">
        <v>178</v>
      </c>
      <c r="B12" s="211" t="s">
        <v>177</v>
      </c>
      <c r="C12" s="210" t="e">
        <f>C14*C40/12</f>
        <v>#DIV/0!</v>
      </c>
      <c r="D12" s="210" t="e">
        <f>D14*D40/12</f>
        <v>#DIV/0!</v>
      </c>
      <c r="E12" s="210"/>
    </row>
    <row r="13" spans="1:5" s="209" customFormat="1" ht="14.1" customHeight="1" x14ac:dyDescent="0.2">
      <c r="A13" s="188" t="s">
        <v>176</v>
      </c>
      <c r="B13" s="187" t="s">
        <v>175</v>
      </c>
      <c r="C13" s="186" t="e">
        <f>C9</f>
        <v>#DIV/0!</v>
      </c>
      <c r="D13" s="186" t="e">
        <f>D9</f>
        <v>#DIV/0!</v>
      </c>
      <c r="E13" s="186"/>
    </row>
    <row r="14" spans="1:5" s="209" customFormat="1" ht="14.1" customHeight="1" x14ac:dyDescent="0.2">
      <c r="A14" s="188" t="s">
        <v>174</v>
      </c>
      <c r="B14" s="187" t="s">
        <v>173</v>
      </c>
      <c r="C14" s="186" t="e">
        <f>(C9-C10)*((1+C39)/(2*C39))/1.25</f>
        <v>#DIV/0!</v>
      </c>
      <c r="D14" s="186" t="e">
        <f>(D9-D10)*((1+D39)/(2*D39))/1.25</f>
        <v>#DIV/0!</v>
      </c>
      <c r="E14" s="214"/>
    </row>
    <row r="15" spans="1:5" s="209" customFormat="1" ht="14.1" customHeight="1" x14ac:dyDescent="0.2">
      <c r="A15" s="213"/>
      <c r="B15" s="204"/>
      <c r="C15" s="203"/>
      <c r="D15" s="203"/>
      <c r="E15" s="203"/>
    </row>
    <row r="16" spans="1:5" s="209" customFormat="1" ht="11.25" x14ac:dyDescent="0.2">
      <c r="A16" s="212" t="s">
        <v>172</v>
      </c>
      <c r="B16" s="211" t="s">
        <v>171</v>
      </c>
      <c r="C16" s="210">
        <f>C21*7.33*25.25</f>
        <v>0</v>
      </c>
      <c r="D16" s="210">
        <f>D21*7.33*26.08</f>
        <v>0</v>
      </c>
      <c r="E16" s="210"/>
    </row>
    <row r="17" spans="1:6" s="193" customFormat="1" ht="14.1" customHeight="1" x14ac:dyDescent="0.25">
      <c r="A17" s="208" t="s">
        <v>170</v>
      </c>
      <c r="B17" s="187" t="s">
        <v>169</v>
      </c>
      <c r="C17" s="186">
        <f>0.09*277*0.735</f>
        <v>18.323550000000001</v>
      </c>
      <c r="D17" s="186"/>
      <c r="E17" s="186"/>
      <c r="F17" s="193">
        <v>203</v>
      </c>
    </row>
    <row r="18" spans="1:6" s="193" customFormat="1" ht="14.1" customHeight="1" x14ac:dyDescent="0.25">
      <c r="A18" s="208"/>
      <c r="B18" s="187"/>
      <c r="C18" s="186"/>
      <c r="D18" s="186"/>
      <c r="E18" s="186"/>
      <c r="F18" s="193">
        <v>277</v>
      </c>
    </row>
    <row r="19" spans="1:6" s="193" customFormat="1" ht="14.1" customHeight="1" x14ac:dyDescent="0.25">
      <c r="A19" s="208"/>
      <c r="B19" s="187" t="s">
        <v>168</v>
      </c>
      <c r="C19" s="186">
        <f>'1.1 REF EQUIPAMENTOS E DIV'!$E$38</f>
        <v>0</v>
      </c>
      <c r="D19" s="186"/>
      <c r="E19" s="186"/>
      <c r="F19" s="193">
        <v>326</v>
      </c>
    </row>
    <row r="20" spans="1:6" s="209" customFormat="1" ht="14.1" customHeight="1" x14ac:dyDescent="0.2">
      <c r="A20" s="207"/>
      <c r="B20" s="187"/>
      <c r="C20" s="186"/>
      <c r="D20" s="186"/>
      <c r="E20" s="186"/>
      <c r="F20" s="209">
        <f>F19/F18</f>
        <v>1.1768953068592058</v>
      </c>
    </row>
    <row r="21" spans="1:6" s="209" customFormat="1" ht="11.25" x14ac:dyDescent="0.2">
      <c r="A21" s="208" t="s">
        <v>167</v>
      </c>
      <c r="B21" s="187" t="s">
        <v>166</v>
      </c>
      <c r="C21" s="186">
        <f>C19*C17</f>
        <v>0</v>
      </c>
      <c r="D21" s="186">
        <f>D19*D17</f>
        <v>0</v>
      </c>
      <c r="E21" s="186"/>
      <c r="F21" s="209">
        <f>F17/F20</f>
        <v>172.48773006134968</v>
      </c>
    </row>
    <row r="22" spans="1:6" s="193" customFormat="1" ht="14.1" customHeight="1" x14ac:dyDescent="0.25">
      <c r="A22" s="202" t="s">
        <v>165</v>
      </c>
      <c r="B22" s="201" t="s">
        <v>164</v>
      </c>
      <c r="C22" s="200">
        <f>C25</f>
        <v>0</v>
      </c>
      <c r="D22" s="200">
        <f>D25</f>
        <v>0</v>
      </c>
      <c r="E22" s="200"/>
    </row>
    <row r="23" spans="1:6" s="209" customFormat="1" ht="14.1" customHeight="1" x14ac:dyDescent="0.2">
      <c r="A23" s="208" t="s">
        <v>163</v>
      </c>
      <c r="B23" s="187" t="s">
        <v>162</v>
      </c>
      <c r="C23" s="186">
        <v>0.1</v>
      </c>
      <c r="D23" s="186">
        <v>0.1</v>
      </c>
      <c r="E23" s="186"/>
    </row>
    <row r="24" spans="1:6" s="209" customFormat="1" ht="9.9499999999999993" customHeight="1" x14ac:dyDescent="0.2">
      <c r="A24" s="207"/>
      <c r="B24" s="187"/>
      <c r="C24" s="186"/>
      <c r="D24" s="186"/>
      <c r="E24" s="186"/>
    </row>
    <row r="25" spans="1:6" s="209" customFormat="1" ht="14.1" customHeight="1" x14ac:dyDescent="0.2">
      <c r="A25" s="208" t="s">
        <v>161</v>
      </c>
      <c r="B25" s="187" t="s">
        <v>160</v>
      </c>
      <c r="C25" s="186">
        <f>C23*C16</f>
        <v>0</v>
      </c>
      <c r="D25" s="186">
        <f>D23*D16</f>
        <v>0</v>
      </c>
      <c r="E25" s="186"/>
    </row>
    <row r="26" spans="1:6" s="209" customFormat="1" ht="9.9499999999999993" customHeight="1" x14ac:dyDescent="0.2">
      <c r="A26" s="207"/>
      <c r="B26" s="187"/>
      <c r="C26" s="186"/>
      <c r="D26" s="186"/>
      <c r="E26" s="186"/>
    </row>
    <row r="27" spans="1:6" s="209" customFormat="1" ht="14.1" customHeight="1" x14ac:dyDescent="0.2">
      <c r="A27" s="202" t="s">
        <v>159</v>
      </c>
      <c r="B27" s="201" t="s">
        <v>158</v>
      </c>
      <c r="C27" s="200" t="e">
        <f>C33</f>
        <v>#DIV/0!</v>
      </c>
      <c r="D27" s="200" t="e">
        <f>D33</f>
        <v>#DIV/0!</v>
      </c>
      <c r="E27" s="200"/>
    </row>
    <row r="28" spans="1:6" s="209" customFormat="1" ht="18" customHeight="1" x14ac:dyDescent="0.2">
      <c r="A28" s="208" t="s">
        <v>157</v>
      </c>
      <c r="B28" s="187" t="s">
        <v>156</v>
      </c>
      <c r="C28" s="186" t="e">
        <f>C8</f>
        <v>#DIV/0!</v>
      </c>
      <c r="D28" s="186" t="e">
        <f>D8</f>
        <v>#DIV/0!</v>
      </c>
      <c r="E28" s="186"/>
    </row>
    <row r="29" spans="1:6" s="193" customFormat="1" ht="21.75" customHeight="1" x14ac:dyDescent="0.25">
      <c r="A29" s="207"/>
      <c r="B29" s="187"/>
      <c r="C29" s="186"/>
      <c r="D29" s="186"/>
      <c r="E29" s="186"/>
    </row>
    <row r="30" spans="1:6" s="193" customFormat="1" x14ac:dyDescent="0.25">
      <c r="A30" s="208" t="s">
        <v>155</v>
      </c>
      <c r="B30" s="187" t="s">
        <v>154</v>
      </c>
      <c r="C30" s="186">
        <v>0.6</v>
      </c>
      <c r="D30" s="186">
        <v>0</v>
      </c>
      <c r="E30" s="186"/>
    </row>
    <row r="31" spans="1:6" s="193" customFormat="1" x14ac:dyDescent="0.25">
      <c r="A31" s="208" t="s">
        <v>153</v>
      </c>
      <c r="B31" s="187" t="s">
        <v>386</v>
      </c>
      <c r="C31" s="310">
        <v>2.5000000000000001E-2</v>
      </c>
      <c r="D31" s="310">
        <v>2.5000000000000001E-2</v>
      </c>
      <c r="E31" s="310"/>
    </row>
    <row r="32" spans="1:6" s="193" customFormat="1" x14ac:dyDescent="0.25">
      <c r="A32" s="207"/>
      <c r="B32" s="187"/>
      <c r="C32" s="186"/>
      <c r="D32" s="186"/>
      <c r="E32" s="206"/>
    </row>
    <row r="33" spans="1:5" s="193" customFormat="1" x14ac:dyDescent="0.25">
      <c r="A33" s="205" t="s">
        <v>387</v>
      </c>
      <c r="B33" s="204" t="s">
        <v>152</v>
      </c>
      <c r="C33" s="203" t="e">
        <f>(C30+C31)*C28</f>
        <v>#DIV/0!</v>
      </c>
      <c r="D33" s="203" t="e">
        <f>(D30+D31)*D28</f>
        <v>#DIV/0!</v>
      </c>
      <c r="E33" s="203"/>
    </row>
    <row r="34" spans="1:5" s="193" customFormat="1" x14ac:dyDescent="0.25">
      <c r="A34" s="202" t="s">
        <v>151</v>
      </c>
      <c r="B34" s="201" t="s">
        <v>150</v>
      </c>
      <c r="C34" s="200" t="e">
        <f>'1.1 REF EQUIPAMENTOS E DIV'!$E$35</f>
        <v>#DIV/0!</v>
      </c>
      <c r="D34" s="200" t="e">
        <f>'1.1 REF EQUIPAMENTOS E DIV'!$E$35</f>
        <v>#DIV/0!</v>
      </c>
      <c r="E34" s="200"/>
    </row>
    <row r="35" spans="1:5" x14ac:dyDescent="0.25">
      <c r="A35" s="199"/>
      <c r="B35" s="198" t="s">
        <v>149</v>
      </c>
      <c r="C35" s="197" t="e">
        <f>C27++C22+C16+C12+C8+C34</f>
        <v>#DIV/0!</v>
      </c>
      <c r="D35" s="197" t="e">
        <f>D27++D22+D16+D12+D8+D34</f>
        <v>#DIV/0!</v>
      </c>
      <c r="E35" s="197"/>
    </row>
    <row r="36" spans="1:5" x14ac:dyDescent="0.25">
      <c r="A36" s="196"/>
      <c r="B36" s="195"/>
      <c r="C36" s="194"/>
      <c r="D36" s="194"/>
      <c r="E36" s="193"/>
    </row>
    <row r="37" spans="1:5" x14ac:dyDescent="0.25">
      <c r="E37" s="193"/>
    </row>
    <row r="38" spans="1:5" x14ac:dyDescent="0.25">
      <c r="A38" s="192"/>
      <c r="B38" s="191" t="s">
        <v>148</v>
      </c>
      <c r="C38" s="190">
        <v>0.4</v>
      </c>
      <c r="D38" s="190">
        <v>0.4</v>
      </c>
      <c r="E38" s="189"/>
    </row>
    <row r="39" spans="1:5" x14ac:dyDescent="0.25">
      <c r="A39" s="188"/>
      <c r="B39" s="187" t="s">
        <v>147</v>
      </c>
      <c r="C39" s="186">
        <v>7</v>
      </c>
      <c r="D39" s="186">
        <v>7</v>
      </c>
      <c r="E39" s="185"/>
    </row>
    <row r="40" spans="1:5" x14ac:dyDescent="0.25">
      <c r="A40" s="184"/>
      <c r="B40" s="183" t="s">
        <v>145</v>
      </c>
      <c r="C40" s="182">
        <v>0.13250000000000001</v>
      </c>
      <c r="D40" s="182">
        <v>0.13250000000000001</v>
      </c>
      <c r="E40" s="182"/>
    </row>
  </sheetData>
  <sheetProtection selectLockedCells="1" selectUnlockedCells="1"/>
  <mergeCells count="3">
    <mergeCell ref="A2:E2"/>
    <mergeCell ref="A6:A7"/>
    <mergeCell ref="B6:B7"/>
  </mergeCells>
  <pageMargins left="0.98425196850393704" right="0.59055118110236215" top="1.1811023622047243" bottom="0.59055118110236215" header="0.11811023622047244" footer="0.51181102362204722"/>
  <pageSetup paperSize="9" scale="89" firstPageNumber="0" fitToHeight="0" orientation="portrait" r:id="rId1"/>
  <headerFooter alignWithMargins="0">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39997558519241921"/>
    <pageSetUpPr fitToPage="1"/>
  </sheetPr>
  <dimension ref="A1:I80"/>
  <sheetViews>
    <sheetView view="pageLayout" topLeftCell="A4" zoomScaleNormal="100" zoomScaleSheetLayoutView="115" workbookViewId="0">
      <selection activeCell="D8" sqref="D8"/>
    </sheetView>
  </sheetViews>
  <sheetFormatPr defaultColWidth="9.140625" defaultRowHeight="13.5" outlineLevelRow="1" x14ac:dyDescent="0.25"/>
  <cols>
    <col min="1" max="1" width="3" style="359" bestFit="1" customWidth="1"/>
    <col min="2" max="2" width="35.28515625" style="359" customWidth="1"/>
    <col min="3" max="5" width="18.140625" style="359" customWidth="1"/>
    <col min="6" max="6" width="18" style="359" customWidth="1"/>
    <col min="7" max="7" width="22.85546875" style="359" customWidth="1"/>
    <col min="8" max="8" width="10.5703125" style="359" customWidth="1"/>
    <col min="9" max="9" width="11.7109375" style="359" bestFit="1" customWidth="1"/>
    <col min="10" max="16384" width="9.140625" style="359"/>
  </cols>
  <sheetData>
    <row r="1" spans="1:9" ht="14.25" thickBot="1" x14ac:dyDescent="0.3">
      <c r="A1" s="682" t="s">
        <v>419</v>
      </c>
      <c r="B1" s="683"/>
      <c r="C1" s="683"/>
      <c r="D1" s="683"/>
      <c r="E1" s="683"/>
      <c r="F1" s="503"/>
      <c r="G1" s="503"/>
      <c r="H1" s="503"/>
      <c r="I1" s="503"/>
    </row>
    <row r="2" spans="1:9" ht="18" customHeight="1" thickBot="1" x14ac:dyDescent="0.3">
      <c r="A2" s="684" t="s">
        <v>6701</v>
      </c>
      <c r="B2" s="685"/>
      <c r="C2" s="685"/>
      <c r="D2" s="685"/>
      <c r="E2" s="685"/>
      <c r="F2" s="503"/>
      <c r="G2" s="503"/>
      <c r="H2" s="503"/>
      <c r="I2" s="503"/>
    </row>
    <row r="3" spans="1:9" ht="41.25" thickBot="1" x14ac:dyDescent="0.3">
      <c r="A3" s="502" t="s">
        <v>248</v>
      </c>
      <c r="B3" s="501" t="s">
        <v>573</v>
      </c>
      <c r="C3" s="500" t="s">
        <v>572</v>
      </c>
      <c r="D3" s="500" t="s">
        <v>571</v>
      </c>
      <c r="E3" s="499" t="s">
        <v>570</v>
      </c>
      <c r="F3" s="466"/>
      <c r="G3" s="466"/>
      <c r="H3" s="466"/>
      <c r="I3" s="468"/>
    </row>
    <row r="4" spans="1:9" x14ac:dyDescent="0.25">
      <c r="A4" s="477">
        <v>1</v>
      </c>
      <c r="B4" s="494" t="s">
        <v>576</v>
      </c>
      <c r="C4" s="495">
        <v>308.14499999999998</v>
      </c>
      <c r="D4" s="492">
        <f>(26.08/3)*C4</f>
        <v>2678.8071999999997</v>
      </c>
      <c r="E4" s="471" t="str">
        <f>IFERROR(C4*#REF!*#REF!*(1+#REF!),"-")</f>
        <v>-</v>
      </c>
      <c r="F4" s="466"/>
      <c r="G4" s="466"/>
      <c r="H4" s="466"/>
      <c r="I4" s="489"/>
    </row>
    <row r="5" spans="1:9" ht="14.25" thickBot="1" x14ac:dyDescent="0.3">
      <c r="A5" s="481"/>
      <c r="B5" s="494"/>
      <c r="C5" s="493"/>
      <c r="D5" s="492"/>
      <c r="E5" s="470"/>
      <c r="F5" s="491"/>
      <c r="G5" s="491"/>
      <c r="H5" s="490"/>
      <c r="I5" s="489"/>
    </row>
    <row r="6" spans="1:9" ht="13.5" customHeight="1" thickBot="1" x14ac:dyDescent="0.3">
      <c r="A6" s="686" t="s">
        <v>569</v>
      </c>
      <c r="B6" s="686"/>
      <c r="C6" s="488">
        <v>308.14499999999998</v>
      </c>
      <c r="D6" s="487">
        <f>SUM(D4:D5)</f>
        <v>2678.8071999999997</v>
      </c>
      <c r="E6" s="487">
        <f>SUM(E4:E5)</f>
        <v>0</v>
      </c>
      <c r="F6" s="466"/>
      <c r="G6" s="466"/>
    </row>
    <row r="7" spans="1:9" ht="14.25" thickBot="1" x14ac:dyDescent="0.3">
      <c r="A7" s="686" t="s">
        <v>569</v>
      </c>
      <c r="B7" s="686"/>
      <c r="C7" s="483"/>
      <c r="D7" s="695">
        <f>D6+E6</f>
        <v>2678.8071999999997</v>
      </c>
      <c r="E7" s="696"/>
    </row>
    <row r="8" spans="1:9" ht="12.75" customHeight="1" thickBot="1" x14ac:dyDescent="0.3">
      <c r="A8" s="484"/>
      <c r="B8" s="484"/>
      <c r="C8" s="483"/>
      <c r="D8" s="486">
        <f>D6/D7</f>
        <v>1</v>
      </c>
      <c r="E8" s="485">
        <f>E6/D7</f>
        <v>0</v>
      </c>
    </row>
    <row r="9" spans="1:9" ht="12.75" customHeight="1" x14ac:dyDescent="0.25">
      <c r="A9" s="484"/>
      <c r="B9" s="484"/>
      <c r="C9" s="483"/>
      <c r="D9" s="482"/>
      <c r="E9" s="482"/>
    </row>
    <row r="10" spans="1:9" ht="12.75" customHeight="1" thickBot="1" x14ac:dyDescent="0.3">
      <c r="A10" s="484"/>
      <c r="B10" s="484"/>
      <c r="C10" s="483"/>
      <c r="D10" s="482"/>
      <c r="E10" s="482"/>
      <c r="G10" s="472"/>
    </row>
    <row r="11" spans="1:9" x14ac:dyDescent="0.25">
      <c r="A11" s="687" t="s">
        <v>568</v>
      </c>
      <c r="B11" s="688"/>
      <c r="C11" s="688"/>
      <c r="D11" s="689"/>
      <c r="G11" s="472"/>
    </row>
    <row r="12" spans="1:9" x14ac:dyDescent="0.25">
      <c r="A12" s="690" t="s">
        <v>567</v>
      </c>
      <c r="B12" s="586"/>
      <c r="C12" s="586"/>
      <c r="D12" s="460">
        <v>26.08</v>
      </c>
      <c r="G12" s="472"/>
    </row>
    <row r="13" spans="1:9" x14ac:dyDescent="0.25">
      <c r="A13" s="690" t="s">
        <v>566</v>
      </c>
      <c r="B13" s="586"/>
      <c r="C13" s="586"/>
      <c r="D13" s="479">
        <f>D6/D12</f>
        <v>102.715</v>
      </c>
      <c r="E13" s="691"/>
      <c r="G13" s="472"/>
    </row>
    <row r="14" spans="1:9" ht="14.25" thickBot="1" x14ac:dyDescent="0.3">
      <c r="A14" s="693" t="s">
        <v>565</v>
      </c>
      <c r="B14" s="694"/>
      <c r="C14" s="694"/>
      <c r="D14" s="478">
        <f>E6/D12</f>
        <v>0</v>
      </c>
      <c r="E14" s="692"/>
      <c r="G14" s="472"/>
    </row>
    <row r="15" spans="1:9" x14ac:dyDescent="0.25">
      <c r="A15" s="687" t="s">
        <v>564</v>
      </c>
      <c r="B15" s="688"/>
      <c r="C15" s="688"/>
      <c r="D15" s="689"/>
      <c r="E15" s="476"/>
      <c r="G15" s="472"/>
    </row>
    <row r="16" spans="1:9" x14ac:dyDescent="0.25">
      <c r="A16" s="673" t="s">
        <v>563</v>
      </c>
      <c r="B16" s="674"/>
      <c r="C16" s="675"/>
      <c r="D16" s="471">
        <v>84087</v>
      </c>
      <c r="E16" s="468"/>
      <c r="G16" s="472"/>
    </row>
    <row r="17" spans="1:7" x14ac:dyDescent="0.25">
      <c r="A17" s="673" t="s">
        <v>562</v>
      </c>
      <c r="B17" s="674"/>
      <c r="C17" s="675"/>
      <c r="D17" s="471">
        <f>D16</f>
        <v>84087</v>
      </c>
      <c r="E17" s="468"/>
      <c r="G17" s="472"/>
    </row>
    <row r="18" spans="1:7" x14ac:dyDescent="0.25">
      <c r="A18" s="673" t="s">
        <v>561</v>
      </c>
      <c r="B18" s="674"/>
      <c r="C18" s="675"/>
      <c r="D18" s="475">
        <v>0.51200000000000001</v>
      </c>
      <c r="E18" s="474"/>
      <c r="G18" s="472"/>
    </row>
    <row r="19" spans="1:7" x14ac:dyDescent="0.25">
      <c r="A19" s="673" t="s">
        <v>560</v>
      </c>
      <c r="B19" s="674"/>
      <c r="C19" s="675"/>
      <c r="D19" s="471">
        <f>D18*D17</f>
        <v>43052.544000000002</v>
      </c>
      <c r="E19" s="468"/>
      <c r="G19" s="472"/>
    </row>
    <row r="20" spans="1:7" x14ac:dyDescent="0.25">
      <c r="A20" s="673" t="s">
        <v>559</v>
      </c>
      <c r="B20" s="674"/>
      <c r="C20" s="675"/>
      <c r="D20" s="471">
        <f>D19*30</f>
        <v>1291576.3200000001</v>
      </c>
      <c r="E20" s="468"/>
      <c r="G20" s="472"/>
    </row>
    <row r="21" spans="1:7" x14ac:dyDescent="0.25">
      <c r="A21" s="667" t="s">
        <v>577</v>
      </c>
      <c r="B21" s="668"/>
      <c r="C21" s="669"/>
      <c r="D21" s="504">
        <v>0.05</v>
      </c>
      <c r="E21" s="468"/>
      <c r="G21" s="472"/>
    </row>
    <row r="22" spans="1:7" x14ac:dyDescent="0.25">
      <c r="A22" s="667" t="s">
        <v>578</v>
      </c>
      <c r="B22" s="668"/>
      <c r="C22" s="669"/>
      <c r="D22" s="473">
        <f>D20/1000*D21</f>
        <v>64.578816000000003</v>
      </c>
      <c r="E22" s="468"/>
      <c r="G22" s="472"/>
    </row>
    <row r="23" spans="1:7" x14ac:dyDescent="0.25">
      <c r="A23" s="697" t="s">
        <v>557</v>
      </c>
      <c r="B23" s="698"/>
      <c r="C23" s="699"/>
      <c r="D23" s="471">
        <f>D12</f>
        <v>26.08</v>
      </c>
      <c r="E23" s="468"/>
    </row>
    <row r="24" spans="1:7" ht="14.25" thickBot="1" x14ac:dyDescent="0.3">
      <c r="A24" s="700" t="s">
        <v>556</v>
      </c>
      <c r="B24" s="701"/>
      <c r="C24" s="702"/>
      <c r="D24" s="470">
        <f>ROUND(D22/D23,3)</f>
        <v>2.476</v>
      </c>
      <c r="E24" s="468"/>
    </row>
    <row r="25" spans="1:7" ht="34.5" customHeight="1" thickBot="1" x14ac:dyDescent="0.3">
      <c r="A25" s="670" t="s">
        <v>579</v>
      </c>
      <c r="B25" s="671"/>
      <c r="C25" s="672"/>
      <c r="D25" s="469">
        <f>D24*1</f>
        <v>2.476</v>
      </c>
      <c r="E25" s="468"/>
    </row>
    <row r="26" spans="1:7" ht="14.25" outlineLevel="1" thickBot="1" x14ac:dyDescent="0.3">
      <c r="A26" s="665" t="s">
        <v>553</v>
      </c>
      <c r="B26" s="665"/>
      <c r="C26" s="666"/>
    </row>
    <row r="27" spans="1:7" outlineLevel="1" x14ac:dyDescent="0.25">
      <c r="A27" s="662" t="s">
        <v>549</v>
      </c>
      <c r="B27" s="663"/>
      <c r="C27" s="664"/>
    </row>
    <row r="28" spans="1:7" s="466" customFormat="1" outlineLevel="1" x14ac:dyDescent="0.25">
      <c r="A28" s="656" t="s">
        <v>548</v>
      </c>
      <c r="B28" s="657"/>
      <c r="C28" s="467">
        <v>125</v>
      </c>
    </row>
    <row r="29" spans="1:7" outlineLevel="1" x14ac:dyDescent="0.25">
      <c r="A29" s="658" t="s">
        <v>547</v>
      </c>
      <c r="B29" s="659"/>
      <c r="C29" s="462">
        <v>1</v>
      </c>
    </row>
    <row r="30" spans="1:7" outlineLevel="1" x14ac:dyDescent="0.25">
      <c r="A30" s="658" t="s">
        <v>546</v>
      </c>
      <c r="B30" s="659"/>
      <c r="C30" s="462">
        <v>30</v>
      </c>
    </row>
    <row r="31" spans="1:7" outlineLevel="1" x14ac:dyDescent="0.25">
      <c r="A31" s="658" t="s">
        <v>545</v>
      </c>
      <c r="B31" s="659"/>
      <c r="C31" s="461">
        <f>0.75*C30</f>
        <v>22.5</v>
      </c>
    </row>
    <row r="32" spans="1:7" ht="14.25" outlineLevel="1" thickBot="1" x14ac:dyDescent="0.3">
      <c r="A32" s="660" t="s">
        <v>544</v>
      </c>
      <c r="B32" s="661"/>
      <c r="C32" s="458">
        <f>(C28*C29*C31)/1000</f>
        <v>2.8125</v>
      </c>
    </row>
    <row r="33" spans="1:5" outlineLevel="1" x14ac:dyDescent="0.25">
      <c r="A33" s="662" t="s">
        <v>543</v>
      </c>
      <c r="B33" s="663"/>
      <c r="C33" s="664"/>
    </row>
    <row r="34" spans="1:5" outlineLevel="1" x14ac:dyDescent="0.25">
      <c r="A34" s="656" t="s">
        <v>542</v>
      </c>
      <c r="B34" s="657"/>
      <c r="C34" s="463">
        <v>20</v>
      </c>
    </row>
    <row r="35" spans="1:5" outlineLevel="1" x14ac:dyDescent="0.25">
      <c r="A35" s="656" t="s">
        <v>541</v>
      </c>
      <c r="B35" s="657"/>
      <c r="C35" s="463">
        <v>50</v>
      </c>
    </row>
    <row r="36" spans="1:5" outlineLevel="1" x14ac:dyDescent="0.25">
      <c r="A36" s="656" t="s">
        <v>552</v>
      </c>
      <c r="B36" s="657"/>
      <c r="C36" s="461">
        <v>0.33300000000000002</v>
      </c>
    </row>
    <row r="37" spans="1:5" ht="14.25" outlineLevel="1" thickBot="1" x14ac:dyDescent="0.3">
      <c r="A37" s="660" t="s">
        <v>539</v>
      </c>
      <c r="B37" s="661"/>
      <c r="C37" s="458">
        <f>((2*C34)/C35)+C36</f>
        <v>1.133</v>
      </c>
    </row>
    <row r="38" spans="1:5" outlineLevel="1" x14ac:dyDescent="0.25">
      <c r="A38" s="662" t="s">
        <v>538</v>
      </c>
      <c r="B38" s="663"/>
      <c r="C38" s="664"/>
    </row>
    <row r="39" spans="1:5" outlineLevel="1" x14ac:dyDescent="0.25">
      <c r="A39" s="656" t="s">
        <v>537</v>
      </c>
      <c r="B39" s="657"/>
      <c r="C39" s="460">
        <f>D25</f>
        <v>2.476</v>
      </c>
      <c r="E39" s="465"/>
    </row>
    <row r="40" spans="1:5" outlineLevel="1" x14ac:dyDescent="0.25">
      <c r="A40" s="656" t="s">
        <v>551</v>
      </c>
      <c r="B40" s="657"/>
      <c r="C40" s="460">
        <v>6</v>
      </c>
      <c r="E40" s="465"/>
    </row>
    <row r="41" spans="1:5" outlineLevel="1" x14ac:dyDescent="0.25">
      <c r="A41" s="658" t="s">
        <v>535</v>
      </c>
      <c r="B41" s="659"/>
      <c r="C41" s="461">
        <v>7.33</v>
      </c>
      <c r="E41" s="465"/>
    </row>
    <row r="42" spans="1:5" outlineLevel="1" x14ac:dyDescent="0.25">
      <c r="A42" s="656" t="s">
        <v>534</v>
      </c>
      <c r="B42" s="657"/>
      <c r="C42" s="460">
        <f>D13</f>
        <v>102.715</v>
      </c>
      <c r="E42" s="465"/>
    </row>
    <row r="43" spans="1:5" outlineLevel="1" x14ac:dyDescent="0.25">
      <c r="A43" s="656" t="s">
        <v>550</v>
      </c>
      <c r="B43" s="657"/>
      <c r="C43" s="459">
        <f>C32</f>
        <v>2.8125</v>
      </c>
      <c r="E43" s="465"/>
    </row>
    <row r="44" spans="1:5" outlineLevel="1" x14ac:dyDescent="0.25">
      <c r="A44" s="656" t="s">
        <v>532</v>
      </c>
      <c r="B44" s="657"/>
      <c r="C44" s="459">
        <f>C37</f>
        <v>1.133</v>
      </c>
      <c r="E44" s="465"/>
    </row>
    <row r="45" spans="1:5" ht="14.25" outlineLevel="1" thickBot="1" x14ac:dyDescent="0.3">
      <c r="A45" s="660" t="s">
        <v>531</v>
      </c>
      <c r="B45" s="661"/>
      <c r="C45" s="458">
        <f>((C39*C40*C41)/((C42*C43)+(C39*C40*C44)))</f>
        <v>0.35619281953748161</v>
      </c>
      <c r="E45" s="465"/>
    </row>
    <row r="46" spans="1:5" outlineLevel="1" x14ac:dyDescent="0.25">
      <c r="A46" s="653" t="s">
        <v>530</v>
      </c>
      <c r="B46" s="654"/>
      <c r="C46" s="655"/>
      <c r="E46" s="465"/>
    </row>
    <row r="47" spans="1:5" outlineLevel="1" x14ac:dyDescent="0.25">
      <c r="A47" s="651" t="s">
        <v>529</v>
      </c>
      <c r="B47" s="652"/>
      <c r="C47" s="455">
        <f>C39</f>
        <v>2.476</v>
      </c>
      <c r="E47" s="465"/>
    </row>
    <row r="48" spans="1:5" outlineLevel="1" x14ac:dyDescent="0.25">
      <c r="A48" s="651" t="s">
        <v>528</v>
      </c>
      <c r="B48" s="652"/>
      <c r="C48" s="455">
        <f>C45</f>
        <v>0.35619281953748161</v>
      </c>
      <c r="E48" s="465"/>
    </row>
    <row r="49" spans="1:5" outlineLevel="1" x14ac:dyDescent="0.25">
      <c r="A49" s="651" t="s">
        <v>527</v>
      </c>
      <c r="B49" s="652"/>
      <c r="C49" s="455">
        <f>C32</f>
        <v>2.8125</v>
      </c>
      <c r="E49" s="465"/>
    </row>
    <row r="50" spans="1:5" outlineLevel="1" x14ac:dyDescent="0.25">
      <c r="A50" s="651" t="s">
        <v>526</v>
      </c>
      <c r="B50" s="652"/>
      <c r="C50" s="455">
        <f>((C47)/(C48*C49))</f>
        <v>2.4715701925117473</v>
      </c>
      <c r="E50" s="465"/>
    </row>
    <row r="51" spans="1:5" outlineLevel="1" x14ac:dyDescent="0.25">
      <c r="A51" s="647" t="s">
        <v>519</v>
      </c>
      <c r="B51" s="648"/>
      <c r="C51" s="456">
        <f>_xlfn.CEILING.MATH(C50,1)</f>
        <v>3</v>
      </c>
      <c r="E51" s="465"/>
    </row>
    <row r="52" spans="1:5" outlineLevel="1" x14ac:dyDescent="0.25">
      <c r="A52" s="651" t="s">
        <v>518</v>
      </c>
      <c r="B52" s="652"/>
      <c r="C52" s="455">
        <f>ROUNDUP(0.1*C51,0)</f>
        <v>1</v>
      </c>
      <c r="E52" s="465"/>
    </row>
    <row r="53" spans="1:5" ht="14.25" outlineLevel="1" thickBot="1" x14ac:dyDescent="0.3">
      <c r="A53" s="649" t="s">
        <v>517</v>
      </c>
      <c r="B53" s="650"/>
      <c r="C53" s="457">
        <f>C51*3</f>
        <v>9</v>
      </c>
      <c r="E53" s="465"/>
    </row>
    <row r="54" spans="1:5" ht="14.25" outlineLevel="1" thickBot="1" x14ac:dyDescent="0.3">
      <c r="A54" s="645" t="s">
        <v>516</v>
      </c>
      <c r="B54" s="646"/>
      <c r="C54" s="454">
        <f>C51</f>
        <v>3</v>
      </c>
      <c r="E54" s="465"/>
    </row>
    <row r="55" spans="1:5" ht="13.5" customHeight="1" outlineLevel="1" thickBot="1" x14ac:dyDescent="0.3">
      <c r="A55" s="649" t="s">
        <v>515</v>
      </c>
      <c r="B55" s="650"/>
      <c r="C55" s="457">
        <f>ROUND(0.15*C53,0)</f>
        <v>1</v>
      </c>
      <c r="E55" s="465"/>
    </row>
    <row r="56" spans="1:5" ht="14.25" outlineLevel="1" thickBot="1" x14ac:dyDescent="0.3">
      <c r="A56" s="645" t="s">
        <v>514</v>
      </c>
      <c r="B56" s="646"/>
      <c r="C56" s="457">
        <f>ROUNDUP(0.15*C54,0)</f>
        <v>1</v>
      </c>
      <c r="E56" s="465"/>
    </row>
    <row r="58" spans="1:5" x14ac:dyDescent="0.25">
      <c r="B58" s="678" t="s">
        <v>513</v>
      </c>
      <c r="C58" s="678"/>
    </row>
    <row r="60" spans="1:5" x14ac:dyDescent="0.25">
      <c r="B60" s="359" t="s">
        <v>112</v>
      </c>
    </row>
    <row r="62" spans="1:5" x14ac:dyDescent="0.25">
      <c r="B62" s="453" t="s">
        <v>512</v>
      </c>
      <c r="C62" s="453" t="s">
        <v>511</v>
      </c>
    </row>
    <row r="63" spans="1:5" x14ac:dyDescent="0.25">
      <c r="B63" s="453" t="s">
        <v>381</v>
      </c>
      <c r="C63" s="452">
        <f>C53+C55</f>
        <v>10</v>
      </c>
    </row>
    <row r="64" spans="1:5" x14ac:dyDescent="0.25">
      <c r="B64" s="453" t="s">
        <v>382</v>
      </c>
      <c r="C64" s="452"/>
    </row>
    <row r="65" spans="2:3" x14ac:dyDescent="0.25">
      <c r="B65" s="453" t="s">
        <v>510</v>
      </c>
      <c r="C65" s="452">
        <f>C54+C56</f>
        <v>4</v>
      </c>
    </row>
    <row r="66" spans="2:3" x14ac:dyDescent="0.25">
      <c r="B66" s="453" t="s">
        <v>509</v>
      </c>
      <c r="C66" s="452"/>
    </row>
    <row r="67" spans="2:3" x14ac:dyDescent="0.25">
      <c r="B67" s="453" t="s">
        <v>575</v>
      </c>
      <c r="C67" s="452"/>
    </row>
    <row r="68" spans="2:3" x14ac:dyDescent="0.25">
      <c r="B68" s="453" t="s">
        <v>61</v>
      </c>
      <c r="C68" s="452">
        <v>1</v>
      </c>
    </row>
    <row r="69" spans="2:3" x14ac:dyDescent="0.25">
      <c r="B69" s="453" t="s">
        <v>62</v>
      </c>
      <c r="C69" s="452">
        <v>1</v>
      </c>
    </row>
    <row r="73" spans="2:3" x14ac:dyDescent="0.25">
      <c r="B73" s="359" t="s">
        <v>99</v>
      </c>
    </row>
    <row r="75" spans="2:3" ht="27" x14ac:dyDescent="0.25">
      <c r="B75" s="453" t="s">
        <v>508</v>
      </c>
      <c r="C75" s="452">
        <v>50</v>
      </c>
    </row>
    <row r="76" spans="2:3" x14ac:dyDescent="0.25">
      <c r="B76" s="453" t="s">
        <v>6699</v>
      </c>
      <c r="C76" s="452">
        <v>3</v>
      </c>
    </row>
    <row r="77" spans="2:3" x14ac:dyDescent="0.25">
      <c r="B77" s="453" t="s">
        <v>6700</v>
      </c>
      <c r="C77" s="452">
        <v>1</v>
      </c>
    </row>
    <row r="78" spans="2:3" x14ac:dyDescent="0.25">
      <c r="B78" s="450" t="s">
        <v>245</v>
      </c>
      <c r="C78" s="451" t="e">
        <f>#REF!</f>
        <v>#REF!</v>
      </c>
    </row>
    <row r="79" spans="2:3" x14ac:dyDescent="0.25">
      <c r="B79" s="450" t="s">
        <v>246</v>
      </c>
      <c r="C79" s="451" t="e">
        <f>#REF!</f>
        <v>#REF!</v>
      </c>
    </row>
    <row r="80" spans="2:3" x14ac:dyDescent="0.25">
      <c r="B80" s="450" t="s">
        <v>507</v>
      </c>
      <c r="C80" s="450">
        <f>(C68+C69)/2</f>
        <v>1</v>
      </c>
    </row>
  </sheetData>
  <mergeCells count="53">
    <mergeCell ref="B58:C58"/>
    <mergeCell ref="A53:B53"/>
    <mergeCell ref="A54:B54"/>
    <mergeCell ref="A55:B55"/>
    <mergeCell ref="A56:B56"/>
    <mergeCell ref="A52:B52"/>
    <mergeCell ref="A41:B41"/>
    <mergeCell ref="A42:B42"/>
    <mergeCell ref="A43:B43"/>
    <mergeCell ref="A44:B44"/>
    <mergeCell ref="A45:B45"/>
    <mergeCell ref="A46:C46"/>
    <mergeCell ref="A47:B47"/>
    <mergeCell ref="A48:B48"/>
    <mergeCell ref="A49:B49"/>
    <mergeCell ref="A50:B50"/>
    <mergeCell ref="A51:B51"/>
    <mergeCell ref="A40:B40"/>
    <mergeCell ref="A29:B29"/>
    <mergeCell ref="A30:B30"/>
    <mergeCell ref="A31:B31"/>
    <mergeCell ref="A32:B32"/>
    <mergeCell ref="A33:C33"/>
    <mergeCell ref="A34:B34"/>
    <mergeCell ref="A35:B35"/>
    <mergeCell ref="A36:B36"/>
    <mergeCell ref="A37:B37"/>
    <mergeCell ref="A38:C38"/>
    <mergeCell ref="A39:B39"/>
    <mergeCell ref="A24:C24"/>
    <mergeCell ref="A25:C25"/>
    <mergeCell ref="A26:C26"/>
    <mergeCell ref="A27:C27"/>
    <mergeCell ref="A28:B28"/>
    <mergeCell ref="A23:C23"/>
    <mergeCell ref="A21:C21"/>
    <mergeCell ref="A12:C12"/>
    <mergeCell ref="A13:C13"/>
    <mergeCell ref="E13:E14"/>
    <mergeCell ref="A14:C14"/>
    <mergeCell ref="A15:D15"/>
    <mergeCell ref="A16:C16"/>
    <mergeCell ref="A17:C17"/>
    <mergeCell ref="A18:C18"/>
    <mergeCell ref="A19:C19"/>
    <mergeCell ref="A20:C20"/>
    <mergeCell ref="A22:C22"/>
    <mergeCell ref="A11:D11"/>
    <mergeCell ref="A1:E1"/>
    <mergeCell ref="A2:E2"/>
    <mergeCell ref="A6:B6"/>
    <mergeCell ref="A7:B7"/>
    <mergeCell ref="D7:E7"/>
  </mergeCells>
  <pageMargins left="0.98425196850393704" right="0.59055118110236215" top="1.1811023622047243" bottom="0.59055118110236215" header="0.11811023622047244" footer="0.51181102362204722"/>
  <pageSetup paperSize="9" scale="54" fitToHeight="0" orientation="portrait" r:id="rId1"/>
  <headerFooter>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39997558519241921"/>
    <pageSetUpPr fitToPage="1"/>
  </sheetPr>
  <dimension ref="A1:G55"/>
  <sheetViews>
    <sheetView view="pageLayout" topLeftCell="B16" zoomScaleNormal="89" zoomScaleSheetLayoutView="100" workbookViewId="0">
      <selection activeCell="L27" sqref="L27"/>
    </sheetView>
  </sheetViews>
  <sheetFormatPr defaultColWidth="9.140625" defaultRowHeight="13.5" x14ac:dyDescent="0.25"/>
  <cols>
    <col min="1" max="1" width="7.5703125" style="47" customWidth="1"/>
    <col min="2" max="2" width="63.140625" style="47" customWidth="1"/>
    <col min="3" max="3" width="17.28515625" style="47" customWidth="1"/>
    <col min="4" max="4" width="19.42578125" style="52" customWidth="1"/>
    <col min="5" max="5" width="19.28515625" style="47" customWidth="1"/>
    <col min="6" max="6" width="22.7109375" style="47" customWidth="1"/>
    <col min="7" max="7" width="3.28515625" style="47" customWidth="1"/>
    <col min="8" max="16384" width="9.140625" style="47"/>
  </cols>
  <sheetData>
    <row r="1" spans="1:7" ht="20.25" customHeight="1" x14ac:dyDescent="0.25">
      <c r="G1" s="179"/>
    </row>
    <row r="2" spans="1:7" x14ac:dyDescent="0.25">
      <c r="A2" s="89"/>
      <c r="B2" s="89"/>
      <c r="D2" s="47"/>
      <c r="G2" s="179"/>
    </row>
    <row r="3" spans="1:7" ht="22.15" customHeight="1" x14ac:dyDescent="0.25">
      <c r="A3" s="704" t="s">
        <v>105</v>
      </c>
      <c r="B3" s="704"/>
      <c r="C3" s="704"/>
      <c r="D3" s="704"/>
      <c r="E3" s="704"/>
      <c r="F3" s="704"/>
      <c r="G3" s="179"/>
    </row>
    <row r="4" spans="1:7" ht="11.25" customHeight="1" x14ac:dyDescent="0.25">
      <c r="A4" s="703" t="str">
        <f>'ORÇAMENTO GERAL'!B9</f>
        <v>Coleta, Transporte, Descarga E Disposição Final  de Resíduos Inertes, Entulhos e RCC</v>
      </c>
      <c r="B4" s="703"/>
      <c r="C4" s="703"/>
      <c r="D4" s="703"/>
      <c r="E4" s="703"/>
      <c r="F4" s="703"/>
    </row>
    <row r="5" spans="1:7" ht="15" customHeight="1" thickBot="1" x14ac:dyDescent="0.3">
      <c r="A5" s="179"/>
      <c r="B5" s="179"/>
      <c r="C5" s="179"/>
      <c r="D5" s="179"/>
      <c r="E5" s="90" t="s">
        <v>104</v>
      </c>
      <c r="F5" s="90" t="s">
        <v>103</v>
      </c>
      <c r="G5" s="51"/>
    </row>
    <row r="6" spans="1:7" ht="15.6" customHeight="1" thickBot="1" x14ac:dyDescent="0.3">
      <c r="A6" s="88" t="s">
        <v>54</v>
      </c>
      <c r="B6" s="87" t="s">
        <v>53</v>
      </c>
      <c r="C6" s="86" t="s">
        <v>102</v>
      </c>
      <c r="D6" s="85" t="s">
        <v>49</v>
      </c>
      <c r="E6" s="352" t="s">
        <v>101</v>
      </c>
      <c r="F6" s="353" t="s">
        <v>100</v>
      </c>
      <c r="G6" s="82"/>
    </row>
    <row r="7" spans="1:7" ht="16.149999999999999" customHeight="1" x14ac:dyDescent="0.25">
      <c r="A7" s="153">
        <v>1</v>
      </c>
      <c r="B7" s="152" t="s">
        <v>99</v>
      </c>
      <c r="C7" s="151"/>
      <c r="D7" s="150"/>
      <c r="E7" s="354"/>
      <c r="F7" s="355"/>
    </row>
    <row r="8" spans="1:7" ht="16.149999999999999" customHeight="1" x14ac:dyDescent="0.25">
      <c r="A8" s="59" t="s">
        <v>47</v>
      </c>
      <c r="B8" s="175" t="s">
        <v>582</v>
      </c>
      <c r="C8" s="59" t="s">
        <v>85</v>
      </c>
      <c r="D8" s="176">
        <f>'3.4 DIM ENTULHO'!C44</f>
        <v>6</v>
      </c>
      <c r="E8" s="356" t="e">
        <f>'3.3 EQUIP. VEICULOS'!C39</f>
        <v>#DIV/0!</v>
      </c>
      <c r="F8" s="356" t="e">
        <f>E8*D8</f>
        <v>#DIV/0!</v>
      </c>
    </row>
    <row r="9" spans="1:7" ht="16.149999999999999" customHeight="1" x14ac:dyDescent="0.25">
      <c r="A9" s="59" t="s">
        <v>31</v>
      </c>
      <c r="B9" s="175" t="s">
        <v>130</v>
      </c>
      <c r="C9" s="59" t="s">
        <v>85</v>
      </c>
      <c r="D9" s="176">
        <f>'3.4 DIM ENTULHO'!C45</f>
        <v>2</v>
      </c>
      <c r="E9" s="356" t="e">
        <f>'3.3 EQUIP. VEICULOS'!G39</f>
        <v>#DIV/0!</v>
      </c>
      <c r="F9" s="356" t="e">
        <f>E9*D9</f>
        <v>#DIV/0!</v>
      </c>
      <c r="G9" s="82"/>
    </row>
    <row r="10" spans="1:7" ht="16.149999999999999" customHeight="1" x14ac:dyDescent="0.25">
      <c r="A10" s="59" t="s">
        <v>29</v>
      </c>
      <c r="B10" s="175" t="s">
        <v>131</v>
      </c>
      <c r="C10" s="59" t="s">
        <v>85</v>
      </c>
      <c r="D10" s="176">
        <f>'3.4 DIM ENTULHO'!C46</f>
        <v>1</v>
      </c>
      <c r="E10" s="356" t="e">
        <f>'3.3 EQUIP. VEICULOS'!D39</f>
        <v>#DIV/0!</v>
      </c>
      <c r="F10" s="356" t="e">
        <f>E10*D10</f>
        <v>#DIV/0!</v>
      </c>
      <c r="G10" s="82"/>
    </row>
    <row r="11" spans="1:7" ht="16.149999999999999" customHeight="1" x14ac:dyDescent="0.25">
      <c r="A11" s="59" t="s">
        <v>27</v>
      </c>
      <c r="B11" s="175" t="s">
        <v>129</v>
      </c>
      <c r="C11" s="59" t="s">
        <v>85</v>
      </c>
      <c r="D11" s="176">
        <f>'3.4 DIM ENTULHO'!C47</f>
        <v>1</v>
      </c>
      <c r="E11" s="356" t="e">
        <f>'3.3 EQUIP. VEICULOS'!F39</f>
        <v>#DIV/0!</v>
      </c>
      <c r="F11" s="356" t="e">
        <f>E11*D11</f>
        <v>#DIV/0!</v>
      </c>
      <c r="G11" s="82"/>
    </row>
    <row r="12" spans="1:7" ht="16.149999999999999" customHeight="1" x14ac:dyDescent="0.25">
      <c r="A12" s="59" t="s">
        <v>128</v>
      </c>
      <c r="B12" s="175" t="s">
        <v>127</v>
      </c>
      <c r="C12" s="59" t="s">
        <v>85</v>
      </c>
      <c r="D12" s="176">
        <f>'3.4 DIM ENTULHO'!C48</f>
        <v>1</v>
      </c>
      <c r="E12" s="356" t="e">
        <f>'3.3 EQUIP. VEICULOS'!E39</f>
        <v>#DIV/0!</v>
      </c>
      <c r="F12" s="356" t="e">
        <f>E12*D12</f>
        <v>#DIV/0!</v>
      </c>
      <c r="G12" s="82"/>
    </row>
    <row r="13" spans="1:7" ht="16.149999999999999" customHeight="1" x14ac:dyDescent="0.25">
      <c r="A13" s="175"/>
      <c r="B13" s="175" t="s">
        <v>122</v>
      </c>
      <c r="C13" s="57" t="s">
        <v>121</v>
      </c>
      <c r="D13" s="63"/>
      <c r="E13" s="357" t="s">
        <v>96</v>
      </c>
      <c r="F13" s="357" t="e">
        <f>SUM(F8:F12)</f>
        <v>#DIV/0!</v>
      </c>
      <c r="G13" s="82"/>
    </row>
    <row r="14" spans="1:7" ht="16.149999999999999" customHeight="1" x14ac:dyDescent="0.25">
      <c r="A14" s="153">
        <v>2</v>
      </c>
      <c r="B14" s="152" t="s">
        <v>95</v>
      </c>
      <c r="C14" s="151"/>
      <c r="D14" s="150"/>
      <c r="E14" s="354"/>
      <c r="F14" s="355"/>
      <c r="G14" s="51"/>
    </row>
    <row r="15" spans="1:7" ht="16.149999999999999" customHeight="1" x14ac:dyDescent="0.25">
      <c r="A15" s="59" t="s">
        <v>17</v>
      </c>
      <c r="B15" s="175" t="s">
        <v>468</v>
      </c>
      <c r="C15" s="59" t="s">
        <v>94</v>
      </c>
      <c r="D15" s="63">
        <f>'3.4 DIM ENTULHO'!C57</f>
        <v>2</v>
      </c>
      <c r="E15" s="356" t="e">
        <f>'3.2 MAO DE OBRA'!F37</f>
        <v>#DIV/0!</v>
      </c>
      <c r="F15" s="356" t="e">
        <f t="shared" ref="F15:F20" si="0">E15*D15</f>
        <v>#DIV/0!</v>
      </c>
      <c r="G15" s="178"/>
    </row>
    <row r="16" spans="1:7" ht="16.149999999999999" customHeight="1" x14ac:dyDescent="0.25">
      <c r="A16" s="59" t="s">
        <v>15</v>
      </c>
      <c r="B16" s="175" t="s">
        <v>126</v>
      </c>
      <c r="C16" s="59" t="s">
        <v>94</v>
      </c>
      <c r="D16" s="63">
        <f>'3.4 DIM ENTULHO'!C58</f>
        <v>1</v>
      </c>
      <c r="E16" s="356" t="e">
        <f>'3.2 MAO DE OBRA'!F142</f>
        <v>#DIV/0!</v>
      </c>
      <c r="F16" s="356" t="e">
        <f t="shared" si="0"/>
        <v>#DIV/0!</v>
      </c>
      <c r="G16" s="178"/>
    </row>
    <row r="17" spans="1:7" ht="16.149999999999999" customHeight="1" x14ac:dyDescent="0.25">
      <c r="A17" s="59" t="s">
        <v>13</v>
      </c>
      <c r="B17" s="175" t="s">
        <v>472</v>
      </c>
      <c r="C17" s="59" t="s">
        <v>94</v>
      </c>
      <c r="D17" s="63">
        <f>'3.4 DIM ENTULHO'!C59</f>
        <v>8</v>
      </c>
      <c r="E17" s="356" t="e">
        <f>'3.2 MAO DE OBRA'!F72</f>
        <v>#DIV/0!</v>
      </c>
      <c r="F17" s="356" t="e">
        <f t="shared" si="0"/>
        <v>#DIV/0!</v>
      </c>
      <c r="G17" s="178"/>
    </row>
    <row r="18" spans="1:7" ht="16.149999999999999" customHeight="1" x14ac:dyDescent="0.25">
      <c r="A18" s="59" t="s">
        <v>11</v>
      </c>
      <c r="B18" s="175" t="s">
        <v>125</v>
      </c>
      <c r="C18" s="59" t="s">
        <v>94</v>
      </c>
      <c r="D18" s="63">
        <f>'3.4 DIM ENTULHO'!C60</f>
        <v>1</v>
      </c>
      <c r="E18" s="356" t="e">
        <f>'3.2 MAO DE OBRA'!F175</f>
        <v>#DIV/0!</v>
      </c>
      <c r="F18" s="356" t="e">
        <f t="shared" si="0"/>
        <v>#DIV/0!</v>
      </c>
      <c r="G18" s="178"/>
    </row>
    <row r="19" spans="1:7" ht="16.149999999999999" customHeight="1" x14ac:dyDescent="0.25">
      <c r="A19" s="59" t="s">
        <v>9</v>
      </c>
      <c r="B19" s="175" t="s">
        <v>124</v>
      </c>
      <c r="C19" s="59" t="s">
        <v>94</v>
      </c>
      <c r="D19" s="63">
        <f>'3.4 DIM ENTULHO'!C61</f>
        <v>1</v>
      </c>
      <c r="E19" s="356" t="e">
        <f>'3.2 MAO DE OBRA'!F207</f>
        <v>#DIV/0!</v>
      </c>
      <c r="F19" s="356" t="e">
        <f t="shared" si="0"/>
        <v>#DIV/0!</v>
      </c>
      <c r="G19" s="178"/>
    </row>
    <row r="20" spans="1:7" ht="16.149999999999999" customHeight="1" x14ac:dyDescent="0.25">
      <c r="A20" s="59" t="s">
        <v>7</v>
      </c>
      <c r="B20" s="175" t="s">
        <v>471</v>
      </c>
      <c r="C20" s="59" t="s">
        <v>94</v>
      </c>
      <c r="D20" s="575">
        <v>16</v>
      </c>
      <c r="E20" s="356" t="e">
        <f>'3.2 MAO DE OBRA'!F109</f>
        <v>#DIV/0!</v>
      </c>
      <c r="F20" s="356" t="e">
        <f t="shared" si="0"/>
        <v>#DIV/0!</v>
      </c>
      <c r="G20" s="178"/>
    </row>
    <row r="21" spans="1:7" ht="16.149999999999999" customHeight="1" x14ac:dyDescent="0.25">
      <c r="A21" s="59"/>
      <c r="B21" s="175" t="s">
        <v>122</v>
      </c>
      <c r="C21" s="57" t="s">
        <v>121</v>
      </c>
      <c r="D21" s="63"/>
      <c r="E21" s="357" t="s">
        <v>93</v>
      </c>
      <c r="F21" s="357" t="e">
        <f>SUM(F15:F20)</f>
        <v>#DIV/0!</v>
      </c>
      <c r="G21" s="51"/>
    </row>
    <row r="22" spans="1:7" ht="16.149999999999999" customHeight="1" x14ac:dyDescent="0.25">
      <c r="A22" s="153">
        <v>3</v>
      </c>
      <c r="B22" s="152" t="s">
        <v>92</v>
      </c>
      <c r="C22" s="151"/>
      <c r="D22" s="150"/>
      <c r="E22" s="354"/>
      <c r="F22" s="355"/>
      <c r="G22" s="82"/>
    </row>
    <row r="23" spans="1:7" ht="16.149999999999999" customHeight="1" x14ac:dyDescent="0.25">
      <c r="B23" s="177" t="s">
        <v>123</v>
      </c>
      <c r="C23" s="59"/>
      <c r="D23" s="63"/>
      <c r="E23" s="356"/>
      <c r="F23" s="357"/>
      <c r="G23" s="51"/>
    </row>
    <row r="24" spans="1:7" ht="16.149999999999999" customHeight="1" x14ac:dyDescent="0.25">
      <c r="A24" s="59" t="s">
        <v>91</v>
      </c>
      <c r="B24" s="177" t="s">
        <v>90</v>
      </c>
      <c r="C24" s="59" t="s">
        <v>85</v>
      </c>
      <c r="D24" s="63">
        <v>4</v>
      </c>
      <c r="E24" s="69" t="e">
        <f>VLOOKUP(B24,'1.1 CUSTO FERRAME-UNIFORME-EPI'!B:C,2,FALSE)</f>
        <v>#DIV/0!</v>
      </c>
      <c r="F24" s="356" t="e">
        <f>E24*D24</f>
        <v>#DIV/0!</v>
      </c>
      <c r="G24" s="82"/>
    </row>
    <row r="25" spans="1:7" ht="16.149999999999999" customHeight="1" x14ac:dyDescent="0.25">
      <c r="A25" s="59" t="s">
        <v>89</v>
      </c>
      <c r="B25" s="177" t="s">
        <v>115</v>
      </c>
      <c r="C25" s="59" t="s">
        <v>85</v>
      </c>
      <c r="D25" s="63">
        <v>12</v>
      </c>
      <c r="E25" s="69" t="e">
        <f>VLOOKUP(B25,'1.1 CUSTO FERRAME-UNIFORME-EPI'!B:C,2,FALSE)</f>
        <v>#DIV/0!</v>
      </c>
      <c r="F25" s="356" t="e">
        <f>E25*D25</f>
        <v>#DIV/0!</v>
      </c>
      <c r="G25" s="51"/>
    </row>
    <row r="26" spans="1:7" ht="16.149999999999999" customHeight="1" x14ac:dyDescent="0.25">
      <c r="A26" s="59" t="s">
        <v>87</v>
      </c>
      <c r="B26" s="177" t="s">
        <v>88</v>
      </c>
      <c r="C26" s="59" t="s">
        <v>85</v>
      </c>
      <c r="D26" s="63">
        <v>6</v>
      </c>
      <c r="E26" s="69">
        <f>VLOOKUP(B26,'1.1 CUSTO FERRAME-UNIFORME-EPI'!B:C,2,FALSE)</f>
        <v>0</v>
      </c>
      <c r="F26" s="356">
        <f>E26*D26</f>
        <v>0</v>
      </c>
      <c r="G26" s="82"/>
    </row>
    <row r="27" spans="1:7" ht="16.149999999999999" customHeight="1" x14ac:dyDescent="0.25">
      <c r="A27" s="59" t="s">
        <v>116</v>
      </c>
      <c r="B27" s="177" t="s">
        <v>86</v>
      </c>
      <c r="C27" s="59" t="s">
        <v>85</v>
      </c>
      <c r="D27" s="63">
        <v>3</v>
      </c>
      <c r="E27" s="69">
        <f>VLOOKUP(B27,'1.1 CUSTO FERRAME-UNIFORME-EPI'!B:C,2,FALSE)</f>
        <v>0</v>
      </c>
      <c r="F27" s="356">
        <f>E27*D27</f>
        <v>0</v>
      </c>
      <c r="G27" s="51"/>
    </row>
    <row r="28" spans="1:7" ht="16.149999999999999" customHeight="1" x14ac:dyDescent="0.25">
      <c r="A28" s="59"/>
      <c r="B28" s="175" t="s">
        <v>122</v>
      </c>
      <c r="C28" s="57" t="s">
        <v>121</v>
      </c>
      <c r="D28" s="63"/>
      <c r="E28" s="357" t="s">
        <v>84</v>
      </c>
      <c r="F28" s="357" t="e">
        <f>SUM(F24:F27)</f>
        <v>#DIV/0!</v>
      </c>
      <c r="G28" s="82"/>
    </row>
    <row r="29" spans="1:7" ht="16.149999999999999" customHeight="1" x14ac:dyDescent="0.25">
      <c r="A29" s="174"/>
      <c r="B29" s="163" t="s">
        <v>83</v>
      </c>
      <c r="C29" s="163"/>
      <c r="D29" s="163"/>
      <c r="E29" s="163"/>
      <c r="F29" s="173"/>
      <c r="G29" s="82"/>
    </row>
    <row r="30" spans="1:7" ht="16.149999999999999" customHeight="1" x14ac:dyDescent="0.25">
      <c r="A30" s="172"/>
      <c r="B30" s="167" t="s">
        <v>82</v>
      </c>
      <c r="C30" s="169" t="s">
        <v>81</v>
      </c>
      <c r="D30" s="167"/>
      <c r="E30" s="165"/>
      <c r="F30" s="66" t="e">
        <f>SUM(F21,F28,F13)</f>
        <v>#DIV/0!</v>
      </c>
      <c r="G30" s="82"/>
    </row>
    <row r="31" spans="1:7" ht="16.149999999999999" customHeight="1" x14ac:dyDescent="0.25">
      <c r="A31" s="172"/>
      <c r="B31" s="171" t="s">
        <v>80</v>
      </c>
      <c r="C31" s="166" t="s">
        <v>583</v>
      </c>
      <c r="D31" s="170"/>
      <c r="E31" s="165"/>
      <c r="F31" s="576">
        <f>'3.4 DIM ENTULHO'!D21</f>
        <v>3455.6301369863008</v>
      </c>
      <c r="G31" s="82"/>
    </row>
    <row r="32" spans="1:7" ht="16.149999999999999" customHeight="1" x14ac:dyDescent="0.25">
      <c r="A32" s="168"/>
      <c r="B32" s="167" t="s">
        <v>78</v>
      </c>
      <c r="C32" s="169" t="s">
        <v>584</v>
      </c>
      <c r="D32" s="167"/>
      <c r="E32" s="165"/>
      <c r="F32" s="61" t="e">
        <f>F30/F31</f>
        <v>#DIV/0!</v>
      </c>
      <c r="G32" s="82"/>
    </row>
    <row r="33" spans="1:7" ht="16.149999999999999" customHeight="1" x14ac:dyDescent="0.25">
      <c r="A33" s="168"/>
      <c r="B33" s="167" t="s">
        <v>77</v>
      </c>
      <c r="C33" s="166" t="s">
        <v>76</v>
      </c>
      <c r="D33" s="58">
        <f>'BDI '!$C$22</f>
        <v>5.2600000000000001E-2</v>
      </c>
      <c r="E33" s="165"/>
      <c r="F33" s="56" t="e">
        <f>F32*D33</f>
        <v>#DIV/0!</v>
      </c>
      <c r="G33" s="82"/>
    </row>
    <row r="34" spans="1:7" x14ac:dyDescent="0.25">
      <c r="A34" s="163"/>
      <c r="B34" s="163" t="s">
        <v>75</v>
      </c>
      <c r="C34" s="164" t="s">
        <v>584</v>
      </c>
      <c r="D34" s="163"/>
      <c r="E34" s="163"/>
      <c r="F34" s="162" t="e">
        <f>ROUND(F33+F32,2)</f>
        <v>#DIV/0!</v>
      </c>
      <c r="G34" s="82"/>
    </row>
    <row r="35" spans="1:7" x14ac:dyDescent="0.25">
      <c r="A35" s="59"/>
      <c r="B35" s="175"/>
      <c r="C35" s="57"/>
      <c r="D35" s="63"/>
      <c r="E35" s="357"/>
      <c r="F35" s="357"/>
      <c r="G35" s="159"/>
    </row>
    <row r="36" spans="1:7" x14ac:dyDescent="0.25">
      <c r="A36" s="78">
        <v>4</v>
      </c>
      <c r="B36" s="77" t="s">
        <v>625</v>
      </c>
      <c r="C36" s="76"/>
      <c r="D36" s="75"/>
      <c r="E36" s="75"/>
      <c r="F36" s="74"/>
      <c r="G36" s="159"/>
    </row>
    <row r="37" spans="1:7" x14ac:dyDescent="0.25">
      <c r="A37" s="73" t="s">
        <v>630</v>
      </c>
      <c r="B37" s="72" t="s">
        <v>6664</v>
      </c>
      <c r="C37" s="71" t="s">
        <v>74</v>
      </c>
      <c r="D37" s="70">
        <f>'3.4 DIM ENTULHO'!D21</f>
        <v>3455.6301369863008</v>
      </c>
      <c r="E37" s="69" t="e">
        <f>'1.1 REF EQUIPAMENTOS E DIV'!E37</f>
        <v>#DIV/0!</v>
      </c>
      <c r="F37" s="68" t="e">
        <f>E37*D37</f>
        <v>#DIV/0!</v>
      </c>
      <c r="G37" s="159"/>
    </row>
    <row r="38" spans="1:7" x14ac:dyDescent="0.25">
      <c r="A38" s="73"/>
      <c r="B38" s="72"/>
      <c r="C38" s="71"/>
      <c r="D38" s="70"/>
      <c r="E38" s="69" t="s">
        <v>84</v>
      </c>
      <c r="F38" s="68" t="e">
        <f>SUM(F37:F37)</f>
        <v>#DIV/0!</v>
      </c>
      <c r="G38" s="159"/>
    </row>
    <row r="39" spans="1:7" x14ac:dyDescent="0.25">
      <c r="A39" s="54"/>
      <c r="B39" s="54" t="s">
        <v>83</v>
      </c>
      <c r="C39" s="54"/>
      <c r="D39" s="54"/>
      <c r="E39" s="54"/>
      <c r="F39" s="67"/>
      <c r="G39" s="51"/>
    </row>
    <row r="40" spans="1:7" x14ac:dyDescent="0.25">
      <c r="A40" s="59"/>
      <c r="B40" s="60" t="s">
        <v>82</v>
      </c>
      <c r="C40" s="57" t="s">
        <v>81</v>
      </c>
      <c r="D40" s="64"/>
      <c r="E40" s="57"/>
      <c r="F40" s="66" t="e">
        <f>F38</f>
        <v>#DIV/0!</v>
      </c>
      <c r="G40" s="160"/>
    </row>
    <row r="41" spans="1:7" x14ac:dyDescent="0.25">
      <c r="A41" s="59"/>
      <c r="B41" s="65" t="s">
        <v>80</v>
      </c>
      <c r="C41" s="59" t="s">
        <v>79</v>
      </c>
      <c r="D41" s="48"/>
      <c r="E41" s="62"/>
      <c r="F41" s="64">
        <f>'3.4 DIM ENTULHO'!D21</f>
        <v>3455.6301369863008</v>
      </c>
      <c r="G41" s="51"/>
    </row>
    <row r="42" spans="1:7" x14ac:dyDescent="0.25">
      <c r="A42" s="59"/>
      <c r="B42" s="60" t="s">
        <v>78</v>
      </c>
      <c r="C42" s="59" t="s">
        <v>74</v>
      </c>
      <c r="D42" s="63"/>
      <c r="E42" s="62"/>
      <c r="F42" s="61" t="e">
        <f>ROUND(F40/F41,2)</f>
        <v>#DIV/0!</v>
      </c>
      <c r="G42" s="82"/>
    </row>
    <row r="43" spans="1:7" x14ac:dyDescent="0.25">
      <c r="A43" s="59"/>
      <c r="B43" s="60" t="s">
        <v>77</v>
      </c>
      <c r="C43" s="59" t="s">
        <v>76</v>
      </c>
      <c r="D43" s="58">
        <f>'BDI '!$C$22</f>
        <v>5.2600000000000001E-2</v>
      </c>
      <c r="E43" s="57"/>
      <c r="F43" s="56" t="e">
        <f>ROUND(F42*D43,2)</f>
        <v>#DIV/0!</v>
      </c>
      <c r="G43" s="82"/>
    </row>
    <row r="44" spans="1:7" x14ac:dyDescent="0.25">
      <c r="A44" s="54"/>
      <c r="B44" s="54" t="s">
        <v>75</v>
      </c>
      <c r="C44" s="55" t="s">
        <v>74</v>
      </c>
      <c r="D44" s="54"/>
      <c r="E44" s="54"/>
      <c r="F44" s="53" t="e">
        <f>SUM(F42:F43)</f>
        <v>#DIV/0!</v>
      </c>
      <c r="G44" s="82"/>
    </row>
    <row r="45" spans="1:7" x14ac:dyDescent="0.25">
      <c r="D45" s="49"/>
      <c r="E45" s="48"/>
      <c r="F45" s="48"/>
      <c r="G45" s="159"/>
    </row>
    <row r="46" spans="1:7" x14ac:dyDescent="0.25">
      <c r="A46" s="59"/>
      <c r="B46" s="60" t="s">
        <v>78</v>
      </c>
      <c r="C46" s="59" t="s">
        <v>74</v>
      </c>
      <c r="D46" s="63"/>
      <c r="E46" s="62"/>
      <c r="F46" s="61" t="e">
        <f>F42+F32</f>
        <v>#DIV/0!</v>
      </c>
      <c r="G46" s="159"/>
    </row>
    <row r="47" spans="1:7" x14ac:dyDescent="0.25">
      <c r="A47" s="59"/>
      <c r="B47" s="60" t="s">
        <v>77</v>
      </c>
      <c r="C47" s="59" t="s">
        <v>76</v>
      </c>
      <c r="D47" s="58">
        <f>'BDI '!$C$22</f>
        <v>5.2600000000000001E-2</v>
      </c>
      <c r="E47" s="57"/>
      <c r="F47" s="56" t="e">
        <f>ROUND(F46*D47,2)</f>
        <v>#DIV/0!</v>
      </c>
      <c r="G47" s="159"/>
    </row>
    <row r="48" spans="1:7" x14ac:dyDescent="0.25">
      <c r="A48" s="531"/>
      <c r="B48" s="531" t="s">
        <v>75</v>
      </c>
      <c r="C48" s="532" t="s">
        <v>74</v>
      </c>
      <c r="D48" s="531"/>
      <c r="E48" s="531"/>
      <c r="F48" s="533" t="e">
        <f>F44+F34</f>
        <v>#DIV/0!</v>
      </c>
      <c r="G48" s="159"/>
    </row>
    <row r="49" spans="4:7" x14ac:dyDescent="0.25">
      <c r="D49" s="49"/>
      <c r="E49" s="48"/>
      <c r="F49" s="48"/>
      <c r="G49" s="158"/>
    </row>
    <row r="50" spans="4:7" x14ac:dyDescent="0.25">
      <c r="G50" s="157"/>
    </row>
    <row r="51" spans="4:7" x14ac:dyDescent="0.25">
      <c r="G51" s="156"/>
    </row>
    <row r="52" spans="4:7" x14ac:dyDescent="0.25">
      <c r="G52" s="155"/>
    </row>
    <row r="53" spans="4:7" x14ac:dyDescent="0.25">
      <c r="G53" s="154"/>
    </row>
    <row r="54" spans="4:7" x14ac:dyDescent="0.25">
      <c r="G54" s="155"/>
    </row>
    <row r="55" spans="4:7" x14ac:dyDescent="0.25">
      <c r="G55" s="154"/>
    </row>
  </sheetData>
  <sheetProtection selectLockedCells="1" selectUnlockedCells="1"/>
  <mergeCells count="2">
    <mergeCell ref="A4:F4"/>
    <mergeCell ref="A3:F3"/>
  </mergeCells>
  <pageMargins left="0.98425196850393704" right="0.59055118110236215" top="1.1811023622047243" bottom="0.59055118110236215" header="0.11811023622047244" footer="0.51181102362204722"/>
  <pageSetup paperSize="9" scale="58" firstPageNumber="0" fitToHeight="0" orientation="portrait" horizontalDpi="300" verticalDpi="300" r:id="rId1"/>
  <headerFooter alignWithMargins="0">
    <oddHeader>&amp;L&amp;G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39997558519241921"/>
    <pageSetUpPr fitToPage="1"/>
  </sheetPr>
  <dimension ref="B1:J207"/>
  <sheetViews>
    <sheetView view="pageBreakPreview" topLeftCell="A31" zoomScale="85" zoomScaleNormal="100" zoomScaleSheetLayoutView="85" zoomScalePageLayoutView="70" workbookViewId="0">
      <selection activeCell="L49" sqref="L49"/>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5" spans="2:6" x14ac:dyDescent="0.25">
      <c r="B5" s="313" t="s">
        <v>54</v>
      </c>
      <c r="C5" s="314" t="s">
        <v>53</v>
      </c>
      <c r="D5" s="705" t="s">
        <v>63</v>
      </c>
      <c r="E5" s="706"/>
      <c r="F5" s="707"/>
    </row>
    <row r="6" spans="2:6" x14ac:dyDescent="0.25">
      <c r="B6" s="315"/>
      <c r="C6" s="316"/>
      <c r="D6" s="709"/>
      <c r="E6" s="710"/>
      <c r="F6" s="711"/>
    </row>
    <row r="7" spans="2:6" x14ac:dyDescent="0.25">
      <c r="B7" s="317" t="s">
        <v>52</v>
      </c>
      <c r="C7" s="318" t="s">
        <v>51</v>
      </c>
      <c r="D7" s="319" t="s">
        <v>50</v>
      </c>
      <c r="E7" s="319" t="s">
        <v>49</v>
      </c>
      <c r="F7" s="319" t="s">
        <v>48</v>
      </c>
    </row>
    <row r="8" spans="2:6" x14ac:dyDescent="0.25">
      <c r="B8" s="317" t="s">
        <v>47</v>
      </c>
      <c r="C8" s="318" t="s">
        <v>46</v>
      </c>
      <c r="D8" s="319"/>
      <c r="E8" s="319"/>
      <c r="F8" s="319"/>
    </row>
    <row r="9" spans="2:6" x14ac:dyDescent="0.25">
      <c r="B9" s="31" t="s">
        <v>45</v>
      </c>
      <c r="C9" s="36" t="s">
        <v>44</v>
      </c>
      <c r="D9" s="11">
        <f>'1.1 SALÁRIOS'!F10</f>
        <v>0</v>
      </c>
      <c r="E9" s="17">
        <v>1</v>
      </c>
      <c r="F9" s="11">
        <f>E9*D9</f>
        <v>0</v>
      </c>
    </row>
    <row r="10" spans="2:6" x14ac:dyDescent="0.25">
      <c r="B10" s="31" t="s">
        <v>43</v>
      </c>
      <c r="C10" s="36" t="s">
        <v>42</v>
      </c>
      <c r="D10" s="11">
        <v>0</v>
      </c>
      <c r="E10" s="17">
        <v>1</v>
      </c>
      <c r="F10" s="11">
        <f>E10*D10</f>
        <v>0</v>
      </c>
    </row>
    <row r="11" spans="2:6" x14ac:dyDescent="0.25">
      <c r="B11" s="31" t="s">
        <v>41</v>
      </c>
      <c r="C11" s="36" t="s">
        <v>40</v>
      </c>
      <c r="D11" s="11"/>
      <c r="E11" s="17"/>
      <c r="F11" s="11"/>
    </row>
    <row r="12" spans="2:6" x14ac:dyDescent="0.25">
      <c r="B12" s="31" t="s">
        <v>39</v>
      </c>
      <c r="C12" s="36" t="s">
        <v>38</v>
      </c>
      <c r="D12" s="11"/>
      <c r="E12" s="17"/>
      <c r="F12" s="11"/>
    </row>
    <row r="13" spans="2:6" x14ac:dyDescent="0.25">
      <c r="B13" s="31" t="s">
        <v>37</v>
      </c>
      <c r="C13" s="36" t="s">
        <v>36</v>
      </c>
      <c r="D13" s="11"/>
      <c r="E13" s="17"/>
      <c r="F13" s="11"/>
    </row>
    <row r="14" spans="2:6" x14ac:dyDescent="0.25">
      <c r="B14" s="31" t="s">
        <v>35</v>
      </c>
      <c r="C14" s="36" t="s">
        <v>34</v>
      </c>
      <c r="D14" s="11"/>
      <c r="E14" s="17"/>
      <c r="F14" s="11"/>
    </row>
    <row r="15" spans="2:6" x14ac:dyDescent="0.25">
      <c r="B15" s="320"/>
      <c r="C15" s="318" t="s">
        <v>32</v>
      </c>
      <c r="D15" s="322"/>
      <c r="E15" s="322"/>
      <c r="F15" s="323">
        <f>SUM(F9:F14)</f>
        <v>0</v>
      </c>
    </row>
    <row r="16" spans="2:6" x14ac:dyDescent="0.25">
      <c r="B16" s="317" t="s">
        <v>31</v>
      </c>
      <c r="C16" s="324" t="s">
        <v>30</v>
      </c>
      <c r="D16" s="322">
        <f>F15</f>
        <v>0</v>
      </c>
      <c r="E16" s="14">
        <f>'1.1 SALÁRIOS'!$F$33</f>
        <v>0</v>
      </c>
      <c r="F16" s="322">
        <f>E16*D16</f>
        <v>0</v>
      </c>
    </row>
    <row r="17" spans="2:6" x14ac:dyDescent="0.25">
      <c r="B17" s="317" t="s">
        <v>29</v>
      </c>
      <c r="C17" s="325" t="s">
        <v>28</v>
      </c>
      <c r="D17" s="322"/>
      <c r="E17" s="322"/>
      <c r="F17" s="323">
        <f>SUM(F15:F16)</f>
        <v>0</v>
      </c>
    </row>
    <row r="18" spans="2:6" x14ac:dyDescent="0.25">
      <c r="B18" s="317" t="s">
        <v>27</v>
      </c>
      <c r="C18" s="325" t="s">
        <v>26</v>
      </c>
      <c r="D18" s="322"/>
      <c r="E18" s="322"/>
      <c r="F18" s="322"/>
    </row>
    <row r="19" spans="2:6" x14ac:dyDescent="0.25">
      <c r="B19" s="9" t="s">
        <v>25</v>
      </c>
      <c r="C19" s="15" t="s">
        <v>24</v>
      </c>
      <c r="D19" s="11">
        <f>'1.1 SALÁRIOS'!$F$35</f>
        <v>0</v>
      </c>
      <c r="E19" s="11">
        <v>25.25</v>
      </c>
      <c r="F19" s="11">
        <f>IF(2*E19*D19-0.06*D9&lt;0,0,2*E19*D19-0.06*D9)</f>
        <v>0</v>
      </c>
    </row>
    <row r="20" spans="2:6" x14ac:dyDescent="0.25">
      <c r="B20" s="9" t="s">
        <v>23</v>
      </c>
      <c r="C20" s="15" t="s">
        <v>369</v>
      </c>
      <c r="D20" s="11">
        <f>('1.1 SALÁRIOS'!$F$36+'1.1 SALÁRIOS'!$F$37)/12</f>
        <v>0</v>
      </c>
      <c r="E20" s="11">
        <v>1</v>
      </c>
      <c r="F20" s="11">
        <f>E20*D20</f>
        <v>0</v>
      </c>
    </row>
    <row r="21" spans="2:6" x14ac:dyDescent="0.25">
      <c r="B21" s="9" t="s">
        <v>22</v>
      </c>
      <c r="C21" s="15" t="s">
        <v>370</v>
      </c>
      <c r="D21" s="11">
        <f>'1.1 SALÁRIOS'!$F$38</f>
        <v>0</v>
      </c>
      <c r="E21" s="11">
        <f>E19</f>
        <v>25.25</v>
      </c>
      <c r="F21" s="11">
        <f>E21*D21</f>
        <v>0</v>
      </c>
    </row>
    <row r="22" spans="2:6" x14ac:dyDescent="0.25">
      <c r="B22" s="9" t="s">
        <v>21</v>
      </c>
      <c r="C22" s="15" t="s">
        <v>371</v>
      </c>
      <c r="D22" s="11">
        <f>'1.1 SALÁRIOS'!$F$39</f>
        <v>0</v>
      </c>
      <c r="E22" s="11">
        <v>1</v>
      </c>
      <c r="F22" s="11">
        <f>E22*D22</f>
        <v>0</v>
      </c>
    </row>
    <row r="23" spans="2:6" x14ac:dyDescent="0.25">
      <c r="B23" s="9" t="s">
        <v>374</v>
      </c>
      <c r="C23" s="15" t="s">
        <v>372</v>
      </c>
      <c r="D23" s="11">
        <f>'1.1 SALÁRIOS'!$F$40</f>
        <v>0</v>
      </c>
      <c r="E23" s="11">
        <v>1</v>
      </c>
      <c r="F23" s="11">
        <f>E23*D23</f>
        <v>0</v>
      </c>
    </row>
    <row r="24" spans="2:6" x14ac:dyDescent="0.25">
      <c r="B24" s="9" t="s">
        <v>375</v>
      </c>
      <c r="C24" s="15" t="s">
        <v>373</v>
      </c>
      <c r="D24" s="11">
        <f>'1.1 SALÁRIOS'!$F$41</f>
        <v>0</v>
      </c>
      <c r="E24" s="11">
        <v>1</v>
      </c>
      <c r="F24" s="11">
        <f>E24*D24</f>
        <v>0</v>
      </c>
    </row>
    <row r="25" spans="2:6" x14ac:dyDescent="0.25">
      <c r="B25" s="320"/>
      <c r="C25" s="325" t="s">
        <v>20</v>
      </c>
      <c r="D25" s="323"/>
      <c r="E25" s="323"/>
      <c r="F25" s="323">
        <f>SUM(F19:F24)</f>
        <v>0</v>
      </c>
    </row>
    <row r="26" spans="2:6" x14ac:dyDescent="0.25">
      <c r="B26" s="317" t="s">
        <v>19</v>
      </c>
      <c r="C26" s="325" t="s">
        <v>18</v>
      </c>
      <c r="D26" s="322"/>
      <c r="E26" s="322"/>
      <c r="F26" s="322"/>
    </row>
    <row r="27" spans="2:6" x14ac:dyDescent="0.25">
      <c r="B27" s="320" t="s">
        <v>17</v>
      </c>
      <c r="C27" s="326" t="s">
        <v>16</v>
      </c>
      <c r="D27" s="11" t="e">
        <f>VLOOKUP(C27,'1.1 CUSTO FERRAME-UNIFORME-EPI'!B:C,2,FALSE)</f>
        <v>#DIV/0!</v>
      </c>
      <c r="E27" s="328">
        <v>0.17</v>
      </c>
      <c r="F27" s="322" t="e">
        <f t="shared" ref="F27:F34" si="0">E27*D27</f>
        <v>#DIV/0!</v>
      </c>
    </row>
    <row r="28" spans="2:6" x14ac:dyDescent="0.25">
      <c r="B28" s="320" t="s">
        <v>15</v>
      </c>
      <c r="C28" s="326" t="s">
        <v>14</v>
      </c>
      <c r="D28" s="11" t="e">
        <f>VLOOKUP(C28,'1.1 CUSTO FERRAME-UNIFORME-EPI'!B:C,2,FALSE)</f>
        <v>#DIV/0!</v>
      </c>
      <c r="E28" s="328">
        <v>0.33</v>
      </c>
      <c r="F28" s="322" t="e">
        <f t="shared" si="0"/>
        <v>#DIV/0!</v>
      </c>
    </row>
    <row r="29" spans="2:6" x14ac:dyDescent="0.25">
      <c r="B29" s="320" t="s">
        <v>13</v>
      </c>
      <c r="C29" s="326" t="s">
        <v>12</v>
      </c>
      <c r="D29" s="11" t="e">
        <f>VLOOKUP(C29,'1.1 CUSTO FERRAME-UNIFORME-EPI'!B:C,2,FALSE)</f>
        <v>#DIV/0!</v>
      </c>
      <c r="E29" s="328">
        <v>0.33</v>
      </c>
      <c r="F29" s="322" t="e">
        <f t="shared" si="0"/>
        <v>#DIV/0!</v>
      </c>
    </row>
    <row r="30" spans="2:6" x14ac:dyDescent="0.25">
      <c r="B30" s="320" t="s">
        <v>11</v>
      </c>
      <c r="C30" s="326" t="s">
        <v>10</v>
      </c>
      <c r="D30" s="11">
        <f>VLOOKUP(C30,'1.1 CUSTO FERRAME-UNIFORME-EPI'!B:C,2,FALSE)</f>
        <v>0</v>
      </c>
      <c r="E30" s="328">
        <v>0.17</v>
      </c>
      <c r="F30" s="322">
        <f t="shared" si="0"/>
        <v>0</v>
      </c>
    </row>
    <row r="31" spans="2:6" x14ac:dyDescent="0.25">
      <c r="B31" s="320" t="s">
        <v>9</v>
      </c>
      <c r="C31" s="326" t="s">
        <v>8</v>
      </c>
      <c r="D31" s="11">
        <f>VLOOKUP(C31,'1.1 CUSTO FERRAME-UNIFORME-EPI'!B:C,2,FALSE)</f>
        <v>0</v>
      </c>
      <c r="E31" s="328">
        <v>0.17</v>
      </c>
      <c r="F31" s="322">
        <f t="shared" si="0"/>
        <v>0</v>
      </c>
    </row>
    <row r="32" spans="2:6" x14ac:dyDescent="0.25">
      <c r="B32" s="320" t="s">
        <v>7</v>
      </c>
      <c r="C32" s="326" t="s">
        <v>6</v>
      </c>
      <c r="D32" s="11">
        <f>VLOOKUP(C32,'1.1 CUSTO FERRAME-UNIFORME-EPI'!B:C,2,FALSE)</f>
        <v>0</v>
      </c>
      <c r="E32" s="328">
        <v>0.3</v>
      </c>
      <c r="F32" s="322">
        <f t="shared" si="0"/>
        <v>0</v>
      </c>
    </row>
    <row r="33" spans="2:6" x14ac:dyDescent="0.25">
      <c r="B33" s="320" t="s">
        <v>5</v>
      </c>
      <c r="C33" s="326" t="s">
        <v>4</v>
      </c>
      <c r="D33" s="11" t="e">
        <f>VLOOKUP(C33,'1.1 CUSTO FERRAME-UNIFORME-EPI'!B:C,2,FALSE)</f>
        <v>#DIV/0!</v>
      </c>
      <c r="E33" s="328">
        <v>0</v>
      </c>
      <c r="F33" s="322" t="e">
        <f t="shared" si="0"/>
        <v>#DIV/0!</v>
      </c>
    </row>
    <row r="34" spans="2:6" x14ac:dyDescent="0.25">
      <c r="B34" s="320" t="s">
        <v>3</v>
      </c>
      <c r="C34" s="326" t="s">
        <v>202</v>
      </c>
      <c r="D34" s="11" t="e">
        <f>VLOOKUP(C34,'1.1 CUSTO FERRAME-UNIFORME-EPI'!B:C,2,FALSE)</f>
        <v>#DIV/0!</v>
      </c>
      <c r="E34" s="329">
        <v>0.08</v>
      </c>
      <c r="F34" s="322" t="e">
        <f t="shared" si="0"/>
        <v>#DIV/0!</v>
      </c>
    </row>
    <row r="35" spans="2:6" x14ac:dyDescent="0.25">
      <c r="B35" s="320"/>
      <c r="C35" s="325" t="s">
        <v>2</v>
      </c>
      <c r="D35" s="330"/>
      <c r="E35" s="330"/>
      <c r="F35" s="331" t="e">
        <f>SUM(F27:F34)</f>
        <v>#DIV/0!</v>
      </c>
    </row>
    <row r="36" spans="2:6" x14ac:dyDescent="0.25">
      <c r="B36" s="320"/>
      <c r="C36" s="332"/>
      <c r="D36" s="330"/>
      <c r="E36" s="330"/>
      <c r="F36" s="331"/>
    </row>
    <row r="37" spans="2:6" x14ac:dyDescent="0.25">
      <c r="B37" s="333" t="s">
        <v>1</v>
      </c>
      <c r="C37" s="334" t="s">
        <v>0</v>
      </c>
      <c r="D37" s="335"/>
      <c r="E37" s="335"/>
      <c r="F37" s="336" t="e">
        <f>SUM(F17,F25,F35)</f>
        <v>#DIV/0!</v>
      </c>
    </row>
    <row r="40" spans="2:6" x14ac:dyDescent="0.25">
      <c r="B40" s="313" t="s">
        <v>54</v>
      </c>
      <c r="C40" s="313" t="s">
        <v>53</v>
      </c>
      <c r="D40" s="714" t="s">
        <v>402</v>
      </c>
      <c r="E40" s="714"/>
      <c r="F40" s="714"/>
    </row>
    <row r="41" spans="2:6" x14ac:dyDescent="0.25">
      <c r="B41" s="315"/>
      <c r="C41" s="315"/>
      <c r="D41" s="713"/>
      <c r="E41" s="713"/>
      <c r="F41" s="713"/>
    </row>
    <row r="42" spans="2:6" x14ac:dyDescent="0.25">
      <c r="B42" s="317" t="s">
        <v>52</v>
      </c>
      <c r="C42" s="337" t="s">
        <v>51</v>
      </c>
      <c r="D42" s="319" t="s">
        <v>50</v>
      </c>
      <c r="E42" s="319" t="s">
        <v>49</v>
      </c>
      <c r="F42" s="319" t="s">
        <v>48</v>
      </c>
    </row>
    <row r="43" spans="2:6" x14ac:dyDescent="0.25">
      <c r="B43" s="317" t="s">
        <v>47</v>
      </c>
      <c r="C43" s="337" t="s">
        <v>46</v>
      </c>
      <c r="D43" s="319"/>
      <c r="E43" s="319"/>
      <c r="F43" s="319"/>
    </row>
    <row r="44" spans="2:6" x14ac:dyDescent="0.25">
      <c r="B44" s="320" t="s">
        <v>45</v>
      </c>
      <c r="C44" s="338" t="s">
        <v>44</v>
      </c>
      <c r="D44" s="339">
        <f>'1.1 SALÁRIOS'!F26</f>
        <v>0</v>
      </c>
      <c r="E44" s="322">
        <v>1</v>
      </c>
      <c r="F44" s="322">
        <f>E44*D44</f>
        <v>0</v>
      </c>
    </row>
    <row r="45" spans="2:6" x14ac:dyDescent="0.25">
      <c r="B45" s="320" t="s">
        <v>43</v>
      </c>
      <c r="C45" s="338" t="s">
        <v>42</v>
      </c>
      <c r="D45" s="11">
        <f>'1.1 SALÁRIOS'!$F$23</f>
        <v>0</v>
      </c>
      <c r="E45" s="34">
        <v>0.2</v>
      </c>
      <c r="F45" s="11">
        <f>E45*D45</f>
        <v>0</v>
      </c>
    </row>
    <row r="46" spans="2:6" x14ac:dyDescent="0.25">
      <c r="B46" s="320" t="s">
        <v>41</v>
      </c>
      <c r="C46" s="338" t="s">
        <v>56</v>
      </c>
      <c r="D46" s="322"/>
      <c r="E46" s="322"/>
      <c r="F46" s="322"/>
    </row>
    <row r="47" spans="2:6" x14ac:dyDescent="0.25">
      <c r="B47" s="320" t="s">
        <v>39</v>
      </c>
      <c r="C47" s="338" t="s">
        <v>38</v>
      </c>
      <c r="D47" s="322"/>
      <c r="E47" s="322"/>
      <c r="F47" s="322"/>
    </row>
    <row r="48" spans="2:6" x14ac:dyDescent="0.25">
      <c r="B48" s="320" t="s">
        <v>37</v>
      </c>
      <c r="C48" s="338" t="s">
        <v>36</v>
      </c>
      <c r="D48" s="322"/>
      <c r="E48" s="322"/>
      <c r="F48" s="322"/>
    </row>
    <row r="49" spans="2:6" x14ac:dyDescent="0.25">
      <c r="B49" s="320" t="s">
        <v>35</v>
      </c>
      <c r="C49" s="338" t="s">
        <v>34</v>
      </c>
      <c r="D49" s="322"/>
      <c r="E49" s="322"/>
      <c r="F49" s="322"/>
    </row>
    <row r="50" spans="2:6" x14ac:dyDescent="0.25">
      <c r="B50" s="320" t="s">
        <v>33</v>
      </c>
      <c r="C50" s="337" t="s">
        <v>32</v>
      </c>
      <c r="D50" s="322"/>
      <c r="E50" s="322"/>
      <c r="F50" s="323">
        <f>SUM(F44:F49)</f>
        <v>0</v>
      </c>
    </row>
    <row r="51" spans="2:6" x14ac:dyDescent="0.25">
      <c r="B51" s="317" t="s">
        <v>31</v>
      </c>
      <c r="C51" s="324" t="s">
        <v>30</v>
      </c>
      <c r="D51" s="322">
        <f>F50</f>
        <v>0</v>
      </c>
      <c r="E51" s="14">
        <f>'1.1 SALÁRIOS'!$F$33</f>
        <v>0</v>
      </c>
      <c r="F51" s="323">
        <f>E51*D51</f>
        <v>0</v>
      </c>
    </row>
    <row r="52" spans="2:6" x14ac:dyDescent="0.25">
      <c r="B52" s="317" t="s">
        <v>29</v>
      </c>
      <c r="C52" s="324" t="s">
        <v>28</v>
      </c>
      <c r="D52" s="322"/>
      <c r="E52" s="322"/>
      <c r="F52" s="323">
        <f>SUM(F50:F51)</f>
        <v>0</v>
      </c>
    </row>
    <row r="53" spans="2:6" x14ac:dyDescent="0.25">
      <c r="B53" s="317" t="s">
        <v>27</v>
      </c>
      <c r="C53" s="324" t="s">
        <v>26</v>
      </c>
      <c r="D53" s="322"/>
      <c r="E53" s="322"/>
      <c r="F53" s="322"/>
    </row>
    <row r="54" spans="2:6" x14ac:dyDescent="0.25">
      <c r="B54" s="9" t="s">
        <v>25</v>
      </c>
      <c r="C54" s="15" t="s">
        <v>24</v>
      </c>
      <c r="D54" s="11">
        <f>'1.1 SALÁRIOS'!$F$35</f>
        <v>0</v>
      </c>
      <c r="E54" s="11">
        <v>25.25</v>
      </c>
      <c r="F54" s="11">
        <f>IF(2*E54*D54-0.06*D44&lt;0,0,2*E54*D54-0.06*D44)</f>
        <v>0</v>
      </c>
    </row>
    <row r="55" spans="2:6" x14ac:dyDescent="0.25">
      <c r="B55" s="9" t="s">
        <v>23</v>
      </c>
      <c r="C55" s="15" t="s">
        <v>369</v>
      </c>
      <c r="D55" s="11">
        <f>('1.1 SALÁRIOS'!$F$36+'1.1 SALÁRIOS'!$F$37)/12</f>
        <v>0</v>
      </c>
      <c r="E55" s="11">
        <v>1</v>
      </c>
      <c r="F55" s="11">
        <f>E55*D55</f>
        <v>0</v>
      </c>
    </row>
    <row r="56" spans="2:6" x14ac:dyDescent="0.25">
      <c r="B56" s="9" t="s">
        <v>22</v>
      </c>
      <c r="C56" s="15" t="s">
        <v>370</v>
      </c>
      <c r="D56" s="11">
        <f>'1.1 SALÁRIOS'!$F$38</f>
        <v>0</v>
      </c>
      <c r="E56" s="11">
        <f>E54</f>
        <v>25.25</v>
      </c>
      <c r="F56" s="11">
        <f>E56*D56</f>
        <v>0</v>
      </c>
    </row>
    <row r="57" spans="2:6" x14ac:dyDescent="0.25">
      <c r="B57" s="9" t="s">
        <v>21</v>
      </c>
      <c r="C57" s="15" t="s">
        <v>371</v>
      </c>
      <c r="D57" s="11">
        <f>'1.1 SALÁRIOS'!$F$39</f>
        <v>0</v>
      </c>
      <c r="E57" s="11">
        <v>1</v>
      </c>
      <c r="F57" s="11">
        <f>E57*D57</f>
        <v>0</v>
      </c>
    </row>
    <row r="58" spans="2:6" x14ac:dyDescent="0.25">
      <c r="B58" s="9" t="s">
        <v>374</v>
      </c>
      <c r="C58" s="15" t="s">
        <v>372</v>
      </c>
      <c r="D58" s="11">
        <f>'1.1 SALÁRIOS'!$F$40</f>
        <v>0</v>
      </c>
      <c r="E58" s="11">
        <v>1</v>
      </c>
      <c r="F58" s="11">
        <f>E58*D58</f>
        <v>0</v>
      </c>
    </row>
    <row r="59" spans="2:6" x14ac:dyDescent="0.25">
      <c r="B59" s="9" t="s">
        <v>375</v>
      </c>
      <c r="C59" s="15" t="s">
        <v>373</v>
      </c>
      <c r="D59" s="11">
        <f>'1.1 SALÁRIOS'!$F$41</f>
        <v>0</v>
      </c>
      <c r="E59" s="11">
        <v>1</v>
      </c>
      <c r="F59" s="11">
        <f>E59*D59</f>
        <v>0</v>
      </c>
    </row>
    <row r="60" spans="2:6" x14ac:dyDescent="0.25">
      <c r="B60" s="320" t="s">
        <v>57</v>
      </c>
      <c r="C60" s="324" t="s">
        <v>20</v>
      </c>
      <c r="D60" s="323"/>
      <c r="E60" s="323"/>
      <c r="F60" s="323">
        <f>SUM(F54:F59)</f>
        <v>0</v>
      </c>
    </row>
    <row r="61" spans="2:6" x14ac:dyDescent="0.25">
      <c r="B61" s="317" t="s">
        <v>19</v>
      </c>
      <c r="C61" s="324" t="s">
        <v>18</v>
      </c>
      <c r="D61" s="322"/>
      <c r="E61" s="322"/>
      <c r="F61" s="322"/>
    </row>
    <row r="62" spans="2:6" x14ac:dyDescent="0.25">
      <c r="B62" s="320" t="s">
        <v>17</v>
      </c>
      <c r="C62" s="340" t="s">
        <v>16</v>
      </c>
      <c r="D62" s="11" t="e">
        <f>VLOOKUP(C62,'1.1 CUSTO FERRAME-UNIFORME-EPI'!B:C,2,FALSE)</f>
        <v>#DIV/0!</v>
      </c>
      <c r="E62" s="328">
        <v>0.17</v>
      </c>
      <c r="F62" s="322" t="e">
        <f t="shared" ref="F62:F69" si="1">E62*D62</f>
        <v>#DIV/0!</v>
      </c>
    </row>
    <row r="63" spans="2:6" x14ac:dyDescent="0.25">
      <c r="B63" s="320" t="s">
        <v>15</v>
      </c>
      <c r="C63" s="340" t="s">
        <v>14</v>
      </c>
      <c r="D63" s="11" t="e">
        <f>VLOOKUP(C63,'1.1 CUSTO FERRAME-UNIFORME-EPI'!B:C,2,FALSE)</f>
        <v>#DIV/0!</v>
      </c>
      <c r="E63" s="328">
        <v>0.33</v>
      </c>
      <c r="F63" s="322" t="e">
        <f t="shared" si="1"/>
        <v>#DIV/0!</v>
      </c>
    </row>
    <row r="64" spans="2:6" x14ac:dyDescent="0.25">
      <c r="B64" s="320" t="s">
        <v>13</v>
      </c>
      <c r="C64" s="340" t="s">
        <v>12</v>
      </c>
      <c r="D64" s="11" t="e">
        <f>VLOOKUP(C64,'1.1 CUSTO FERRAME-UNIFORME-EPI'!B:C,2,FALSE)</f>
        <v>#DIV/0!</v>
      </c>
      <c r="E64" s="328">
        <v>0.33</v>
      </c>
      <c r="F64" s="322" t="e">
        <f t="shared" si="1"/>
        <v>#DIV/0!</v>
      </c>
    </row>
    <row r="65" spans="2:6" x14ac:dyDescent="0.25">
      <c r="B65" s="320" t="s">
        <v>11</v>
      </c>
      <c r="C65" s="340" t="s">
        <v>10</v>
      </c>
      <c r="D65" s="11">
        <f>VLOOKUP(C65,'1.1 CUSTO FERRAME-UNIFORME-EPI'!B:C,2,FALSE)</f>
        <v>0</v>
      </c>
      <c r="E65" s="328">
        <v>0.17</v>
      </c>
      <c r="F65" s="322">
        <f t="shared" si="1"/>
        <v>0</v>
      </c>
    </row>
    <row r="66" spans="2:6" x14ac:dyDescent="0.25">
      <c r="B66" s="320" t="s">
        <v>9</v>
      </c>
      <c r="C66" s="340" t="s">
        <v>8</v>
      </c>
      <c r="D66" s="11">
        <f>VLOOKUP(C66,'1.1 CUSTO FERRAME-UNIFORME-EPI'!B:C,2,FALSE)</f>
        <v>0</v>
      </c>
      <c r="E66" s="328">
        <v>0.17</v>
      </c>
      <c r="F66" s="322">
        <f t="shared" si="1"/>
        <v>0</v>
      </c>
    </row>
    <row r="67" spans="2:6" x14ac:dyDescent="0.25">
      <c r="B67" s="320" t="s">
        <v>7</v>
      </c>
      <c r="C67" s="340" t="s">
        <v>6</v>
      </c>
      <c r="D67" s="11">
        <f>VLOOKUP(C67,'1.1 CUSTO FERRAME-UNIFORME-EPI'!B:C,2,FALSE)</f>
        <v>0</v>
      </c>
      <c r="E67" s="328">
        <v>0.3</v>
      </c>
      <c r="F67" s="322">
        <f t="shared" si="1"/>
        <v>0</v>
      </c>
    </row>
    <row r="68" spans="2:6" x14ac:dyDescent="0.25">
      <c r="B68" s="320" t="s">
        <v>5</v>
      </c>
      <c r="C68" s="340" t="s">
        <v>4</v>
      </c>
      <c r="D68" s="11" t="e">
        <f>VLOOKUP(C68,'1.1 CUSTO FERRAME-UNIFORME-EPI'!B:C,2,FALSE)</f>
        <v>#DIV/0!</v>
      </c>
      <c r="E68" s="328">
        <v>0</v>
      </c>
      <c r="F68" s="322" t="e">
        <f t="shared" si="1"/>
        <v>#DIV/0!</v>
      </c>
    </row>
    <row r="69" spans="2:6" x14ac:dyDescent="0.25">
      <c r="B69" s="320" t="s">
        <v>3</v>
      </c>
      <c r="C69" s="326" t="s">
        <v>202</v>
      </c>
      <c r="D69" s="11" t="e">
        <f>VLOOKUP(C69,'1.1 CUSTO FERRAME-UNIFORME-EPI'!B:C,2,FALSE)</f>
        <v>#DIV/0!</v>
      </c>
      <c r="E69" s="329">
        <v>0.08</v>
      </c>
      <c r="F69" s="322" t="e">
        <f t="shared" si="1"/>
        <v>#DIV/0!</v>
      </c>
    </row>
    <row r="70" spans="2:6" x14ac:dyDescent="0.25">
      <c r="B70" s="320"/>
      <c r="C70" s="341" t="s">
        <v>2</v>
      </c>
      <c r="D70" s="330"/>
      <c r="E70" s="330"/>
      <c r="F70" s="331" t="e">
        <f>SUM(F62:F69)</f>
        <v>#DIV/0!</v>
      </c>
    </row>
    <row r="71" spans="2:6" x14ac:dyDescent="0.25">
      <c r="B71" s="342"/>
      <c r="C71" s="343"/>
      <c r="D71" s="344"/>
      <c r="E71" s="344"/>
      <c r="F71" s="345"/>
    </row>
    <row r="72" spans="2:6" x14ac:dyDescent="0.25">
      <c r="B72" s="333" t="s">
        <v>1</v>
      </c>
      <c r="C72" s="346" t="s">
        <v>0</v>
      </c>
      <c r="D72" s="335"/>
      <c r="E72" s="335"/>
      <c r="F72" s="336" t="e">
        <f>SUM(F70,F60,F52)</f>
        <v>#DIV/0!</v>
      </c>
    </row>
    <row r="75" spans="2:6" x14ac:dyDescent="0.25">
      <c r="B75" s="313" t="s">
        <v>54</v>
      </c>
      <c r="C75" s="313" t="s">
        <v>53</v>
      </c>
      <c r="D75" s="708" t="s">
        <v>403</v>
      </c>
      <c r="E75" s="708"/>
      <c r="F75" s="708"/>
    </row>
    <row r="76" spans="2:6" x14ac:dyDescent="0.25">
      <c r="B76" s="315"/>
      <c r="C76" s="315"/>
      <c r="D76" s="713"/>
      <c r="E76" s="713"/>
      <c r="F76" s="713"/>
    </row>
    <row r="77" spans="2:6" x14ac:dyDescent="0.25">
      <c r="B77" s="317" t="s">
        <v>52</v>
      </c>
      <c r="C77" s="337" t="s">
        <v>51</v>
      </c>
      <c r="D77" s="319" t="s">
        <v>50</v>
      </c>
      <c r="E77" s="319" t="s">
        <v>49</v>
      </c>
      <c r="F77" s="319" t="s">
        <v>48</v>
      </c>
    </row>
    <row r="78" spans="2:6" x14ac:dyDescent="0.25">
      <c r="B78" s="317" t="s">
        <v>47</v>
      </c>
      <c r="C78" s="337" t="s">
        <v>46</v>
      </c>
      <c r="D78" s="319"/>
      <c r="E78" s="319"/>
      <c r="F78" s="319"/>
    </row>
    <row r="79" spans="2:6" x14ac:dyDescent="0.25">
      <c r="B79" s="320" t="s">
        <v>45</v>
      </c>
      <c r="C79" s="338" t="s">
        <v>44</v>
      </c>
      <c r="D79" s="339">
        <f>'1.1 SALÁRIOS'!F7</f>
        <v>0</v>
      </c>
      <c r="E79" s="322">
        <v>1</v>
      </c>
      <c r="F79" s="322">
        <f>E79*D79</f>
        <v>0</v>
      </c>
    </row>
    <row r="80" spans="2:6" x14ac:dyDescent="0.25">
      <c r="B80" s="320" t="s">
        <v>43</v>
      </c>
      <c r="C80" s="338" t="s">
        <v>42</v>
      </c>
      <c r="D80" s="11">
        <f>'1.1 SALÁRIOS'!$F$23</f>
        <v>0</v>
      </c>
      <c r="E80" s="34">
        <v>0.2</v>
      </c>
      <c r="F80" s="11">
        <f>E80*D80</f>
        <v>0</v>
      </c>
    </row>
    <row r="81" spans="2:6" x14ac:dyDescent="0.25">
      <c r="B81" s="320" t="s">
        <v>41</v>
      </c>
      <c r="C81" s="338" t="s">
        <v>56</v>
      </c>
      <c r="D81" s="322"/>
      <c r="E81" s="322"/>
      <c r="F81" s="322"/>
    </row>
    <row r="82" spans="2:6" x14ac:dyDescent="0.25">
      <c r="B82" s="320" t="s">
        <v>39</v>
      </c>
      <c r="C82" s="338" t="s">
        <v>38</v>
      </c>
      <c r="D82" s="322"/>
      <c r="E82" s="322"/>
      <c r="F82" s="322"/>
    </row>
    <row r="83" spans="2:6" x14ac:dyDescent="0.25">
      <c r="B83" s="320" t="s">
        <v>37</v>
      </c>
      <c r="C83" s="338" t="s">
        <v>36</v>
      </c>
      <c r="D83" s="322"/>
      <c r="E83" s="322"/>
      <c r="F83" s="322"/>
    </row>
    <row r="84" spans="2:6" x14ac:dyDescent="0.25">
      <c r="B84" s="320" t="s">
        <v>35</v>
      </c>
      <c r="C84" s="338" t="s">
        <v>34</v>
      </c>
      <c r="D84" s="322"/>
      <c r="E84" s="322"/>
      <c r="F84" s="322"/>
    </row>
    <row r="85" spans="2:6" x14ac:dyDescent="0.25">
      <c r="B85" s="320"/>
      <c r="C85" s="337" t="s">
        <v>32</v>
      </c>
      <c r="D85" s="322"/>
      <c r="E85" s="322"/>
      <c r="F85" s="323">
        <f>SUM(F79:F84)</f>
        <v>0</v>
      </c>
    </row>
    <row r="86" spans="2:6" x14ac:dyDescent="0.25">
      <c r="B86" s="317" t="s">
        <v>31</v>
      </c>
      <c r="C86" s="347" t="s">
        <v>30</v>
      </c>
      <c r="D86" s="348">
        <f>F85</f>
        <v>0</v>
      </c>
      <c r="E86" s="14">
        <f>'1.1 SALÁRIOS'!$F$33</f>
        <v>0</v>
      </c>
      <c r="F86" s="322">
        <f>E86*D86</f>
        <v>0</v>
      </c>
    </row>
    <row r="87" spans="2:6" x14ac:dyDescent="0.25">
      <c r="B87" s="317" t="s">
        <v>29</v>
      </c>
      <c r="C87" s="324" t="s">
        <v>28</v>
      </c>
      <c r="D87" s="322"/>
      <c r="E87" s="322"/>
      <c r="F87" s="323">
        <f>SUM(F85:F86)</f>
        <v>0</v>
      </c>
    </row>
    <row r="88" spans="2:6" x14ac:dyDescent="0.25">
      <c r="B88" s="317" t="s">
        <v>27</v>
      </c>
      <c r="C88" s="324" t="s">
        <v>26</v>
      </c>
      <c r="D88" s="322"/>
      <c r="E88" s="322"/>
      <c r="F88" s="322"/>
    </row>
    <row r="89" spans="2:6" x14ac:dyDescent="0.25">
      <c r="B89" s="9" t="s">
        <v>25</v>
      </c>
      <c r="C89" s="15" t="s">
        <v>24</v>
      </c>
      <c r="D89" s="11">
        <f>'1.1 SALÁRIOS'!$F$35</f>
        <v>0</v>
      </c>
      <c r="E89" s="11">
        <v>25.25</v>
      </c>
      <c r="F89" s="11">
        <f>IF(2*E89*D89-0.06*D79&lt;0,0,2*E89*D89-0.06*D79)</f>
        <v>0</v>
      </c>
    </row>
    <row r="90" spans="2:6" x14ac:dyDescent="0.25">
      <c r="B90" s="9" t="s">
        <v>23</v>
      </c>
      <c r="C90" s="15" t="s">
        <v>369</v>
      </c>
      <c r="D90" s="11">
        <f>('1.1 SALÁRIOS'!$F$36+'1.1 SALÁRIOS'!$F$37)/12</f>
        <v>0</v>
      </c>
      <c r="E90" s="11">
        <v>1</v>
      </c>
      <c r="F90" s="11">
        <f>E90*D90</f>
        <v>0</v>
      </c>
    </row>
    <row r="91" spans="2:6" x14ac:dyDescent="0.25">
      <c r="B91" s="9" t="s">
        <v>22</v>
      </c>
      <c r="C91" s="15" t="s">
        <v>370</v>
      </c>
      <c r="D91" s="11">
        <f>'1.1 SALÁRIOS'!$F$38</f>
        <v>0</v>
      </c>
      <c r="E91" s="11">
        <f>E89</f>
        <v>25.25</v>
      </c>
      <c r="F91" s="11">
        <f>E91*D91</f>
        <v>0</v>
      </c>
    </row>
    <row r="92" spans="2:6" x14ac:dyDescent="0.25">
      <c r="B92" s="9" t="s">
        <v>21</v>
      </c>
      <c r="C92" s="15" t="s">
        <v>371</v>
      </c>
      <c r="D92" s="11">
        <f>'1.1 SALÁRIOS'!$F$39</f>
        <v>0</v>
      </c>
      <c r="E92" s="11">
        <v>1</v>
      </c>
      <c r="F92" s="11">
        <f>E92*D92</f>
        <v>0</v>
      </c>
    </row>
    <row r="93" spans="2:6" x14ac:dyDescent="0.25">
      <c r="B93" s="9" t="s">
        <v>374</v>
      </c>
      <c r="C93" s="15" t="s">
        <v>372</v>
      </c>
      <c r="D93" s="11">
        <f>'1.1 SALÁRIOS'!$F$40</f>
        <v>0</v>
      </c>
      <c r="E93" s="11">
        <v>1</v>
      </c>
      <c r="F93" s="11">
        <f>E93*D93</f>
        <v>0</v>
      </c>
    </row>
    <row r="94" spans="2:6" x14ac:dyDescent="0.25">
      <c r="B94" s="9" t="s">
        <v>375</v>
      </c>
      <c r="C94" s="15" t="s">
        <v>373</v>
      </c>
      <c r="D94" s="11">
        <f>'1.1 SALÁRIOS'!$F$41</f>
        <v>0</v>
      </c>
      <c r="E94" s="11">
        <v>1</v>
      </c>
      <c r="F94" s="11">
        <f>E94*D94</f>
        <v>0</v>
      </c>
    </row>
    <row r="95" spans="2:6" x14ac:dyDescent="0.25">
      <c r="B95" s="320"/>
      <c r="C95" s="324" t="s">
        <v>20</v>
      </c>
      <c r="D95" s="323"/>
      <c r="E95" s="323"/>
      <c r="F95" s="323">
        <f>SUM(F89:F94)</f>
        <v>0</v>
      </c>
    </row>
    <row r="96" spans="2:6" x14ac:dyDescent="0.25">
      <c r="B96" s="317" t="s">
        <v>19</v>
      </c>
      <c r="C96" s="324" t="s">
        <v>18</v>
      </c>
      <c r="D96" s="322"/>
      <c r="E96" s="322"/>
      <c r="F96" s="322"/>
    </row>
    <row r="97" spans="2:6" x14ac:dyDescent="0.25">
      <c r="B97" s="320" t="s">
        <v>17</v>
      </c>
      <c r="C97" s="340" t="s">
        <v>16</v>
      </c>
      <c r="D97" s="11" t="e">
        <f>VLOOKUP(C97,'1.1 CUSTO FERRAME-UNIFORME-EPI'!B:C,2,FALSE)</f>
        <v>#DIV/0!</v>
      </c>
      <c r="E97" s="328">
        <v>0.25</v>
      </c>
      <c r="F97" s="322" t="e">
        <f t="shared" ref="F97:F106" si="2">E97*D97</f>
        <v>#DIV/0!</v>
      </c>
    </row>
    <row r="98" spans="2:6" x14ac:dyDescent="0.25">
      <c r="B98" s="320" t="s">
        <v>15</v>
      </c>
      <c r="C98" s="340" t="s">
        <v>210</v>
      </c>
      <c r="D98" s="11">
        <f>VLOOKUP(C98,'1.1 CUSTO FERRAME-UNIFORME-EPI'!B:C,2,FALSE)</f>
        <v>0</v>
      </c>
      <c r="E98" s="328">
        <v>0.5</v>
      </c>
      <c r="F98" s="322">
        <f t="shared" si="2"/>
        <v>0</v>
      </c>
    </row>
    <row r="99" spans="2:6" x14ac:dyDescent="0.25">
      <c r="B99" s="320" t="s">
        <v>13</v>
      </c>
      <c r="C99" s="340" t="s">
        <v>209</v>
      </c>
      <c r="D99" s="11">
        <f>VLOOKUP(C99,'1.1 CUSTO FERRAME-UNIFORME-EPI'!B:C,2,FALSE)</f>
        <v>0</v>
      </c>
      <c r="E99" s="328">
        <v>0.5</v>
      </c>
      <c r="F99" s="322">
        <f t="shared" si="2"/>
        <v>0</v>
      </c>
    </row>
    <row r="100" spans="2:6" x14ac:dyDescent="0.25">
      <c r="B100" s="320" t="s">
        <v>11</v>
      </c>
      <c r="C100" s="340" t="s">
        <v>205</v>
      </c>
      <c r="D100" s="11">
        <f>VLOOKUP(C100,'1.1 CUSTO FERRAME-UNIFORME-EPI'!B:C,2,FALSE)</f>
        <v>0</v>
      </c>
      <c r="E100" s="328">
        <v>0.25</v>
      </c>
      <c r="F100" s="322">
        <f t="shared" si="2"/>
        <v>0</v>
      </c>
    </row>
    <row r="101" spans="2:6" x14ac:dyDescent="0.25">
      <c r="B101" s="320" t="s">
        <v>9</v>
      </c>
      <c r="C101" s="340" t="s">
        <v>58</v>
      </c>
      <c r="D101" s="11" t="e">
        <f>VLOOKUP(C101,'1.1 CUSTO FERRAME-UNIFORME-EPI'!B:C,2,FALSE)</f>
        <v>#DIV/0!</v>
      </c>
      <c r="E101" s="328">
        <v>0.25</v>
      </c>
      <c r="F101" s="322" t="e">
        <f t="shared" si="2"/>
        <v>#DIV/0!</v>
      </c>
    </row>
    <row r="102" spans="2:6" x14ac:dyDescent="0.25">
      <c r="B102" s="320" t="s">
        <v>7</v>
      </c>
      <c r="C102" s="340" t="s">
        <v>8</v>
      </c>
      <c r="D102" s="11">
        <f>VLOOKUP(C102,'1.1 CUSTO FERRAME-UNIFORME-EPI'!B:C,2,FALSE)</f>
        <v>0</v>
      </c>
      <c r="E102" s="328">
        <v>0.17</v>
      </c>
      <c r="F102" s="322">
        <f t="shared" si="2"/>
        <v>0</v>
      </c>
    </row>
    <row r="103" spans="2:6" x14ac:dyDescent="0.25">
      <c r="B103" s="320" t="s">
        <v>5</v>
      </c>
      <c r="C103" s="340" t="s">
        <v>204</v>
      </c>
      <c r="D103" s="11">
        <f>VLOOKUP(C103,'1.1 CUSTO FERRAME-UNIFORME-EPI'!B:C,2,FALSE)</f>
        <v>0</v>
      </c>
      <c r="E103" s="328">
        <v>0.5</v>
      </c>
      <c r="F103" s="322">
        <f t="shared" si="2"/>
        <v>0</v>
      </c>
    </row>
    <row r="104" spans="2:6" x14ac:dyDescent="0.25">
      <c r="B104" s="320" t="s">
        <v>3</v>
      </c>
      <c r="C104" s="340" t="s">
        <v>203</v>
      </c>
      <c r="D104" s="11">
        <f>VLOOKUP(C104,'1.1 CUSTO FERRAME-UNIFORME-EPI'!B:C,2,FALSE)</f>
        <v>0</v>
      </c>
      <c r="E104" s="328">
        <v>2.17</v>
      </c>
      <c r="F104" s="322">
        <f t="shared" si="2"/>
        <v>0</v>
      </c>
    </row>
    <row r="105" spans="2:6" x14ac:dyDescent="0.25">
      <c r="B105" s="320" t="s">
        <v>60</v>
      </c>
      <c r="C105" s="340" t="s">
        <v>6</v>
      </c>
      <c r="D105" s="11">
        <f>VLOOKUP(C105,'1.1 CUSTO FERRAME-UNIFORME-EPI'!B:C,2,FALSE)</f>
        <v>0</v>
      </c>
      <c r="E105" s="328">
        <v>0.3</v>
      </c>
      <c r="F105" s="322">
        <f t="shared" si="2"/>
        <v>0</v>
      </c>
    </row>
    <row r="106" spans="2:6" x14ac:dyDescent="0.25">
      <c r="B106" s="320" t="s">
        <v>400</v>
      </c>
      <c r="C106" s="326" t="s">
        <v>202</v>
      </c>
      <c r="D106" s="11" t="e">
        <f>VLOOKUP(C106,'1.1 CUSTO FERRAME-UNIFORME-EPI'!B:C,2,FALSE)</f>
        <v>#DIV/0!</v>
      </c>
      <c r="E106" s="329">
        <v>0.08</v>
      </c>
      <c r="F106" s="322" t="e">
        <f t="shared" si="2"/>
        <v>#DIV/0!</v>
      </c>
    </row>
    <row r="107" spans="2:6" x14ac:dyDescent="0.25">
      <c r="B107" s="320"/>
      <c r="C107" s="341" t="s">
        <v>2</v>
      </c>
      <c r="D107" s="330"/>
      <c r="E107" s="330"/>
      <c r="F107" s="331" t="e">
        <f>SUM(F97:F106)</f>
        <v>#DIV/0!</v>
      </c>
    </row>
    <row r="108" spans="2:6" x14ac:dyDescent="0.25">
      <c r="B108" s="342"/>
      <c r="C108" s="343"/>
      <c r="D108" s="344"/>
      <c r="E108" s="344"/>
      <c r="F108" s="345"/>
    </row>
    <row r="109" spans="2:6" x14ac:dyDescent="0.25">
      <c r="B109" s="333" t="s">
        <v>1</v>
      </c>
      <c r="C109" s="346" t="s">
        <v>0</v>
      </c>
      <c r="D109" s="335"/>
      <c r="E109" s="335"/>
      <c r="F109" s="336" t="e">
        <f>F107+F95+F87</f>
        <v>#DIV/0!</v>
      </c>
    </row>
    <row r="112" spans="2:6" x14ac:dyDescent="0.25">
      <c r="B112" s="313" t="s">
        <v>54</v>
      </c>
      <c r="C112" s="313" t="s">
        <v>53</v>
      </c>
      <c r="D112" s="705" t="s">
        <v>66</v>
      </c>
      <c r="E112" s="706"/>
      <c r="F112" s="707"/>
    </row>
    <row r="113" spans="2:6" x14ac:dyDescent="0.25">
      <c r="B113" s="320"/>
      <c r="C113" s="340"/>
      <c r="D113" s="322"/>
      <c r="E113" s="328"/>
      <c r="F113" s="322"/>
    </row>
    <row r="114" spans="2:6" x14ac:dyDescent="0.25">
      <c r="B114" s="317" t="s">
        <v>52</v>
      </c>
      <c r="C114" s="324" t="s">
        <v>51</v>
      </c>
      <c r="D114" s="323"/>
      <c r="E114" s="349"/>
      <c r="F114" s="323"/>
    </row>
    <row r="115" spans="2:6" x14ac:dyDescent="0.25">
      <c r="B115" s="317" t="s">
        <v>47</v>
      </c>
      <c r="C115" s="324" t="s">
        <v>46</v>
      </c>
      <c r="D115" s="323"/>
      <c r="E115" s="349"/>
      <c r="F115" s="323"/>
    </row>
    <row r="116" spans="2:6" x14ac:dyDescent="0.25">
      <c r="B116" s="320" t="s">
        <v>45</v>
      </c>
      <c r="C116" s="340" t="s">
        <v>44</v>
      </c>
      <c r="D116" s="322">
        <f>'1.1 SALÁRIOS'!$F$28</f>
        <v>0</v>
      </c>
      <c r="E116" s="328">
        <v>1</v>
      </c>
      <c r="F116" s="322">
        <f>E116*D116</f>
        <v>0</v>
      </c>
    </row>
    <row r="117" spans="2:6" x14ac:dyDescent="0.25">
      <c r="B117" s="320" t="s">
        <v>43</v>
      </c>
      <c r="C117" s="340" t="s">
        <v>42</v>
      </c>
      <c r="D117" s="11">
        <f>'1.1 SALÁRIOS'!$F$23</f>
        <v>0</v>
      </c>
      <c r="E117" s="34">
        <v>0.2</v>
      </c>
      <c r="F117" s="11">
        <f>E117*D117</f>
        <v>0</v>
      </c>
    </row>
    <row r="118" spans="2:6" x14ac:dyDescent="0.25">
      <c r="B118" s="320" t="s">
        <v>41</v>
      </c>
      <c r="C118" s="340" t="s">
        <v>40</v>
      </c>
      <c r="D118" s="322"/>
      <c r="E118" s="328"/>
      <c r="F118" s="322"/>
    </row>
    <row r="119" spans="2:6" x14ac:dyDescent="0.25">
      <c r="B119" s="320" t="s">
        <v>39</v>
      </c>
      <c r="C119" s="340" t="s">
        <v>38</v>
      </c>
      <c r="D119" s="322"/>
      <c r="E119" s="328"/>
      <c r="F119" s="322"/>
    </row>
    <row r="120" spans="2:6" x14ac:dyDescent="0.25">
      <c r="B120" s="320" t="s">
        <v>37</v>
      </c>
      <c r="C120" s="340" t="s">
        <v>36</v>
      </c>
      <c r="D120" s="322"/>
      <c r="E120" s="328"/>
      <c r="F120" s="322"/>
    </row>
    <row r="121" spans="2:6" x14ac:dyDescent="0.25">
      <c r="B121" s="320" t="s">
        <v>35</v>
      </c>
      <c r="C121" s="340" t="s">
        <v>34</v>
      </c>
      <c r="D121" s="322"/>
      <c r="E121" s="328"/>
      <c r="F121" s="322"/>
    </row>
    <row r="122" spans="2:6" x14ac:dyDescent="0.25">
      <c r="B122" s="317"/>
      <c r="C122" s="324" t="s">
        <v>32</v>
      </c>
      <c r="D122" s="323"/>
      <c r="E122" s="349"/>
      <c r="F122" s="323">
        <f>SUM(F116:F121)</f>
        <v>0</v>
      </c>
    </row>
    <row r="123" spans="2:6" x14ac:dyDescent="0.25">
      <c r="B123" s="317" t="s">
        <v>31</v>
      </c>
      <c r="C123" s="324" t="s">
        <v>65</v>
      </c>
      <c r="D123" s="322">
        <f>F122</f>
        <v>0</v>
      </c>
      <c r="E123" s="14">
        <f>'1.1 SALÁRIOS'!$F$33</f>
        <v>0</v>
      </c>
      <c r="F123" s="322">
        <f>E123*D123</f>
        <v>0</v>
      </c>
    </row>
    <row r="124" spans="2:6" x14ac:dyDescent="0.25">
      <c r="B124" s="317" t="s">
        <v>29</v>
      </c>
      <c r="C124" s="324" t="s">
        <v>28</v>
      </c>
      <c r="D124" s="323"/>
      <c r="E124" s="349"/>
      <c r="F124" s="323">
        <f>SUM(F122:F123)</f>
        <v>0</v>
      </c>
    </row>
    <row r="125" spans="2:6" x14ac:dyDescent="0.25">
      <c r="B125" s="317" t="s">
        <v>27</v>
      </c>
      <c r="C125" s="324" t="s">
        <v>26</v>
      </c>
      <c r="D125" s="322"/>
      <c r="E125" s="328"/>
      <c r="F125" s="322"/>
    </row>
    <row r="126" spans="2:6" x14ac:dyDescent="0.25">
      <c r="B126" s="9" t="s">
        <v>25</v>
      </c>
      <c r="C126" s="15" t="s">
        <v>24</v>
      </c>
      <c r="D126" s="11">
        <f>'1.1 SALÁRIOS'!$F$35</f>
        <v>0</v>
      </c>
      <c r="E126" s="11">
        <v>25.25</v>
      </c>
      <c r="F126" s="11">
        <f>IF(2*E126*D126-0.06*D116&lt;0,0,2*E126*D126-0.06*D116)</f>
        <v>0</v>
      </c>
    </row>
    <row r="127" spans="2:6" x14ac:dyDescent="0.25">
      <c r="B127" s="9" t="s">
        <v>23</v>
      </c>
      <c r="C127" s="15" t="s">
        <v>369</v>
      </c>
      <c r="D127" s="11">
        <f>('1.1 SALÁRIOS'!$F$36+'1.1 SALÁRIOS'!$F$37)/12</f>
        <v>0</v>
      </c>
      <c r="E127" s="11">
        <v>1</v>
      </c>
      <c r="F127" s="11">
        <f>E127*D127</f>
        <v>0</v>
      </c>
    </row>
    <row r="128" spans="2:6" x14ac:dyDescent="0.25">
      <c r="B128" s="9" t="s">
        <v>22</v>
      </c>
      <c r="C128" s="15" t="s">
        <v>370</v>
      </c>
      <c r="D128" s="11">
        <f>'1.1 SALÁRIOS'!$F$38</f>
        <v>0</v>
      </c>
      <c r="E128" s="11">
        <f>E126</f>
        <v>25.25</v>
      </c>
      <c r="F128" s="11">
        <f>E128*D128</f>
        <v>0</v>
      </c>
    </row>
    <row r="129" spans="2:6" x14ac:dyDescent="0.25">
      <c r="B129" s="9" t="s">
        <v>21</v>
      </c>
      <c r="C129" s="15" t="s">
        <v>371</v>
      </c>
      <c r="D129" s="11">
        <f>'1.1 SALÁRIOS'!$F$39</f>
        <v>0</v>
      </c>
      <c r="E129" s="11">
        <v>1</v>
      </c>
      <c r="F129" s="11">
        <f>E129*D129</f>
        <v>0</v>
      </c>
    </row>
    <row r="130" spans="2:6" x14ac:dyDescent="0.25">
      <c r="B130" s="9" t="s">
        <v>374</v>
      </c>
      <c r="C130" s="15" t="s">
        <v>372</v>
      </c>
      <c r="D130" s="11">
        <f>'1.1 SALÁRIOS'!$F$40</f>
        <v>0</v>
      </c>
      <c r="E130" s="11">
        <v>1</v>
      </c>
      <c r="F130" s="11">
        <f>E130*D130</f>
        <v>0</v>
      </c>
    </row>
    <row r="131" spans="2:6" x14ac:dyDescent="0.25">
      <c r="B131" s="9" t="s">
        <v>375</v>
      </c>
      <c r="C131" s="15" t="s">
        <v>373</v>
      </c>
      <c r="D131" s="11">
        <f>'1.1 SALÁRIOS'!$F$41</f>
        <v>0</v>
      </c>
      <c r="E131" s="11">
        <v>1</v>
      </c>
      <c r="F131" s="11">
        <f>E131*D131</f>
        <v>0</v>
      </c>
    </row>
    <row r="132" spans="2:6" x14ac:dyDescent="0.25">
      <c r="B132" s="317"/>
      <c r="C132" s="324" t="s">
        <v>20</v>
      </c>
      <c r="D132" s="323"/>
      <c r="E132" s="349"/>
      <c r="F132" s="323">
        <f>SUM(F126:F131)</f>
        <v>0</v>
      </c>
    </row>
    <row r="133" spans="2:6" x14ac:dyDescent="0.25">
      <c r="B133" s="317" t="s">
        <v>19</v>
      </c>
      <c r="C133" s="324" t="s">
        <v>18</v>
      </c>
      <c r="D133" s="322"/>
      <c r="E133" s="328"/>
      <c r="F133" s="322"/>
    </row>
    <row r="134" spans="2:6" x14ac:dyDescent="0.25">
      <c r="B134" s="320" t="s">
        <v>17</v>
      </c>
      <c r="C134" s="340" t="s">
        <v>16</v>
      </c>
      <c r="D134" s="11" t="e">
        <f>VLOOKUP(C134,'1.1 CUSTO FERRAME-UNIFORME-EPI'!B:C,2,FALSE)</f>
        <v>#DIV/0!</v>
      </c>
      <c r="E134" s="328">
        <v>0.17</v>
      </c>
      <c r="F134" s="322" t="e">
        <f t="shared" ref="F134:F140" si="3">E134*D134</f>
        <v>#DIV/0!</v>
      </c>
    </row>
    <row r="135" spans="2:6" x14ac:dyDescent="0.25">
      <c r="B135" s="320" t="s">
        <v>15</v>
      </c>
      <c r="C135" s="340" t="s">
        <v>14</v>
      </c>
      <c r="D135" s="11" t="e">
        <f>VLOOKUP(C135,'1.1 CUSTO FERRAME-UNIFORME-EPI'!B:C,2,FALSE)</f>
        <v>#DIV/0!</v>
      </c>
      <c r="E135" s="328">
        <v>0.4</v>
      </c>
      <c r="F135" s="322" t="e">
        <f t="shared" si="3"/>
        <v>#DIV/0!</v>
      </c>
    </row>
    <row r="136" spans="2:6" x14ac:dyDescent="0.25">
      <c r="B136" s="320" t="s">
        <v>13</v>
      </c>
      <c r="C136" s="340" t="s">
        <v>12</v>
      </c>
      <c r="D136" s="11" t="e">
        <f>VLOOKUP(C136,'1.1 CUSTO FERRAME-UNIFORME-EPI'!B:C,2,FALSE)</f>
        <v>#DIV/0!</v>
      </c>
      <c r="E136" s="328">
        <v>0.4</v>
      </c>
      <c r="F136" s="322" t="e">
        <f t="shared" si="3"/>
        <v>#DIV/0!</v>
      </c>
    </row>
    <row r="137" spans="2:6" x14ac:dyDescent="0.25">
      <c r="B137" s="320" t="s">
        <v>11</v>
      </c>
      <c r="C137" s="340" t="s">
        <v>10</v>
      </c>
      <c r="D137" s="11">
        <f>VLOOKUP(C137,'1.1 CUSTO FERRAME-UNIFORME-EPI'!B:C,2,FALSE)</f>
        <v>0</v>
      </c>
      <c r="E137" s="328">
        <v>0.17</v>
      </c>
      <c r="F137" s="322">
        <f t="shared" si="3"/>
        <v>0</v>
      </c>
    </row>
    <row r="138" spans="2:6" x14ac:dyDescent="0.25">
      <c r="B138" s="320" t="s">
        <v>9</v>
      </c>
      <c r="C138" s="340" t="s">
        <v>8</v>
      </c>
      <c r="D138" s="11">
        <f>VLOOKUP(C138,'1.1 CUSTO FERRAME-UNIFORME-EPI'!B:C,2,FALSE)</f>
        <v>0</v>
      </c>
      <c r="E138" s="328">
        <v>0.17</v>
      </c>
      <c r="F138" s="322">
        <f t="shared" si="3"/>
        <v>0</v>
      </c>
    </row>
    <row r="139" spans="2:6" x14ac:dyDescent="0.25">
      <c r="B139" s="320" t="s">
        <v>7</v>
      </c>
      <c r="C139" s="340" t="s">
        <v>208</v>
      </c>
      <c r="D139" s="11">
        <f>VLOOKUP(C139,'1.1 CUSTO FERRAME-UNIFORME-EPI'!B:C,2,FALSE)</f>
        <v>0</v>
      </c>
      <c r="E139" s="328">
        <v>0.25</v>
      </c>
      <c r="F139" s="322">
        <f t="shared" si="3"/>
        <v>0</v>
      </c>
    </row>
    <row r="140" spans="2:6" x14ac:dyDescent="0.25">
      <c r="B140" s="320" t="s">
        <v>5</v>
      </c>
      <c r="C140" s="340" t="s">
        <v>6</v>
      </c>
      <c r="D140" s="11">
        <f>VLOOKUP(C140,'1.1 CUSTO FERRAME-UNIFORME-EPI'!B:C,2,FALSE)</f>
        <v>0</v>
      </c>
      <c r="E140" s="328">
        <v>0.33</v>
      </c>
      <c r="F140" s="322">
        <f t="shared" si="3"/>
        <v>0</v>
      </c>
    </row>
    <row r="141" spans="2:6" x14ac:dyDescent="0.25">
      <c r="B141" s="317"/>
      <c r="C141" s="324" t="s">
        <v>2</v>
      </c>
      <c r="D141" s="323"/>
      <c r="E141" s="349"/>
      <c r="F141" s="323" t="e">
        <f>SUM(F134:F140)</f>
        <v>#DIV/0!</v>
      </c>
    </row>
    <row r="142" spans="2:6" x14ac:dyDescent="0.25">
      <c r="B142" s="333" t="s">
        <v>1</v>
      </c>
      <c r="C142" s="346" t="s">
        <v>0</v>
      </c>
      <c r="D142" s="335"/>
      <c r="E142" s="335"/>
      <c r="F142" s="336" t="e">
        <f>F141+F132+F124</f>
        <v>#DIV/0!</v>
      </c>
    </row>
    <row r="145" spans="2:6" x14ac:dyDescent="0.25">
      <c r="B145" s="313" t="s">
        <v>54</v>
      </c>
      <c r="C145" s="313" t="s">
        <v>53</v>
      </c>
      <c r="D145" s="708" t="s">
        <v>67</v>
      </c>
      <c r="E145" s="708"/>
      <c r="F145" s="708"/>
    </row>
    <row r="146" spans="2:6" x14ac:dyDescent="0.25">
      <c r="B146" s="320"/>
      <c r="C146" s="340"/>
      <c r="D146" s="322"/>
      <c r="E146" s="328"/>
      <c r="F146" s="322"/>
    </row>
    <row r="147" spans="2:6" x14ac:dyDescent="0.25">
      <c r="B147" s="317" t="s">
        <v>52</v>
      </c>
      <c r="C147" s="324" t="s">
        <v>51</v>
      </c>
      <c r="D147" s="323"/>
      <c r="E147" s="349"/>
      <c r="F147" s="323"/>
    </row>
    <row r="148" spans="2:6" x14ac:dyDescent="0.25">
      <c r="B148" s="317" t="s">
        <v>47</v>
      </c>
      <c r="C148" s="324" t="s">
        <v>46</v>
      </c>
      <c r="D148" s="323"/>
      <c r="E148" s="349"/>
      <c r="F148" s="323"/>
    </row>
    <row r="149" spans="2:6" x14ac:dyDescent="0.25">
      <c r="B149" s="320" t="s">
        <v>45</v>
      </c>
      <c r="C149" s="340" t="s">
        <v>44</v>
      </c>
      <c r="D149" s="322">
        <f>'1.1 SALÁRIOS'!$F$28</f>
        <v>0</v>
      </c>
      <c r="E149" s="328">
        <v>1</v>
      </c>
      <c r="F149" s="322">
        <f>E149*D149</f>
        <v>0</v>
      </c>
    </row>
    <row r="150" spans="2:6" x14ac:dyDescent="0.25">
      <c r="B150" s="320" t="s">
        <v>43</v>
      </c>
      <c r="C150" s="340" t="s">
        <v>42</v>
      </c>
      <c r="D150" s="11">
        <f>'1.1 SALÁRIOS'!$F$23</f>
        <v>0</v>
      </c>
      <c r="E150" s="34">
        <v>0.2</v>
      </c>
      <c r="F150" s="11">
        <f>E150*D150</f>
        <v>0</v>
      </c>
    </row>
    <row r="151" spans="2:6" x14ac:dyDescent="0.25">
      <c r="B151" s="320" t="s">
        <v>41</v>
      </c>
      <c r="C151" s="340" t="s">
        <v>40</v>
      </c>
      <c r="D151" s="322"/>
      <c r="E151" s="328"/>
      <c r="F151" s="322"/>
    </row>
    <row r="152" spans="2:6" x14ac:dyDescent="0.25">
      <c r="B152" s="320" t="s">
        <v>39</v>
      </c>
      <c r="C152" s="340" t="s">
        <v>38</v>
      </c>
      <c r="D152" s="322"/>
      <c r="E152" s="328"/>
      <c r="F152" s="322"/>
    </row>
    <row r="153" spans="2:6" x14ac:dyDescent="0.25">
      <c r="B153" s="320" t="s">
        <v>37</v>
      </c>
      <c r="C153" s="340" t="s">
        <v>36</v>
      </c>
      <c r="D153" s="322"/>
      <c r="E153" s="328"/>
      <c r="F153" s="322"/>
    </row>
    <row r="154" spans="2:6" x14ac:dyDescent="0.25">
      <c r="B154" s="320" t="s">
        <v>35</v>
      </c>
      <c r="C154" s="340" t="s">
        <v>34</v>
      </c>
      <c r="D154" s="322"/>
      <c r="E154" s="328"/>
      <c r="F154" s="322"/>
    </row>
    <row r="155" spans="2:6" x14ac:dyDescent="0.25">
      <c r="B155" s="317"/>
      <c r="C155" s="324" t="s">
        <v>32</v>
      </c>
      <c r="D155" s="323"/>
      <c r="E155" s="349"/>
      <c r="F155" s="323">
        <f>SUM(F149:F154)</f>
        <v>0</v>
      </c>
    </row>
    <row r="156" spans="2:6" x14ac:dyDescent="0.25">
      <c r="B156" s="317" t="s">
        <v>31</v>
      </c>
      <c r="C156" s="324" t="s">
        <v>65</v>
      </c>
      <c r="D156" s="322">
        <f>F155</f>
        <v>0</v>
      </c>
      <c r="E156" s="14">
        <f>'1.1 SALÁRIOS'!$F$33</f>
        <v>0</v>
      </c>
      <c r="F156" s="322">
        <f>E156*D156</f>
        <v>0</v>
      </c>
    </row>
    <row r="157" spans="2:6" x14ac:dyDescent="0.25">
      <c r="B157" s="317" t="s">
        <v>29</v>
      </c>
      <c r="C157" s="324" t="s">
        <v>28</v>
      </c>
      <c r="D157" s="323"/>
      <c r="E157" s="349"/>
      <c r="F157" s="323">
        <f>SUM(F155:F156)</f>
        <v>0</v>
      </c>
    </row>
    <row r="158" spans="2:6" x14ac:dyDescent="0.25">
      <c r="B158" s="317" t="s">
        <v>27</v>
      </c>
      <c r="C158" s="324" t="s">
        <v>26</v>
      </c>
      <c r="D158" s="323"/>
      <c r="E158" s="349"/>
      <c r="F158" s="322"/>
    </row>
    <row r="159" spans="2:6" x14ac:dyDescent="0.25">
      <c r="B159" s="9" t="s">
        <v>25</v>
      </c>
      <c r="C159" s="15" t="s">
        <v>24</v>
      </c>
      <c r="D159" s="11">
        <f>'1.1 SALÁRIOS'!$F$35</f>
        <v>0</v>
      </c>
      <c r="E159" s="11">
        <v>25.25</v>
      </c>
      <c r="F159" s="11">
        <f>IF(2*E159*D159-0.06*D149&lt;0,0,2*E159*D159-0.06*D149)</f>
        <v>0</v>
      </c>
    </row>
    <row r="160" spans="2:6" x14ac:dyDescent="0.25">
      <c r="B160" s="9" t="s">
        <v>23</v>
      </c>
      <c r="C160" s="15" t="s">
        <v>369</v>
      </c>
      <c r="D160" s="11">
        <f>('1.1 SALÁRIOS'!$F$36+'1.1 SALÁRIOS'!$F$37)/12</f>
        <v>0</v>
      </c>
      <c r="E160" s="11">
        <v>1</v>
      </c>
      <c r="F160" s="11">
        <f>E160*D160</f>
        <v>0</v>
      </c>
    </row>
    <row r="161" spans="2:10" x14ac:dyDescent="0.25">
      <c r="B161" s="9" t="s">
        <v>22</v>
      </c>
      <c r="C161" s="15" t="s">
        <v>370</v>
      </c>
      <c r="D161" s="11">
        <f>'1.1 SALÁRIOS'!$F$38</f>
        <v>0</v>
      </c>
      <c r="E161" s="11">
        <f>E159</f>
        <v>25.25</v>
      </c>
      <c r="F161" s="11">
        <f>E161*D161</f>
        <v>0</v>
      </c>
    </row>
    <row r="162" spans="2:10" x14ac:dyDescent="0.25">
      <c r="B162" s="9" t="s">
        <v>21</v>
      </c>
      <c r="C162" s="15" t="s">
        <v>371</v>
      </c>
      <c r="D162" s="11">
        <f>'1.1 SALÁRIOS'!$F$39</f>
        <v>0</v>
      </c>
      <c r="E162" s="11">
        <v>1</v>
      </c>
      <c r="F162" s="11">
        <f>E162*D162</f>
        <v>0</v>
      </c>
    </row>
    <row r="163" spans="2:10" x14ac:dyDescent="0.25">
      <c r="B163" s="9" t="s">
        <v>374</v>
      </c>
      <c r="C163" s="15" t="s">
        <v>372</v>
      </c>
      <c r="D163" s="11">
        <f>'1.1 SALÁRIOS'!$F$40</f>
        <v>0</v>
      </c>
      <c r="E163" s="11">
        <v>1</v>
      </c>
      <c r="F163" s="11">
        <f>E163*D163</f>
        <v>0</v>
      </c>
    </row>
    <row r="164" spans="2:10" x14ac:dyDescent="0.25">
      <c r="B164" s="9" t="s">
        <v>375</v>
      </c>
      <c r="C164" s="15" t="s">
        <v>373</v>
      </c>
      <c r="D164" s="11">
        <f>'1.1 SALÁRIOS'!$F$41</f>
        <v>0</v>
      </c>
      <c r="E164" s="11">
        <v>1</v>
      </c>
      <c r="F164" s="11">
        <f>E164*D164</f>
        <v>0</v>
      </c>
    </row>
    <row r="165" spans="2:10" x14ac:dyDescent="0.25">
      <c r="B165" s="317"/>
      <c r="C165" s="324" t="s">
        <v>20</v>
      </c>
      <c r="D165" s="323"/>
      <c r="E165" s="349"/>
      <c r="F165" s="323">
        <f>SUM(F159:F164)</f>
        <v>0</v>
      </c>
    </row>
    <row r="166" spans="2:10" x14ac:dyDescent="0.25">
      <c r="B166" s="317" t="s">
        <v>19</v>
      </c>
      <c r="C166" s="324" t="s">
        <v>18</v>
      </c>
      <c r="D166" s="323"/>
      <c r="E166" s="349"/>
      <c r="F166" s="322"/>
    </row>
    <row r="167" spans="2:10" x14ac:dyDescent="0.25">
      <c r="B167" s="320" t="s">
        <v>17</v>
      </c>
      <c r="C167" s="340" t="s">
        <v>16</v>
      </c>
      <c r="D167" s="11" t="e">
        <f>VLOOKUP(C167,'1.1 CUSTO FERRAME-UNIFORME-EPI'!B:C,2,FALSE)</f>
        <v>#DIV/0!</v>
      </c>
      <c r="E167" s="328">
        <v>0.17</v>
      </c>
      <c r="F167" s="322" t="e">
        <f t="shared" ref="F167:F173" si="4">E167*D167</f>
        <v>#DIV/0!</v>
      </c>
    </row>
    <row r="168" spans="2:10" x14ac:dyDescent="0.25">
      <c r="B168" s="320" t="s">
        <v>15</v>
      </c>
      <c r="C168" s="340" t="s">
        <v>14</v>
      </c>
      <c r="D168" s="11" t="e">
        <f>VLOOKUP(C168,'1.1 CUSTO FERRAME-UNIFORME-EPI'!B:C,2,FALSE)</f>
        <v>#DIV/0!</v>
      </c>
      <c r="E168" s="328">
        <v>0.33</v>
      </c>
      <c r="F168" s="322" t="e">
        <f t="shared" si="4"/>
        <v>#DIV/0!</v>
      </c>
    </row>
    <row r="169" spans="2:10" x14ac:dyDescent="0.25">
      <c r="B169" s="320" t="s">
        <v>13</v>
      </c>
      <c r="C169" s="340" t="s">
        <v>12</v>
      </c>
      <c r="D169" s="11" t="e">
        <f>VLOOKUP(C169,'1.1 CUSTO FERRAME-UNIFORME-EPI'!B:C,2,FALSE)</f>
        <v>#DIV/0!</v>
      </c>
      <c r="E169" s="328">
        <v>0.33</v>
      </c>
      <c r="F169" s="322" t="e">
        <f t="shared" si="4"/>
        <v>#DIV/0!</v>
      </c>
    </row>
    <row r="170" spans="2:10" x14ac:dyDescent="0.25">
      <c r="B170" s="320" t="s">
        <v>11</v>
      </c>
      <c r="C170" s="340" t="s">
        <v>10</v>
      </c>
      <c r="D170" s="11">
        <f>VLOOKUP(C170,'1.1 CUSTO FERRAME-UNIFORME-EPI'!B:C,2,FALSE)</f>
        <v>0</v>
      </c>
      <c r="E170" s="328">
        <v>0.17</v>
      </c>
      <c r="F170" s="322">
        <f t="shared" si="4"/>
        <v>0</v>
      </c>
      <c r="J170" s="311" t="s">
        <v>208</v>
      </c>
    </row>
    <row r="171" spans="2:10" x14ac:dyDescent="0.25">
      <c r="B171" s="320" t="s">
        <v>9</v>
      </c>
      <c r="C171" s="340" t="s">
        <v>8</v>
      </c>
      <c r="D171" s="11">
        <f>VLOOKUP(C171,'1.1 CUSTO FERRAME-UNIFORME-EPI'!B:C,2,FALSE)</f>
        <v>0</v>
      </c>
      <c r="E171" s="328">
        <v>0.17</v>
      </c>
      <c r="F171" s="322">
        <f t="shared" si="4"/>
        <v>0</v>
      </c>
    </row>
    <row r="172" spans="2:10" x14ac:dyDescent="0.25">
      <c r="B172" s="320" t="s">
        <v>7</v>
      </c>
      <c r="C172" s="340" t="s">
        <v>6</v>
      </c>
      <c r="D172" s="11">
        <f>VLOOKUP(C172,'1.1 CUSTO FERRAME-UNIFORME-EPI'!B:C,2,FALSE)</f>
        <v>0</v>
      </c>
      <c r="E172" s="328">
        <v>0.25</v>
      </c>
      <c r="F172" s="322">
        <f t="shared" si="4"/>
        <v>0</v>
      </c>
    </row>
    <row r="173" spans="2:10" x14ac:dyDescent="0.25">
      <c r="B173" s="320" t="s">
        <v>5</v>
      </c>
      <c r="C173" s="340" t="s">
        <v>208</v>
      </c>
      <c r="D173" s="11">
        <f>VLOOKUP(C173,'1.1 CUSTO FERRAME-UNIFORME-EPI'!B:C,2,FALSE)</f>
        <v>0</v>
      </c>
      <c r="E173" s="328">
        <v>0.17</v>
      </c>
      <c r="F173" s="322">
        <f t="shared" si="4"/>
        <v>0</v>
      </c>
    </row>
    <row r="174" spans="2:10" x14ac:dyDescent="0.25">
      <c r="B174" s="317"/>
      <c r="C174" s="324" t="s">
        <v>2</v>
      </c>
      <c r="D174" s="11"/>
      <c r="E174" s="349"/>
      <c r="F174" s="323" t="e">
        <f>SUM(F167:F173)</f>
        <v>#DIV/0!</v>
      </c>
    </row>
    <row r="175" spans="2:10" x14ac:dyDescent="0.25">
      <c r="B175" s="333" t="s">
        <v>1</v>
      </c>
      <c r="C175" s="346" t="s">
        <v>0</v>
      </c>
      <c r="D175" s="335"/>
      <c r="E175" s="335"/>
      <c r="F175" s="336" t="e">
        <f>F174+F165+F157</f>
        <v>#DIV/0!</v>
      </c>
    </row>
    <row r="178" spans="2:6" x14ac:dyDescent="0.25">
      <c r="B178" s="313" t="s">
        <v>54</v>
      </c>
      <c r="C178" s="313" t="s">
        <v>53</v>
      </c>
      <c r="D178" s="705" t="s">
        <v>68</v>
      </c>
      <c r="E178" s="706"/>
      <c r="F178" s="707"/>
    </row>
    <row r="179" spans="2:6" x14ac:dyDescent="0.25">
      <c r="B179" s="320"/>
      <c r="C179" s="340"/>
      <c r="D179" s="322"/>
      <c r="E179" s="328"/>
      <c r="F179" s="322"/>
    </row>
    <row r="180" spans="2:6" x14ac:dyDescent="0.25">
      <c r="B180" s="317" t="s">
        <v>52</v>
      </c>
      <c r="C180" s="324" t="s">
        <v>51</v>
      </c>
      <c r="D180" s="323"/>
      <c r="E180" s="349"/>
      <c r="F180" s="323"/>
    </row>
    <row r="181" spans="2:6" x14ac:dyDescent="0.25">
      <c r="B181" s="317" t="s">
        <v>47</v>
      </c>
      <c r="C181" s="324" t="s">
        <v>46</v>
      </c>
      <c r="D181" s="323"/>
      <c r="E181" s="349"/>
      <c r="F181" s="323"/>
    </row>
    <row r="182" spans="2:6" x14ac:dyDescent="0.25">
      <c r="B182" s="320" t="s">
        <v>45</v>
      </c>
      <c r="C182" s="340" t="s">
        <v>44</v>
      </c>
      <c r="D182" s="322">
        <f>'1.1 SALÁRIOS'!F29</f>
        <v>0</v>
      </c>
      <c r="E182" s="328">
        <v>1</v>
      </c>
      <c r="F182" s="322">
        <f>E182*D182</f>
        <v>0</v>
      </c>
    </row>
    <row r="183" spans="2:6" x14ac:dyDescent="0.25">
      <c r="B183" s="320" t="s">
        <v>43</v>
      </c>
      <c r="C183" s="340" t="s">
        <v>42</v>
      </c>
      <c r="D183" s="11">
        <f>'1.1 SALÁRIOS'!$F$23</f>
        <v>0</v>
      </c>
      <c r="E183" s="34">
        <v>0.2</v>
      </c>
      <c r="F183" s="11">
        <f>E183*D183</f>
        <v>0</v>
      </c>
    </row>
    <row r="184" spans="2:6" x14ac:dyDescent="0.25">
      <c r="B184" s="320" t="s">
        <v>41</v>
      </c>
      <c r="C184" s="340" t="s">
        <v>40</v>
      </c>
      <c r="D184" s="322"/>
      <c r="E184" s="328"/>
      <c r="F184" s="322"/>
    </row>
    <row r="185" spans="2:6" x14ac:dyDescent="0.25">
      <c r="B185" s="320" t="s">
        <v>39</v>
      </c>
      <c r="C185" s="340" t="s">
        <v>38</v>
      </c>
      <c r="D185" s="322"/>
      <c r="E185" s="328"/>
      <c r="F185" s="322"/>
    </row>
    <row r="186" spans="2:6" x14ac:dyDescent="0.25">
      <c r="B186" s="320" t="s">
        <v>37</v>
      </c>
      <c r="C186" s="340" t="s">
        <v>36</v>
      </c>
      <c r="D186" s="322"/>
      <c r="E186" s="328"/>
      <c r="F186" s="322"/>
    </row>
    <row r="187" spans="2:6" x14ac:dyDescent="0.25">
      <c r="B187" s="320" t="s">
        <v>35</v>
      </c>
      <c r="C187" s="340" t="s">
        <v>34</v>
      </c>
      <c r="D187" s="322"/>
      <c r="E187" s="328"/>
      <c r="F187" s="322"/>
    </row>
    <row r="188" spans="2:6" x14ac:dyDescent="0.25">
      <c r="B188" s="317"/>
      <c r="C188" s="324" t="s">
        <v>32</v>
      </c>
      <c r="D188" s="323"/>
      <c r="E188" s="349"/>
      <c r="F188" s="323">
        <f>SUM(F182:F187)</f>
        <v>0</v>
      </c>
    </row>
    <row r="189" spans="2:6" x14ac:dyDescent="0.25">
      <c r="B189" s="317" t="s">
        <v>31</v>
      </c>
      <c r="C189" s="324" t="s">
        <v>65</v>
      </c>
      <c r="D189" s="322">
        <f>F188</f>
        <v>0</v>
      </c>
      <c r="E189" s="14">
        <f>'1.1 SALÁRIOS'!$F$33</f>
        <v>0</v>
      </c>
      <c r="F189" s="322">
        <f>E189*D189</f>
        <v>0</v>
      </c>
    </row>
    <row r="190" spans="2:6" x14ac:dyDescent="0.25">
      <c r="B190" s="317" t="s">
        <v>29</v>
      </c>
      <c r="C190" s="324" t="s">
        <v>28</v>
      </c>
      <c r="D190" s="323"/>
      <c r="E190" s="349"/>
      <c r="F190" s="323">
        <f>SUM(F188:F189)</f>
        <v>0</v>
      </c>
    </row>
    <row r="191" spans="2:6" x14ac:dyDescent="0.25">
      <c r="B191" s="317" t="s">
        <v>27</v>
      </c>
      <c r="C191" s="324" t="s">
        <v>26</v>
      </c>
      <c r="D191" s="322"/>
      <c r="E191" s="328"/>
      <c r="F191" s="322"/>
    </row>
    <row r="192" spans="2:6" x14ac:dyDescent="0.25">
      <c r="B192" s="9" t="s">
        <v>25</v>
      </c>
      <c r="C192" s="15" t="s">
        <v>24</v>
      </c>
      <c r="D192" s="11">
        <f>'1.1 SALÁRIOS'!$F$35</f>
        <v>0</v>
      </c>
      <c r="E192" s="11">
        <v>25.25</v>
      </c>
      <c r="F192" s="11">
        <f>IF(2*E192*D192-0.06*D182&lt;0,0,2*E192*D192-0.06*D182)</f>
        <v>0</v>
      </c>
    </row>
    <row r="193" spans="2:6" x14ac:dyDescent="0.25">
      <c r="B193" s="9" t="s">
        <v>23</v>
      </c>
      <c r="C193" s="15" t="s">
        <v>369</v>
      </c>
      <c r="D193" s="11">
        <f>('1.1 SALÁRIOS'!$F$36+'1.1 SALÁRIOS'!$F$37)/12</f>
        <v>0</v>
      </c>
      <c r="E193" s="11">
        <v>1</v>
      </c>
      <c r="F193" s="11">
        <f>E193*D193</f>
        <v>0</v>
      </c>
    </row>
    <row r="194" spans="2:6" x14ac:dyDescent="0.25">
      <c r="B194" s="9" t="s">
        <v>22</v>
      </c>
      <c r="C194" s="15" t="s">
        <v>370</v>
      </c>
      <c r="D194" s="11">
        <f>'1.1 SALÁRIOS'!$F$38</f>
        <v>0</v>
      </c>
      <c r="E194" s="11">
        <f>E192</f>
        <v>25.25</v>
      </c>
      <c r="F194" s="11">
        <f>E194*D194</f>
        <v>0</v>
      </c>
    </row>
    <row r="195" spans="2:6" x14ac:dyDescent="0.25">
      <c r="B195" s="9" t="s">
        <v>21</v>
      </c>
      <c r="C195" s="15" t="s">
        <v>371</v>
      </c>
      <c r="D195" s="11">
        <f>'1.1 SALÁRIOS'!$F$39</f>
        <v>0</v>
      </c>
      <c r="E195" s="11">
        <v>1</v>
      </c>
      <c r="F195" s="11">
        <f>E195*D195</f>
        <v>0</v>
      </c>
    </row>
    <row r="196" spans="2:6" x14ac:dyDescent="0.25">
      <c r="B196" s="9" t="s">
        <v>374</v>
      </c>
      <c r="C196" s="15" t="s">
        <v>372</v>
      </c>
      <c r="D196" s="11">
        <f>'1.1 SALÁRIOS'!$F$40</f>
        <v>0</v>
      </c>
      <c r="E196" s="11">
        <v>1</v>
      </c>
      <c r="F196" s="11">
        <f>E196*D196</f>
        <v>0</v>
      </c>
    </row>
    <row r="197" spans="2:6" x14ac:dyDescent="0.25">
      <c r="B197" s="9" t="s">
        <v>375</v>
      </c>
      <c r="C197" s="15" t="s">
        <v>373</v>
      </c>
      <c r="D197" s="11">
        <f>'1.1 SALÁRIOS'!$F$41</f>
        <v>0</v>
      </c>
      <c r="E197" s="11">
        <v>1</v>
      </c>
      <c r="F197" s="11">
        <f>E197*D197</f>
        <v>0</v>
      </c>
    </row>
    <row r="198" spans="2:6" x14ac:dyDescent="0.25">
      <c r="B198" s="317"/>
      <c r="C198" s="324" t="s">
        <v>20</v>
      </c>
      <c r="D198" s="323"/>
      <c r="E198" s="349"/>
      <c r="F198" s="323">
        <f>SUM(F192:F197)</f>
        <v>0</v>
      </c>
    </row>
    <row r="199" spans="2:6" x14ac:dyDescent="0.25">
      <c r="B199" s="317" t="s">
        <v>19</v>
      </c>
      <c r="C199" s="324" t="s">
        <v>18</v>
      </c>
      <c r="D199" s="322"/>
      <c r="E199" s="328"/>
      <c r="F199" s="322"/>
    </row>
    <row r="200" spans="2:6" x14ac:dyDescent="0.25">
      <c r="B200" s="320" t="s">
        <v>17</v>
      </c>
      <c r="C200" s="340" t="s">
        <v>16</v>
      </c>
      <c r="D200" s="11" t="e">
        <f>VLOOKUP(C200,'1.1 CUSTO FERRAME-UNIFORME-EPI'!B:C,2,FALSE)</f>
        <v>#DIV/0!</v>
      </c>
      <c r="E200" s="328">
        <v>0.17</v>
      </c>
      <c r="F200" s="322" t="e">
        <f t="shared" ref="F200:F205" si="5">E200*D200</f>
        <v>#DIV/0!</v>
      </c>
    </row>
    <row r="201" spans="2:6" x14ac:dyDescent="0.25">
      <c r="B201" s="320" t="s">
        <v>15</v>
      </c>
      <c r="C201" s="340" t="s">
        <v>14</v>
      </c>
      <c r="D201" s="11" t="e">
        <f>VLOOKUP(C201,'1.1 CUSTO FERRAME-UNIFORME-EPI'!B:C,2,FALSE)</f>
        <v>#DIV/0!</v>
      </c>
      <c r="E201" s="328">
        <v>0.25</v>
      </c>
      <c r="F201" s="322" t="e">
        <f t="shared" si="5"/>
        <v>#DIV/0!</v>
      </c>
    </row>
    <row r="202" spans="2:6" x14ac:dyDescent="0.25">
      <c r="B202" s="320" t="s">
        <v>13</v>
      </c>
      <c r="C202" s="340" t="s">
        <v>12</v>
      </c>
      <c r="D202" s="11" t="e">
        <f>VLOOKUP(C202,'1.1 CUSTO FERRAME-UNIFORME-EPI'!B:C,2,FALSE)</f>
        <v>#DIV/0!</v>
      </c>
      <c r="E202" s="328">
        <v>0.25</v>
      </c>
      <c r="F202" s="322" t="e">
        <f t="shared" si="5"/>
        <v>#DIV/0!</v>
      </c>
    </row>
    <row r="203" spans="2:6" x14ac:dyDescent="0.25">
      <c r="B203" s="320" t="s">
        <v>11</v>
      </c>
      <c r="C203" s="340" t="s">
        <v>10</v>
      </c>
      <c r="D203" s="11">
        <f>VLOOKUP(C203,'1.1 CUSTO FERRAME-UNIFORME-EPI'!B:C,2,FALSE)</f>
        <v>0</v>
      </c>
      <c r="E203" s="328">
        <v>0.15</v>
      </c>
      <c r="F203" s="322">
        <f t="shared" si="5"/>
        <v>0</v>
      </c>
    </row>
    <row r="204" spans="2:6" x14ac:dyDescent="0.25">
      <c r="B204" s="320" t="s">
        <v>7</v>
      </c>
      <c r="C204" s="340" t="s">
        <v>8</v>
      </c>
      <c r="D204" s="11">
        <f>VLOOKUP(C204,'1.1 CUSTO FERRAME-UNIFORME-EPI'!B:C,2,FALSE)</f>
        <v>0</v>
      </c>
      <c r="E204" s="328">
        <v>7.0000000000000007E-2</v>
      </c>
      <c r="F204" s="322">
        <f t="shared" si="5"/>
        <v>0</v>
      </c>
    </row>
    <row r="205" spans="2:6" x14ac:dyDescent="0.25">
      <c r="B205" s="320" t="s">
        <v>5</v>
      </c>
      <c r="C205" s="340" t="s">
        <v>6</v>
      </c>
      <c r="D205" s="11">
        <f>VLOOKUP(C205,'1.1 CUSTO FERRAME-UNIFORME-EPI'!B:C,2,FALSE)</f>
        <v>0</v>
      </c>
      <c r="E205" s="328">
        <v>0.25</v>
      </c>
      <c r="F205" s="322">
        <f t="shared" si="5"/>
        <v>0</v>
      </c>
    </row>
    <row r="206" spans="2:6" x14ac:dyDescent="0.25">
      <c r="B206" s="317"/>
      <c r="C206" s="324" t="s">
        <v>2</v>
      </c>
      <c r="D206" s="323"/>
      <c r="E206" s="349"/>
      <c r="F206" s="323" t="e">
        <f>SUM(F200:F205)</f>
        <v>#DIV/0!</v>
      </c>
    </row>
    <row r="207" spans="2:6" x14ac:dyDescent="0.25">
      <c r="B207" s="333" t="s">
        <v>1</v>
      </c>
      <c r="C207" s="346" t="s">
        <v>0</v>
      </c>
      <c r="D207" s="335"/>
      <c r="E207" s="335"/>
      <c r="F207" s="336" t="e">
        <f>F206+F198+F190</f>
        <v>#DIV/0!</v>
      </c>
    </row>
  </sheetData>
  <mergeCells count="10">
    <mergeCell ref="D112:F112"/>
    <mergeCell ref="D145:F145"/>
    <mergeCell ref="D178:F178"/>
    <mergeCell ref="D6:F6"/>
    <mergeCell ref="B2:F2"/>
    <mergeCell ref="D5:F5"/>
    <mergeCell ref="D76:F76"/>
    <mergeCell ref="D40:F40"/>
    <mergeCell ref="D41:F41"/>
    <mergeCell ref="D75:F75"/>
  </mergeCells>
  <pageMargins left="0.98425196850393704" right="0.59055118110236215" top="1.1811023622047243" bottom="0.59055118110236215" header="0.11811023622047244" footer="0.51181102362204722"/>
  <pageSetup paperSize="9" scale="71" fitToHeight="0" orientation="portrait" r:id="rId1"/>
  <headerFooter>
    <oddHeader>&amp;L&amp;G</oddHeader>
  </headerFooter>
  <rowBreaks count="2" manualBreakCount="2">
    <brk id="52" max="6" man="1"/>
    <brk id="110" max="16383" man="1"/>
  </rowBreaks>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39997558519241921"/>
    <pageSetUpPr fitToPage="1"/>
  </sheetPr>
  <dimension ref="A1:H43"/>
  <sheetViews>
    <sheetView showGridLines="0" view="pageLayout" zoomScaleNormal="110" zoomScaleSheetLayoutView="100" workbookViewId="0">
      <selection activeCell="F21" sqref="F21"/>
    </sheetView>
  </sheetViews>
  <sheetFormatPr defaultColWidth="9" defaultRowHeight="13.5" x14ac:dyDescent="0.25"/>
  <cols>
    <col min="1" max="1" width="5.140625" style="181" customWidth="1"/>
    <col min="2" max="2" width="28.85546875" style="181" customWidth="1"/>
    <col min="3" max="7" width="17" style="181" customWidth="1"/>
    <col min="8" max="16384" width="9" style="181"/>
  </cols>
  <sheetData>
    <row r="1" spans="1:7" ht="11.1" customHeight="1" x14ac:dyDescent="0.25"/>
    <row r="2" spans="1:7" ht="15.75" x14ac:dyDescent="0.25">
      <c r="A2" s="642" t="s">
        <v>187</v>
      </c>
      <c r="B2" s="642"/>
      <c r="C2" s="642"/>
      <c r="D2" s="642"/>
      <c r="E2" s="642"/>
      <c r="F2" s="642"/>
      <c r="G2" s="642"/>
    </row>
    <row r="3" spans="1:7" x14ac:dyDescent="0.25">
      <c r="D3" s="221"/>
      <c r="E3" s="221"/>
    </row>
    <row r="4" spans="1:7" ht="12" customHeight="1" x14ac:dyDescent="0.25">
      <c r="B4" s="220"/>
      <c r="C4" s="220"/>
      <c r="D4" s="220"/>
      <c r="E4" s="220"/>
      <c r="F4" s="220"/>
    </row>
    <row r="5" spans="1:7" ht="12.95" customHeight="1" x14ac:dyDescent="0.25">
      <c r="D5" s="219"/>
      <c r="E5" s="219"/>
      <c r="F5" s="219"/>
    </row>
    <row r="6" spans="1:7" s="193" customFormat="1" ht="52.5" customHeight="1" x14ac:dyDescent="0.25">
      <c r="A6" s="643" t="s">
        <v>54</v>
      </c>
      <c r="B6" s="644" t="s">
        <v>53</v>
      </c>
      <c r="C6" s="217" t="s">
        <v>585</v>
      </c>
      <c r="D6" s="217" t="s">
        <v>196</v>
      </c>
      <c r="E6" s="217" t="s">
        <v>195</v>
      </c>
      <c r="F6" s="236" t="s">
        <v>194</v>
      </c>
      <c r="G6" s="236" t="s">
        <v>193</v>
      </c>
    </row>
    <row r="7" spans="1:7" s="193" customFormat="1" ht="18" customHeight="1" x14ac:dyDescent="0.25">
      <c r="A7" s="643"/>
      <c r="B7" s="644"/>
      <c r="C7" s="217" t="s">
        <v>184</v>
      </c>
      <c r="D7" s="217" t="s">
        <v>184</v>
      </c>
      <c r="E7" s="217" t="s">
        <v>184</v>
      </c>
      <c r="F7" s="236" t="s">
        <v>184</v>
      </c>
      <c r="G7" s="236" t="s">
        <v>184</v>
      </c>
    </row>
    <row r="8" spans="1:7" s="193" customFormat="1" ht="14.1" customHeight="1" x14ac:dyDescent="0.25">
      <c r="A8" s="202" t="s">
        <v>183</v>
      </c>
      <c r="B8" s="201" t="s">
        <v>182</v>
      </c>
      <c r="C8" s="200">
        <f>(C9-C11)/C43/12</f>
        <v>0</v>
      </c>
      <c r="D8" s="200">
        <f>(D9-D11)/D43/12</f>
        <v>0</v>
      </c>
      <c r="E8" s="200">
        <f>(E9-E11)/E43/12</f>
        <v>0</v>
      </c>
      <c r="F8" s="200">
        <f>(F9-F11)/F43/12</f>
        <v>0</v>
      </c>
      <c r="G8" s="200">
        <f>(G9-G11)/G43/12</f>
        <v>0</v>
      </c>
    </row>
    <row r="9" spans="1:7" s="209" customFormat="1" ht="14.1" customHeight="1" x14ac:dyDescent="0.2">
      <c r="A9" s="208" t="s">
        <v>181</v>
      </c>
      <c r="B9" s="187" t="s">
        <v>180</v>
      </c>
      <c r="C9" s="186">
        <f>'1.1 REF EQUIPAMENTOS E DIV'!E5+'1.1 REF EQUIPAMENTOS E DIV'!E6</f>
        <v>0</v>
      </c>
      <c r="D9" s="186">
        <f>'1.1 REF EQUIPAMENTOS E DIV'!E21</f>
        <v>0</v>
      </c>
      <c r="E9" s="186">
        <f>'1.1 REF EQUIPAMENTOS E DIV'!E23</f>
        <v>0</v>
      </c>
      <c r="F9" s="227">
        <f>'1.1 REF EQUIPAMENTOS E DIV'!E22</f>
        <v>0</v>
      </c>
      <c r="G9" s="186">
        <f>'1.1 REF EQUIPAMENTOS E DIV'!E9+'1.1 REF EQUIPAMENTOS E DIV'!E4</f>
        <v>0</v>
      </c>
    </row>
    <row r="10" spans="1:7" s="209" customFormat="1" ht="9.9499999999999993" customHeight="1" x14ac:dyDescent="0.2">
      <c r="A10" s="207"/>
      <c r="B10" s="187"/>
      <c r="C10" s="186"/>
      <c r="D10" s="186"/>
      <c r="E10" s="186"/>
      <c r="F10" s="186"/>
      <c r="G10" s="186"/>
    </row>
    <row r="11" spans="1:7" s="209" customFormat="1" ht="14.1" customHeight="1" x14ac:dyDescent="0.2">
      <c r="A11" s="208" t="s">
        <v>179</v>
      </c>
      <c r="B11" s="187" t="s">
        <v>148</v>
      </c>
      <c r="C11" s="186">
        <f>C9*C42</f>
        <v>0</v>
      </c>
      <c r="D11" s="186">
        <f>D9*D42</f>
        <v>0</v>
      </c>
      <c r="E11" s="186">
        <f>E9*E42</f>
        <v>0</v>
      </c>
      <c r="F11" s="186">
        <f>F9*F42</f>
        <v>0</v>
      </c>
      <c r="G11" s="186">
        <f>G9*G42</f>
        <v>0</v>
      </c>
    </row>
    <row r="12" spans="1:7" s="209" customFormat="1" ht="9.9499999999999993" customHeight="1" x14ac:dyDescent="0.2">
      <c r="A12" s="213"/>
      <c r="B12" s="204"/>
      <c r="C12" s="203"/>
      <c r="D12" s="203"/>
      <c r="E12" s="203"/>
      <c r="F12" s="234"/>
      <c r="G12" s="203"/>
    </row>
    <row r="13" spans="1:7" s="209" customFormat="1" ht="14.1" customHeight="1" x14ac:dyDescent="0.2">
      <c r="A13" s="212" t="s">
        <v>178</v>
      </c>
      <c r="B13" s="211" t="s">
        <v>177</v>
      </c>
      <c r="C13" s="210">
        <f>C17*C19/12</f>
        <v>0</v>
      </c>
      <c r="D13" s="210">
        <f>D17*D19/12</f>
        <v>0</v>
      </c>
      <c r="E13" s="210">
        <f>E17*E19/12</f>
        <v>0</v>
      </c>
      <c r="F13" s="210">
        <f>F17*F19/12</f>
        <v>0</v>
      </c>
      <c r="G13" s="210">
        <f>G17*G19/12</f>
        <v>0</v>
      </c>
    </row>
    <row r="14" spans="1:7" s="209" customFormat="1" ht="9.9499999999999993" customHeight="1" x14ac:dyDescent="0.2">
      <c r="A14" s="232"/>
      <c r="B14" s="187"/>
      <c r="C14" s="186"/>
      <c r="D14" s="186"/>
      <c r="E14" s="186"/>
      <c r="F14" s="227"/>
      <c r="G14" s="186"/>
    </row>
    <row r="15" spans="1:7" s="209" customFormat="1" ht="14.1" customHeight="1" x14ac:dyDescent="0.2">
      <c r="A15" s="188" t="s">
        <v>176</v>
      </c>
      <c r="B15" s="187" t="s">
        <v>175</v>
      </c>
      <c r="C15" s="186">
        <f>C9</f>
        <v>0</v>
      </c>
      <c r="D15" s="186">
        <f>D9</f>
        <v>0</v>
      </c>
      <c r="E15" s="186">
        <f>E9</f>
        <v>0</v>
      </c>
      <c r="F15" s="186">
        <f>F9</f>
        <v>0</v>
      </c>
      <c r="G15" s="186">
        <f>G9</f>
        <v>0</v>
      </c>
    </row>
    <row r="16" spans="1:7" s="209" customFormat="1" ht="9.9499999999999993" customHeight="1" x14ac:dyDescent="0.2">
      <c r="A16" s="232"/>
      <c r="B16" s="187"/>
      <c r="C16" s="186"/>
      <c r="D16" s="186"/>
      <c r="E16" s="186"/>
      <c r="F16" s="227"/>
      <c r="G16" s="186"/>
    </row>
    <row r="17" spans="1:8" s="209" customFormat="1" ht="14.1" customHeight="1" x14ac:dyDescent="0.2">
      <c r="A17" s="188" t="s">
        <v>174</v>
      </c>
      <c r="B17" s="187" t="s">
        <v>173</v>
      </c>
      <c r="C17" s="186">
        <f>(C9-C11)*((1+C43)/(2*C43))/1.25</f>
        <v>0</v>
      </c>
      <c r="D17" s="186">
        <f>(D9-D11)*((1+D43)/(2*D43))/1.25</f>
        <v>0</v>
      </c>
      <c r="E17" s="186">
        <f>(E9-E11)*((1+E43)/(2*E43))/1.25</f>
        <v>0</v>
      </c>
      <c r="F17" s="186">
        <f>(F9-F11)*((1+F43)/(2*F43))/1.25</f>
        <v>0</v>
      </c>
      <c r="G17" s="186">
        <f>(G9-G11)*((1+G43)/(2*G43))/1.25</f>
        <v>0</v>
      </c>
    </row>
    <row r="18" spans="1:8" s="209" customFormat="1" ht="9.9499999999999993" customHeight="1" x14ac:dyDescent="0.2">
      <c r="A18" s="232"/>
      <c r="B18" s="187"/>
      <c r="C18" s="186"/>
      <c r="D18" s="186"/>
      <c r="E18" s="186"/>
      <c r="F18" s="227"/>
      <c r="G18" s="186"/>
    </row>
    <row r="19" spans="1:8" s="209" customFormat="1" ht="14.1" customHeight="1" x14ac:dyDescent="0.2">
      <c r="A19" s="184" t="s">
        <v>146</v>
      </c>
      <c r="B19" s="183" t="s">
        <v>145</v>
      </c>
      <c r="C19" s="182">
        <v>0.13250000000000001</v>
      </c>
      <c r="D19" s="182">
        <v>0.13250000000000001</v>
      </c>
      <c r="E19" s="182">
        <v>0.13250000000000001</v>
      </c>
      <c r="F19" s="182">
        <v>0.13250000000000001</v>
      </c>
      <c r="G19" s="182">
        <v>0.13250000000000001</v>
      </c>
    </row>
    <row r="20" spans="1:8" s="209" customFormat="1" ht="11.25" x14ac:dyDescent="0.2">
      <c r="A20" s="230" t="s">
        <v>172</v>
      </c>
      <c r="B20" s="229" t="s">
        <v>171</v>
      </c>
      <c r="C20" s="228">
        <f>C25*7.33*25.25</f>
        <v>0</v>
      </c>
      <c r="D20" s="228">
        <f t="shared" ref="D20:F20" si="0">D25*4.33*25.25</f>
        <v>0</v>
      </c>
      <c r="E20" s="228">
        <f t="shared" si="0"/>
        <v>0</v>
      </c>
      <c r="F20" s="228">
        <f t="shared" si="0"/>
        <v>0</v>
      </c>
      <c r="G20" s="228">
        <f>G25*7.33*25.25</f>
        <v>0</v>
      </c>
    </row>
    <row r="21" spans="1:8" s="193" customFormat="1" ht="14.1" customHeight="1" x14ac:dyDescent="0.25">
      <c r="A21" s="208" t="s">
        <v>170</v>
      </c>
      <c r="B21" s="187" t="s">
        <v>169</v>
      </c>
      <c r="C21" s="186">
        <f>326*0.735*0.1</f>
        <v>23.960999999999999</v>
      </c>
      <c r="D21" s="186">
        <f>128*0.746*0.13</f>
        <v>12.41344</v>
      </c>
      <c r="E21" s="186">
        <f>47*0.746*0.13</f>
        <v>4.5580600000000002</v>
      </c>
      <c r="F21" s="227">
        <f>72*0.746*0.13</f>
        <v>6.9825600000000003</v>
      </c>
      <c r="G21" s="186">
        <f>277*0.735*0.1</f>
        <v>20.359500000000001</v>
      </c>
      <c r="H21" s="209"/>
    </row>
    <row r="22" spans="1:8" s="193" customFormat="1" ht="14.1" customHeight="1" x14ac:dyDescent="0.25">
      <c r="A22" s="208"/>
      <c r="B22" s="187"/>
      <c r="C22" s="186"/>
      <c r="D22" s="186"/>
      <c r="E22" s="186"/>
      <c r="F22" s="227"/>
      <c r="G22" s="186"/>
      <c r="H22" s="209"/>
    </row>
    <row r="23" spans="1:8" s="193" customFormat="1" ht="14.1" customHeight="1" x14ac:dyDescent="0.25">
      <c r="A23" s="208"/>
      <c r="B23" s="187" t="s">
        <v>168</v>
      </c>
      <c r="C23" s="186">
        <f>'1.1 REF EQUIPAMENTOS E DIV'!$E$38</f>
        <v>0</v>
      </c>
      <c r="D23" s="186">
        <f>'1.1 REF EQUIPAMENTOS E DIV'!$E$38</f>
        <v>0</v>
      </c>
      <c r="E23" s="186">
        <f>'1.1 REF EQUIPAMENTOS E DIV'!$E$38</f>
        <v>0</v>
      </c>
      <c r="F23" s="186">
        <f>'1.1 REF EQUIPAMENTOS E DIV'!$E$38</f>
        <v>0</v>
      </c>
      <c r="G23" s="186">
        <f>'1.1 REF EQUIPAMENTOS E DIV'!$E$38</f>
        <v>0</v>
      </c>
      <c r="H23" s="209"/>
    </row>
    <row r="24" spans="1:8" s="209" customFormat="1" ht="14.1" customHeight="1" x14ac:dyDescent="0.2">
      <c r="A24" s="207"/>
      <c r="B24" s="187"/>
      <c r="C24" s="186"/>
      <c r="D24" s="186"/>
      <c r="E24" s="186"/>
      <c r="F24" s="227"/>
      <c r="G24" s="186"/>
    </row>
    <row r="25" spans="1:8" s="209" customFormat="1" ht="11.25" x14ac:dyDescent="0.2">
      <c r="A25" s="208" t="s">
        <v>167</v>
      </c>
      <c r="B25" s="187" t="s">
        <v>166</v>
      </c>
      <c r="C25" s="186">
        <f>C23*C21</f>
        <v>0</v>
      </c>
      <c r="D25" s="186">
        <f>D23*D21</f>
        <v>0</v>
      </c>
      <c r="E25" s="186">
        <f>E23*E21</f>
        <v>0</v>
      </c>
      <c r="F25" s="186">
        <f>F23*F21</f>
        <v>0</v>
      </c>
      <c r="G25" s="186">
        <f>G23*G21</f>
        <v>0</v>
      </c>
    </row>
    <row r="26" spans="1:8" s="193" customFormat="1" ht="14.1" customHeight="1" x14ac:dyDescent="0.25">
      <c r="A26" s="202" t="s">
        <v>165</v>
      </c>
      <c r="B26" s="201" t="s">
        <v>164</v>
      </c>
      <c r="C26" s="200">
        <f>C29</f>
        <v>0</v>
      </c>
      <c r="D26" s="200">
        <f>D29</f>
        <v>0</v>
      </c>
      <c r="E26" s="200">
        <f>E29</f>
        <v>0</v>
      </c>
      <c r="F26" s="200">
        <f>F29</f>
        <v>0</v>
      </c>
      <c r="G26" s="200">
        <f>G29</f>
        <v>0</v>
      </c>
    </row>
    <row r="27" spans="1:8" s="209" customFormat="1" ht="14.1" customHeight="1" x14ac:dyDescent="0.2">
      <c r="A27" s="208" t="s">
        <v>163</v>
      </c>
      <c r="B27" s="187" t="s">
        <v>162</v>
      </c>
      <c r="C27" s="186">
        <v>0.1</v>
      </c>
      <c r="D27" s="186">
        <v>0.1</v>
      </c>
      <c r="E27" s="186">
        <v>0.1</v>
      </c>
      <c r="F27" s="227">
        <v>0.28000000000000003</v>
      </c>
      <c r="G27" s="186">
        <v>0.1</v>
      </c>
    </row>
    <row r="28" spans="1:8" s="209" customFormat="1" ht="9.9499999999999993" customHeight="1" x14ac:dyDescent="0.2">
      <c r="A28" s="207"/>
      <c r="B28" s="187"/>
      <c r="C28" s="186"/>
      <c r="D28" s="186"/>
      <c r="E28" s="186"/>
      <c r="F28" s="227"/>
      <c r="G28" s="186"/>
    </row>
    <row r="29" spans="1:8" s="209" customFormat="1" ht="14.1" customHeight="1" x14ac:dyDescent="0.2">
      <c r="A29" s="208" t="s">
        <v>161</v>
      </c>
      <c r="B29" s="187" t="s">
        <v>160</v>
      </c>
      <c r="C29" s="186">
        <f>C27*C20</f>
        <v>0</v>
      </c>
      <c r="D29" s="186">
        <f>D27*D20</f>
        <v>0</v>
      </c>
      <c r="E29" s="186">
        <f>E27*E20</f>
        <v>0</v>
      </c>
      <c r="F29" s="186">
        <f>F27*F20</f>
        <v>0</v>
      </c>
      <c r="G29" s="186">
        <f>G27*G20</f>
        <v>0</v>
      </c>
    </row>
    <row r="30" spans="1:8" s="209" customFormat="1" ht="9.9499999999999993" customHeight="1" x14ac:dyDescent="0.2">
      <c r="A30" s="207"/>
      <c r="B30" s="187"/>
      <c r="C30" s="186"/>
      <c r="D30" s="186"/>
      <c r="E30" s="186"/>
      <c r="F30" s="227"/>
      <c r="G30" s="186"/>
    </row>
    <row r="31" spans="1:8" s="209" customFormat="1" ht="14.1" customHeight="1" x14ac:dyDescent="0.2">
      <c r="A31" s="202" t="s">
        <v>159</v>
      </c>
      <c r="B31" s="201" t="s">
        <v>158</v>
      </c>
      <c r="C31" s="200">
        <f>C37</f>
        <v>0</v>
      </c>
      <c r="D31" s="200">
        <f>D37</f>
        <v>0</v>
      </c>
      <c r="E31" s="200">
        <f>E37</f>
        <v>0</v>
      </c>
      <c r="F31" s="200">
        <f>F37</f>
        <v>0</v>
      </c>
      <c r="G31" s="200">
        <f>G37</f>
        <v>0</v>
      </c>
    </row>
    <row r="32" spans="1:8" s="209" customFormat="1" ht="18" customHeight="1" x14ac:dyDescent="0.2">
      <c r="A32" s="208" t="s">
        <v>157</v>
      </c>
      <c r="B32" s="187" t="s">
        <v>156</v>
      </c>
      <c r="C32" s="186">
        <f>C8</f>
        <v>0</v>
      </c>
      <c r="D32" s="186">
        <f>D8</f>
        <v>0</v>
      </c>
      <c r="E32" s="186">
        <f>E8</f>
        <v>0</v>
      </c>
      <c r="F32" s="186">
        <f>F8</f>
        <v>0</v>
      </c>
      <c r="G32" s="186">
        <f>G8</f>
        <v>0</v>
      </c>
    </row>
    <row r="33" spans="1:7" s="193" customFormat="1" ht="21.75" customHeight="1" x14ac:dyDescent="0.25">
      <c r="A33" s="207"/>
      <c r="B33" s="187"/>
      <c r="C33" s="186"/>
      <c r="D33" s="186"/>
      <c r="E33" s="186"/>
      <c r="F33" s="227"/>
      <c r="G33" s="186"/>
    </row>
    <row r="34" spans="1:7" s="193" customFormat="1" x14ac:dyDescent="0.25">
      <c r="A34" s="208" t="s">
        <v>155</v>
      </c>
      <c r="B34" s="187" t="s">
        <v>154</v>
      </c>
      <c r="C34" s="186">
        <v>0.9</v>
      </c>
      <c r="D34" s="186">
        <v>1</v>
      </c>
      <c r="E34" s="186">
        <v>0.6</v>
      </c>
      <c r="F34" s="227">
        <v>1</v>
      </c>
      <c r="G34" s="186">
        <v>0.6</v>
      </c>
    </row>
    <row r="35" spans="1:7" s="193" customFormat="1" x14ac:dyDescent="0.25">
      <c r="A35" s="208" t="s">
        <v>153</v>
      </c>
      <c r="B35" s="187" t="s">
        <v>386</v>
      </c>
      <c r="C35" s="310">
        <v>2.5000000000000001E-2</v>
      </c>
      <c r="D35" s="310"/>
      <c r="E35" s="310"/>
      <c r="F35" s="310"/>
      <c r="G35" s="310">
        <v>2.5000000000000001E-2</v>
      </c>
    </row>
    <row r="36" spans="1:7" s="193" customFormat="1" x14ac:dyDescent="0.25">
      <c r="A36" s="207"/>
      <c r="B36" s="187"/>
      <c r="C36" s="186"/>
      <c r="D36" s="186"/>
      <c r="E36" s="186"/>
      <c r="F36" s="227"/>
      <c r="G36" s="186"/>
    </row>
    <row r="37" spans="1:7" s="193" customFormat="1" x14ac:dyDescent="0.25">
      <c r="A37" s="208" t="s">
        <v>387</v>
      </c>
      <c r="B37" s="204" t="s">
        <v>152</v>
      </c>
      <c r="C37" s="203">
        <f>(C34+C35)*C32</f>
        <v>0</v>
      </c>
      <c r="D37" s="203">
        <f>(D34+D35)*D32</f>
        <v>0</v>
      </c>
      <c r="E37" s="203">
        <f>(E34+E35)*E32</f>
        <v>0</v>
      </c>
      <c r="F37" s="203">
        <f>(F34+F35)*F32</f>
        <v>0</v>
      </c>
      <c r="G37" s="203">
        <f>(G34+G35)*G32</f>
        <v>0</v>
      </c>
    </row>
    <row r="38" spans="1:7" s="193" customFormat="1" x14ac:dyDescent="0.25">
      <c r="A38" s="202" t="s">
        <v>151</v>
      </c>
      <c r="B38" s="201" t="s">
        <v>150</v>
      </c>
      <c r="C38" s="200" t="e">
        <f>'1.1 REF EQUIPAMENTOS E DIV'!$E$35</f>
        <v>#DIV/0!</v>
      </c>
      <c r="D38" s="200" t="e">
        <f>'1.1 REF EQUIPAMENTOS E DIV'!$E$35</f>
        <v>#DIV/0!</v>
      </c>
      <c r="E38" s="200" t="e">
        <f>'1.1 REF EQUIPAMENTOS E DIV'!$E$35</f>
        <v>#DIV/0!</v>
      </c>
      <c r="F38" s="200" t="e">
        <f>'1.1 REF EQUIPAMENTOS E DIV'!$E$35</f>
        <v>#DIV/0!</v>
      </c>
      <c r="G38" s="200" t="e">
        <f>'1.1 REF EQUIPAMENTOS E DIV'!$E$35</f>
        <v>#DIV/0!</v>
      </c>
    </row>
    <row r="39" spans="1:7" x14ac:dyDescent="0.25">
      <c r="A39" s="225"/>
      <c r="B39" s="224" t="s">
        <v>149</v>
      </c>
      <c r="C39" s="223" t="e">
        <f>C31++C26+C20+C13+C8+C38</f>
        <v>#DIV/0!</v>
      </c>
      <c r="D39" s="223" t="e">
        <f>D31++D26+D20+D13+D8+D38</f>
        <v>#DIV/0!</v>
      </c>
      <c r="E39" s="223" t="e">
        <f>E31++E26+E20+E13+E8+E38</f>
        <v>#DIV/0!</v>
      </c>
      <c r="F39" s="223" t="e">
        <f>F31++F26+F20+F13+F8+F38</f>
        <v>#DIV/0!</v>
      </c>
      <c r="G39" s="223" t="e">
        <f>G31++G26+G20+G13+G8+G38</f>
        <v>#DIV/0!</v>
      </c>
    </row>
    <row r="40" spans="1:7" x14ac:dyDescent="0.25">
      <c r="A40" s="196"/>
      <c r="B40" s="195"/>
      <c r="C40" s="194"/>
      <c r="D40" s="194"/>
      <c r="E40" s="194"/>
      <c r="F40" s="222"/>
      <c r="G40" s="222"/>
    </row>
    <row r="42" spans="1:7" x14ac:dyDescent="0.25">
      <c r="A42" s="192"/>
      <c r="B42" s="191" t="s">
        <v>148</v>
      </c>
      <c r="C42" s="190">
        <v>0.4</v>
      </c>
      <c r="D42" s="190">
        <v>0.2</v>
      </c>
      <c r="E42" s="190">
        <v>0.2</v>
      </c>
      <c r="F42" s="190">
        <v>0.2</v>
      </c>
      <c r="G42" s="190">
        <v>0.4</v>
      </c>
    </row>
    <row r="43" spans="1:7" x14ac:dyDescent="0.25">
      <c r="A43" s="188"/>
      <c r="B43" s="187" t="s">
        <v>147</v>
      </c>
      <c r="C43" s="186">
        <v>7</v>
      </c>
      <c r="D43" s="186">
        <v>4.9999499499499498</v>
      </c>
      <c r="E43" s="186">
        <v>4.9999499499499498</v>
      </c>
      <c r="F43" s="186">
        <v>4.99965811965812</v>
      </c>
      <c r="G43" s="186">
        <v>7</v>
      </c>
    </row>
  </sheetData>
  <sheetProtection selectLockedCells="1" selectUnlockedCells="1"/>
  <mergeCells count="3">
    <mergeCell ref="A6:A7"/>
    <mergeCell ref="B6:B7"/>
    <mergeCell ref="A2:G2"/>
  </mergeCells>
  <pageMargins left="0.98425196850393704" right="0.59055118110236215" top="1.1811023622047243" bottom="0.59055118110236215" header="0.11811023622047244" footer="0.51181102362204722"/>
  <pageSetup paperSize="9" scale="71" firstPageNumber="0" fitToHeight="0" orientation="portrait" r:id="rId1"/>
  <headerFooter alignWithMargins="0">
    <oddHeader>&amp;L&amp;G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39997558519241921"/>
    <pageSetUpPr fitToPage="1"/>
  </sheetPr>
  <dimension ref="A1:I62"/>
  <sheetViews>
    <sheetView view="pageLayout" topLeftCell="A41" zoomScaleNormal="100" zoomScaleSheetLayoutView="85" workbookViewId="0">
      <selection activeCell="B67" sqref="B67"/>
    </sheetView>
  </sheetViews>
  <sheetFormatPr defaultColWidth="9.140625" defaultRowHeight="13.5" outlineLevelRow="1" x14ac:dyDescent="0.25"/>
  <cols>
    <col min="1" max="1" width="3" style="359" bestFit="1" customWidth="1"/>
    <col min="2" max="2" width="35.28515625" style="359" customWidth="1"/>
    <col min="3" max="5" width="18.140625" style="359" customWidth="1"/>
    <col min="6" max="6" width="18" style="359" customWidth="1"/>
    <col min="7" max="7" width="22.85546875" style="359" customWidth="1"/>
    <col min="8" max="8" width="10.5703125" style="359" customWidth="1"/>
    <col min="9" max="9" width="11.7109375" style="359" bestFit="1" customWidth="1"/>
    <col min="10" max="16384" width="9.140625" style="359"/>
  </cols>
  <sheetData>
    <row r="1" spans="1:9" ht="14.25" thickBot="1" x14ac:dyDescent="0.3">
      <c r="A1" s="682" t="s">
        <v>419</v>
      </c>
      <c r="B1" s="683"/>
      <c r="C1" s="683"/>
      <c r="D1" s="683"/>
      <c r="E1" s="683"/>
      <c r="F1" s="503"/>
      <c r="G1" s="503"/>
      <c r="H1" s="503"/>
      <c r="I1" s="503"/>
    </row>
    <row r="2" spans="1:9" ht="18" customHeight="1" thickBot="1" x14ac:dyDescent="0.3">
      <c r="A2" s="684" t="s">
        <v>574</v>
      </c>
      <c r="B2" s="685"/>
      <c r="C2" s="685"/>
      <c r="D2" s="685"/>
      <c r="E2" s="685"/>
      <c r="F2" s="503"/>
      <c r="G2" s="503"/>
      <c r="H2" s="503"/>
      <c r="I2" s="503"/>
    </row>
    <row r="3" spans="1:9" ht="41.25" thickBot="1" x14ac:dyDescent="0.3">
      <c r="A3" s="502" t="s">
        <v>248</v>
      </c>
      <c r="B3" s="501" t="s">
        <v>573</v>
      </c>
      <c r="C3" s="500" t="s">
        <v>572</v>
      </c>
      <c r="D3" s="500" t="s">
        <v>571</v>
      </c>
      <c r="E3" s="499" t="s">
        <v>570</v>
      </c>
      <c r="F3" s="466"/>
      <c r="G3" s="466"/>
      <c r="H3" s="466"/>
      <c r="I3" s="468"/>
    </row>
    <row r="4" spans="1:9" x14ac:dyDescent="0.25">
      <c r="A4" s="477">
        <v>1</v>
      </c>
      <c r="B4" s="494" t="s">
        <v>576</v>
      </c>
      <c r="C4" s="495">
        <v>308.14499999999998</v>
      </c>
      <c r="D4" s="492">
        <f>(26.08/6)*C4</f>
        <v>1339.4035999999999</v>
      </c>
      <c r="E4" s="471" t="str">
        <f>IFERROR(C4*#REF!*#REF!*(1+#REF!),"-")</f>
        <v>-</v>
      </c>
      <c r="F4" s="466"/>
      <c r="G4" s="466"/>
      <c r="H4" s="466"/>
      <c r="I4" s="489"/>
    </row>
    <row r="5" spans="1:9" ht="14.25" thickBot="1" x14ac:dyDescent="0.3">
      <c r="A5" s="481"/>
      <c r="B5" s="494"/>
      <c r="C5" s="493"/>
      <c r="D5" s="492"/>
      <c r="E5" s="470"/>
      <c r="F5" s="491"/>
      <c r="G5" s="491"/>
      <c r="H5" s="490"/>
      <c r="I5" s="489"/>
    </row>
    <row r="6" spans="1:9" ht="13.5" customHeight="1" thickBot="1" x14ac:dyDescent="0.3">
      <c r="A6" s="686" t="s">
        <v>569</v>
      </c>
      <c r="B6" s="686"/>
      <c r="C6" s="488">
        <v>308.14499999999998</v>
      </c>
      <c r="D6" s="487">
        <f>SUM(D4:D5)</f>
        <v>1339.4035999999999</v>
      </c>
      <c r="E6" s="487">
        <f>SUM(E4:E5)</f>
        <v>0</v>
      </c>
      <c r="F6" s="466"/>
      <c r="G6" s="466"/>
    </row>
    <row r="7" spans="1:9" ht="14.25" thickBot="1" x14ac:dyDescent="0.3">
      <c r="A7" s="686" t="s">
        <v>569</v>
      </c>
      <c r="B7" s="686"/>
      <c r="C7" s="483"/>
      <c r="D7" s="695">
        <f>D6+E6</f>
        <v>1339.4035999999999</v>
      </c>
      <c r="E7" s="696"/>
    </row>
    <row r="8" spans="1:9" ht="12.75" customHeight="1" thickBot="1" x14ac:dyDescent="0.3">
      <c r="A8" s="484"/>
      <c r="B8" s="484"/>
      <c r="C8" s="483"/>
      <c r="D8" s="486">
        <f>D6/D7</f>
        <v>1</v>
      </c>
      <c r="E8" s="485">
        <f>E6/D7</f>
        <v>0</v>
      </c>
    </row>
    <row r="9" spans="1:9" ht="12.75" customHeight="1" x14ac:dyDescent="0.25">
      <c r="A9" s="484"/>
      <c r="B9" s="484"/>
      <c r="C9" s="483"/>
      <c r="D9" s="482"/>
      <c r="E9" s="482"/>
    </row>
    <row r="10" spans="1:9" ht="12.75" customHeight="1" thickBot="1" x14ac:dyDescent="0.3">
      <c r="A10" s="484"/>
      <c r="B10" s="484"/>
      <c r="C10" s="483"/>
      <c r="D10" s="482"/>
      <c r="E10" s="482"/>
      <c r="G10" s="472"/>
    </row>
    <row r="11" spans="1:9" x14ac:dyDescent="0.25">
      <c r="A11" s="687" t="s">
        <v>568</v>
      </c>
      <c r="B11" s="688"/>
      <c r="C11" s="688"/>
      <c r="D11" s="689"/>
      <c r="G11" s="472"/>
    </row>
    <row r="12" spans="1:9" x14ac:dyDescent="0.25">
      <c r="A12" s="690" t="s">
        <v>567</v>
      </c>
      <c r="B12" s="586"/>
      <c r="C12" s="586"/>
      <c r="D12" s="460">
        <v>26.08</v>
      </c>
      <c r="G12" s="472"/>
    </row>
    <row r="13" spans="1:9" x14ac:dyDescent="0.25">
      <c r="A13" s="690" t="s">
        <v>566</v>
      </c>
      <c r="B13" s="586"/>
      <c r="C13" s="586"/>
      <c r="D13" s="479">
        <f>D6/D12</f>
        <v>51.357500000000002</v>
      </c>
      <c r="E13" s="691"/>
      <c r="G13" s="472"/>
    </row>
    <row r="14" spans="1:9" ht="14.25" thickBot="1" x14ac:dyDescent="0.3">
      <c r="A14" s="693" t="s">
        <v>565</v>
      </c>
      <c r="B14" s="694"/>
      <c r="C14" s="694"/>
      <c r="D14" s="478">
        <f>E6/D12</f>
        <v>0</v>
      </c>
      <c r="E14" s="692"/>
      <c r="G14" s="472"/>
    </row>
    <row r="15" spans="1:9" x14ac:dyDescent="0.25">
      <c r="A15" s="687" t="s">
        <v>564</v>
      </c>
      <c r="B15" s="688"/>
      <c r="C15" s="688"/>
      <c r="D15" s="689"/>
      <c r="E15" s="476"/>
      <c r="G15" s="472"/>
    </row>
    <row r="16" spans="1:9" x14ac:dyDescent="0.25">
      <c r="A16" s="673" t="s">
        <v>563</v>
      </c>
      <c r="B16" s="674"/>
      <c r="C16" s="675"/>
      <c r="D16" s="471">
        <v>84087</v>
      </c>
      <c r="E16" s="468"/>
      <c r="G16" s="472"/>
    </row>
    <row r="17" spans="1:7" x14ac:dyDescent="0.25">
      <c r="A17" s="673" t="s">
        <v>562</v>
      </c>
      <c r="B17" s="674"/>
      <c r="C17" s="675"/>
      <c r="D17" s="471">
        <f>D16</f>
        <v>84087</v>
      </c>
      <c r="E17" s="468"/>
      <c r="G17" s="472"/>
    </row>
    <row r="18" spans="1:7" x14ac:dyDescent="0.25">
      <c r="A18" s="673" t="s">
        <v>561</v>
      </c>
      <c r="B18" s="674"/>
      <c r="C18" s="675"/>
      <c r="D18" s="475">
        <f>0.5*1000/365</f>
        <v>1.3698630136986301</v>
      </c>
      <c r="E18" s="474"/>
      <c r="G18" s="472"/>
    </row>
    <row r="19" spans="1:7" x14ac:dyDescent="0.25">
      <c r="A19" s="673" t="s">
        <v>580</v>
      </c>
      <c r="B19" s="674"/>
      <c r="C19" s="675"/>
      <c r="D19" s="471">
        <f>D18*D17/1000</f>
        <v>115.1876712328767</v>
      </c>
      <c r="E19" s="468"/>
      <c r="G19" s="472"/>
    </row>
    <row r="20" spans="1:7" x14ac:dyDescent="0.25">
      <c r="A20" s="673" t="s">
        <v>558</v>
      </c>
      <c r="B20" s="674"/>
      <c r="C20" s="675"/>
      <c r="D20" s="471">
        <f>D19*30</f>
        <v>3455.6301369863008</v>
      </c>
      <c r="E20" s="468"/>
      <c r="G20" s="472"/>
    </row>
    <row r="21" spans="1:7" x14ac:dyDescent="0.25">
      <c r="A21" s="667" t="s">
        <v>581</v>
      </c>
      <c r="B21" s="668"/>
      <c r="C21" s="669"/>
      <c r="D21" s="473">
        <f>D20</f>
        <v>3455.6301369863008</v>
      </c>
      <c r="E21" s="468"/>
      <c r="G21" s="472"/>
    </row>
    <row r="22" spans="1:7" x14ac:dyDescent="0.25">
      <c r="A22" s="697" t="s">
        <v>557</v>
      </c>
      <c r="B22" s="698"/>
      <c r="C22" s="699"/>
      <c r="D22" s="471">
        <f>D12</f>
        <v>26.08</v>
      </c>
      <c r="E22" s="468"/>
    </row>
    <row r="23" spans="1:7" ht="14.25" thickBot="1" x14ac:dyDescent="0.3">
      <c r="A23" s="700" t="s">
        <v>556</v>
      </c>
      <c r="B23" s="701"/>
      <c r="C23" s="702"/>
      <c r="D23" s="470">
        <f>ROUND(D21/D22,3)</f>
        <v>132.501</v>
      </c>
      <c r="E23" s="468"/>
    </row>
    <row r="24" spans="1:7" ht="34.5" customHeight="1" thickBot="1" x14ac:dyDescent="0.3">
      <c r="A24" s="670" t="s">
        <v>579</v>
      </c>
      <c r="B24" s="671"/>
      <c r="C24" s="672"/>
      <c r="D24" s="469">
        <f>D23*1</f>
        <v>132.501</v>
      </c>
      <c r="E24" s="468"/>
    </row>
    <row r="25" spans="1:7" ht="14.25" outlineLevel="1" thickBot="1" x14ac:dyDescent="0.3">
      <c r="A25" s="665" t="s">
        <v>553</v>
      </c>
      <c r="B25" s="665"/>
      <c r="C25" s="666"/>
    </row>
    <row r="26" spans="1:7" outlineLevel="1" x14ac:dyDescent="0.25">
      <c r="A26" s="662" t="s">
        <v>549</v>
      </c>
      <c r="B26" s="663"/>
      <c r="C26" s="664"/>
    </row>
    <row r="27" spans="1:7" s="466" customFormat="1" outlineLevel="1" x14ac:dyDescent="0.25">
      <c r="A27" s="656" t="s">
        <v>548</v>
      </c>
      <c r="B27" s="657"/>
      <c r="C27" s="467">
        <v>1280</v>
      </c>
    </row>
    <row r="28" spans="1:7" outlineLevel="1" x14ac:dyDescent="0.25">
      <c r="A28" s="658" t="s">
        <v>547</v>
      </c>
      <c r="B28" s="659"/>
      <c r="C28" s="462">
        <v>1</v>
      </c>
    </row>
    <row r="29" spans="1:7" outlineLevel="1" x14ac:dyDescent="0.25">
      <c r="A29" s="658" t="s">
        <v>546</v>
      </c>
      <c r="B29" s="659"/>
      <c r="C29" s="462">
        <v>10</v>
      </c>
    </row>
    <row r="30" spans="1:7" outlineLevel="1" x14ac:dyDescent="0.25">
      <c r="A30" s="658" t="s">
        <v>545</v>
      </c>
      <c r="B30" s="659"/>
      <c r="C30" s="461">
        <f>0.9*C29</f>
        <v>9</v>
      </c>
    </row>
    <row r="31" spans="1:7" ht="14.25" outlineLevel="1" thickBot="1" x14ac:dyDescent="0.3">
      <c r="A31" s="660" t="s">
        <v>544</v>
      </c>
      <c r="B31" s="661"/>
      <c r="C31" s="458">
        <f>(C27*C28*C30)/1000</f>
        <v>11.52</v>
      </c>
    </row>
    <row r="32" spans="1:7" outlineLevel="1" x14ac:dyDescent="0.25">
      <c r="A32" s="653" t="s">
        <v>530</v>
      </c>
      <c r="B32" s="654"/>
      <c r="C32" s="655"/>
      <c r="E32" s="465"/>
    </row>
    <row r="33" spans="1:5" outlineLevel="1" x14ac:dyDescent="0.25">
      <c r="A33" s="651" t="s">
        <v>529</v>
      </c>
      <c r="B33" s="652"/>
      <c r="C33" s="455">
        <f>D24</f>
        <v>132.501</v>
      </c>
      <c r="E33" s="465"/>
    </row>
    <row r="34" spans="1:5" outlineLevel="1" x14ac:dyDescent="0.25">
      <c r="A34" s="651" t="s">
        <v>528</v>
      </c>
      <c r="B34" s="652"/>
      <c r="C34" s="455">
        <v>2</v>
      </c>
      <c r="E34" s="465"/>
    </row>
    <row r="35" spans="1:5" outlineLevel="1" x14ac:dyDescent="0.25">
      <c r="A35" s="651" t="s">
        <v>527</v>
      </c>
      <c r="B35" s="652"/>
      <c r="C35" s="455">
        <f>C31</f>
        <v>11.52</v>
      </c>
      <c r="E35" s="465"/>
    </row>
    <row r="36" spans="1:5" outlineLevel="1" x14ac:dyDescent="0.25">
      <c r="A36" s="651" t="s">
        <v>526</v>
      </c>
      <c r="B36" s="652"/>
      <c r="C36" s="455">
        <f>((C33)/(C34*C35))</f>
        <v>5.7509114583333334</v>
      </c>
      <c r="E36" s="465"/>
    </row>
    <row r="37" spans="1:5" outlineLevel="1" x14ac:dyDescent="0.25">
      <c r="A37" s="647" t="s">
        <v>519</v>
      </c>
      <c r="B37" s="648"/>
      <c r="C37" s="456">
        <f>_xlfn.CEILING.MATH(C36,1)</f>
        <v>6</v>
      </c>
      <c r="E37" s="465"/>
    </row>
    <row r="39" spans="1:5" x14ac:dyDescent="0.25">
      <c r="B39" s="678" t="s">
        <v>513</v>
      </c>
      <c r="C39" s="678"/>
    </row>
    <row r="42" spans="1:5" x14ac:dyDescent="0.25">
      <c r="B42" s="359" t="s">
        <v>99</v>
      </c>
    </row>
    <row r="44" spans="1:5" x14ac:dyDescent="0.25">
      <c r="B44" s="453" t="s">
        <v>582</v>
      </c>
      <c r="C44" s="176">
        <f>C37</f>
        <v>6</v>
      </c>
    </row>
    <row r="45" spans="1:5" x14ac:dyDescent="0.25">
      <c r="B45" s="453" t="s">
        <v>130</v>
      </c>
      <c r="C45" s="176">
        <v>2</v>
      </c>
    </row>
    <row r="46" spans="1:5" x14ac:dyDescent="0.25">
      <c r="B46" s="453" t="s">
        <v>131</v>
      </c>
      <c r="C46" s="176">
        <v>1</v>
      </c>
    </row>
    <row r="47" spans="1:5" x14ac:dyDescent="0.25">
      <c r="B47" s="450" t="s">
        <v>129</v>
      </c>
      <c r="C47" s="176">
        <v>1</v>
      </c>
    </row>
    <row r="48" spans="1:5" x14ac:dyDescent="0.25">
      <c r="B48" s="450" t="s">
        <v>127</v>
      </c>
      <c r="C48" s="176">
        <v>1</v>
      </c>
    </row>
    <row r="49" spans="2:3" x14ac:dyDescent="0.25">
      <c r="B49" s="767"/>
      <c r="C49" s="768"/>
    </row>
    <row r="50" spans="2:3" x14ac:dyDescent="0.25">
      <c r="B50" s="767"/>
      <c r="C50" s="768"/>
    </row>
    <row r="51" spans="2:3" x14ac:dyDescent="0.25">
      <c r="B51" s="767"/>
      <c r="C51" s="768"/>
    </row>
    <row r="55" spans="2:3" x14ac:dyDescent="0.25">
      <c r="B55" s="359" t="s">
        <v>112</v>
      </c>
    </row>
    <row r="57" spans="2:3" x14ac:dyDescent="0.25">
      <c r="B57" s="453" t="s">
        <v>468</v>
      </c>
      <c r="C57" s="63">
        <v>2</v>
      </c>
    </row>
    <row r="58" spans="2:3" x14ac:dyDescent="0.25">
      <c r="B58" s="453" t="s">
        <v>126</v>
      </c>
      <c r="C58" s="63">
        <f>C46</f>
        <v>1</v>
      </c>
    </row>
    <row r="59" spans="2:3" x14ac:dyDescent="0.25">
      <c r="B59" s="453" t="s">
        <v>472</v>
      </c>
      <c r="C59" s="63">
        <f>C44+C45</f>
        <v>8</v>
      </c>
    </row>
    <row r="60" spans="2:3" x14ac:dyDescent="0.25">
      <c r="B60" s="453" t="s">
        <v>125</v>
      </c>
      <c r="C60" s="176">
        <f>C47</f>
        <v>1</v>
      </c>
    </row>
    <row r="61" spans="2:3" x14ac:dyDescent="0.25">
      <c r="B61" s="453" t="s">
        <v>124</v>
      </c>
      <c r="C61" s="176">
        <f>C48</f>
        <v>1</v>
      </c>
    </row>
    <row r="62" spans="2:3" x14ac:dyDescent="0.25">
      <c r="B62" s="453" t="s">
        <v>471</v>
      </c>
      <c r="C62" s="176">
        <f>C47+C48+C46+(C44+C45)*2</f>
        <v>19</v>
      </c>
    </row>
  </sheetData>
  <mergeCells count="34">
    <mergeCell ref="B39:C39"/>
    <mergeCell ref="A33:B33"/>
    <mergeCell ref="A34:B34"/>
    <mergeCell ref="A35:B35"/>
    <mergeCell ref="A36:B36"/>
    <mergeCell ref="A37:B37"/>
    <mergeCell ref="A32:C32"/>
    <mergeCell ref="A28:B28"/>
    <mergeCell ref="A29:B29"/>
    <mergeCell ref="A30:B30"/>
    <mergeCell ref="A31:B31"/>
    <mergeCell ref="A27:B27"/>
    <mergeCell ref="A17:C17"/>
    <mergeCell ref="A18:C18"/>
    <mergeCell ref="A19:C19"/>
    <mergeCell ref="A20:C20"/>
    <mergeCell ref="A21:C21"/>
    <mergeCell ref="A22:C22"/>
    <mergeCell ref="A23:C23"/>
    <mergeCell ref="A24:C24"/>
    <mergeCell ref="A25:C25"/>
    <mergeCell ref="A26:C26"/>
    <mergeCell ref="A16:C16"/>
    <mergeCell ref="A1:E1"/>
    <mergeCell ref="A2:E2"/>
    <mergeCell ref="A6:B6"/>
    <mergeCell ref="A7:B7"/>
    <mergeCell ref="D7:E7"/>
    <mergeCell ref="A11:D11"/>
    <mergeCell ref="A12:C12"/>
    <mergeCell ref="A13:C13"/>
    <mergeCell ref="E13:E14"/>
    <mergeCell ref="A14:C14"/>
    <mergeCell ref="A15:D15"/>
  </mergeCells>
  <pageMargins left="0.98425196850393704" right="0.59055118110236215" top="1.1811023622047243" bottom="0.59055118110236215" header="0.11811023622047244" footer="0.51181102362204722"/>
  <pageSetup paperSize="9" scale="54" fitToHeight="0" orientation="portrait" r:id="rId1"/>
  <headerFooter>
    <oddHeader>&amp;L&amp;G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5" tint="0.59999389629810485"/>
    <pageSetUpPr fitToPage="1"/>
  </sheetPr>
  <dimension ref="A1:H27"/>
  <sheetViews>
    <sheetView view="pageLayout" zoomScaleNormal="100" zoomScaleSheetLayoutView="100" workbookViewId="0">
      <selection activeCell="B28" sqref="B28"/>
    </sheetView>
  </sheetViews>
  <sheetFormatPr defaultColWidth="9.140625" defaultRowHeight="13.5" x14ac:dyDescent="0.25"/>
  <cols>
    <col min="1" max="1" width="9.5703125" style="93" customWidth="1"/>
    <col min="2" max="2" width="46.140625" style="93" customWidth="1"/>
    <col min="3" max="3" width="15.140625" style="93" customWidth="1"/>
    <col min="4" max="4" width="11" style="93" customWidth="1"/>
    <col min="5" max="6" width="16.85546875" style="93" customWidth="1"/>
    <col min="7" max="7" width="14.85546875" style="95" customWidth="1"/>
    <col min="8" max="8" width="11.7109375" style="94" customWidth="1"/>
    <col min="9" max="16384" width="9.140625" style="93"/>
  </cols>
  <sheetData>
    <row r="1" spans="1:6" x14ac:dyDescent="0.25">
      <c r="A1" s="715" t="s">
        <v>105</v>
      </c>
      <c r="B1" s="715"/>
      <c r="C1" s="715"/>
      <c r="D1" s="715"/>
      <c r="E1" s="715"/>
      <c r="F1" s="715"/>
    </row>
    <row r="2" spans="1:6" ht="14.25" thickBot="1" x14ac:dyDescent="0.3">
      <c r="A2" s="716" t="str">
        <f>'ORÇAMENTO GERAL'!B10</f>
        <v>Varrição Manual</v>
      </c>
      <c r="B2" s="716"/>
      <c r="C2" s="716"/>
      <c r="D2" s="716"/>
      <c r="E2" s="716"/>
      <c r="F2" s="716"/>
    </row>
    <row r="3" spans="1:6" ht="14.25" thickBot="1" x14ac:dyDescent="0.3">
      <c r="A3" s="269"/>
      <c r="B3" s="269"/>
      <c r="C3" s="269"/>
      <c r="D3" s="269"/>
      <c r="E3" s="90" t="s">
        <v>104</v>
      </c>
      <c r="F3" s="90" t="s">
        <v>500</v>
      </c>
    </row>
    <row r="4" spans="1:6" ht="14.25" thickBot="1" x14ac:dyDescent="0.3">
      <c r="A4" s="88" t="s">
        <v>54</v>
      </c>
      <c r="B4" s="87" t="s">
        <v>53</v>
      </c>
      <c r="C4" s="86" t="s">
        <v>102</v>
      </c>
      <c r="D4" s="85" t="s">
        <v>49</v>
      </c>
      <c r="E4" s="85" t="s">
        <v>101</v>
      </c>
      <c r="F4" s="84" t="s">
        <v>100</v>
      </c>
    </row>
    <row r="5" spans="1:6" x14ac:dyDescent="0.25">
      <c r="A5" s="131">
        <v>1</v>
      </c>
      <c r="B5" s="130" t="s">
        <v>99</v>
      </c>
      <c r="C5" s="129"/>
      <c r="D5" s="128"/>
      <c r="E5" s="128"/>
      <c r="F5" s="127"/>
    </row>
    <row r="6" spans="1:6" x14ac:dyDescent="0.25">
      <c r="A6" s="126" t="s">
        <v>31</v>
      </c>
      <c r="B6" s="120" t="s">
        <v>113</v>
      </c>
      <c r="C6" s="125" t="s">
        <v>85</v>
      </c>
      <c r="D6" s="124">
        <v>2</v>
      </c>
      <c r="E6" s="123" t="e">
        <f>'4.3 EQUIP VEICULOS (2)'!C39</f>
        <v>#DIV/0!</v>
      </c>
      <c r="F6" s="109" t="e">
        <f>E6*D6</f>
        <v>#DIV/0!</v>
      </c>
    </row>
    <row r="7" spans="1:6" x14ac:dyDescent="0.25">
      <c r="A7" s="100"/>
      <c r="B7" s="108" t="s">
        <v>109</v>
      </c>
      <c r="C7" s="122"/>
      <c r="D7" s="121"/>
      <c r="E7" s="105" t="s">
        <v>48</v>
      </c>
      <c r="F7" s="104" t="e">
        <f>SUM(F6:F6)</f>
        <v>#DIV/0!</v>
      </c>
    </row>
    <row r="8" spans="1:6" x14ac:dyDescent="0.25">
      <c r="A8" s="118">
        <v>2</v>
      </c>
      <c r="B8" s="117" t="s">
        <v>112</v>
      </c>
      <c r="C8" s="116"/>
      <c r="D8" s="115"/>
      <c r="E8" s="114"/>
      <c r="F8" s="113"/>
    </row>
    <row r="9" spans="1:6" x14ac:dyDescent="0.25">
      <c r="A9" s="112" t="s">
        <v>17</v>
      </c>
      <c r="B9" s="98" t="s">
        <v>460</v>
      </c>
      <c r="C9" s="71" t="s">
        <v>94</v>
      </c>
      <c r="D9" s="110">
        <f>'4.4 DIM VARR MAN'!F18</f>
        <v>3</v>
      </c>
      <c r="E9" s="119" t="e">
        <f>'4.2 CPU MO'!F37</f>
        <v>#DIV/0!</v>
      </c>
      <c r="F9" s="109" t="e">
        <f t="shared" ref="F9:F11" si="0">E9*D9</f>
        <v>#DIV/0!</v>
      </c>
    </row>
    <row r="10" spans="1:6" x14ac:dyDescent="0.25">
      <c r="A10" s="112" t="s">
        <v>15</v>
      </c>
      <c r="B10" s="98" t="s">
        <v>111</v>
      </c>
      <c r="C10" s="71" t="s">
        <v>94</v>
      </c>
      <c r="D10" s="110">
        <f>D6</f>
        <v>2</v>
      </c>
      <c r="E10" s="119" t="e">
        <f>'4.2 CPU MO'!F72</f>
        <v>#DIV/0!</v>
      </c>
      <c r="F10" s="109" t="e">
        <f t="shared" si="0"/>
        <v>#DIV/0!</v>
      </c>
    </row>
    <row r="11" spans="1:6" x14ac:dyDescent="0.25">
      <c r="A11" s="112" t="s">
        <v>13</v>
      </c>
      <c r="B11" s="98" t="s">
        <v>461</v>
      </c>
      <c r="C11" s="71" t="s">
        <v>94</v>
      </c>
      <c r="D11" s="110">
        <f>'4.4 DIM VARR MAN'!F16</f>
        <v>62</v>
      </c>
      <c r="E11" s="119" t="e">
        <f>'4.2 CPU MO'!F110</f>
        <v>#DIV/0!</v>
      </c>
      <c r="F11" s="109" t="e">
        <f t="shared" si="0"/>
        <v>#DIV/0!</v>
      </c>
    </row>
    <row r="12" spans="1:6" x14ac:dyDescent="0.25">
      <c r="A12" s="112"/>
      <c r="B12" s="108" t="s">
        <v>109</v>
      </c>
      <c r="C12" s="107"/>
      <c r="D12" s="110"/>
      <c r="E12" s="105" t="s">
        <v>48</v>
      </c>
      <c r="F12" s="104" t="e">
        <f>SUM(F9:F11)</f>
        <v>#DIV/0!</v>
      </c>
    </row>
    <row r="13" spans="1:6" x14ac:dyDescent="0.25">
      <c r="A13" s="118">
        <v>3</v>
      </c>
      <c r="B13" s="117" t="s">
        <v>92</v>
      </c>
      <c r="C13" s="116"/>
      <c r="D13" s="115"/>
      <c r="E13" s="114"/>
      <c r="F13" s="113"/>
    </row>
    <row r="14" spans="1:6" x14ac:dyDescent="0.25">
      <c r="A14" s="112" t="s">
        <v>91</v>
      </c>
      <c r="B14" s="98" t="s">
        <v>88</v>
      </c>
      <c r="C14" s="111" t="s">
        <v>85</v>
      </c>
      <c r="D14" s="106">
        <f>D11</f>
        <v>62</v>
      </c>
      <c r="E14" s="69">
        <f>VLOOKUP(B14,'1.1 CUSTO FERRAME-UNIFORME-EPI'!B:C,2,FALSE)</f>
        <v>0</v>
      </c>
      <c r="F14" s="109">
        <f>E14*D14</f>
        <v>0</v>
      </c>
    </row>
    <row r="15" spans="1:6" x14ac:dyDescent="0.25">
      <c r="A15" s="112" t="s">
        <v>89</v>
      </c>
      <c r="B15" s="98" t="s">
        <v>216</v>
      </c>
      <c r="C15" s="111" t="s">
        <v>85</v>
      </c>
      <c r="D15" s="106">
        <f>D11/2</f>
        <v>31</v>
      </c>
      <c r="E15" s="69" t="e">
        <f>'4.3 EQUIP VEICULOS (2)'!D39</f>
        <v>#DIV/0!</v>
      </c>
      <c r="F15" s="109" t="e">
        <f>E15*D15</f>
        <v>#DIV/0!</v>
      </c>
    </row>
    <row r="16" spans="1:6" x14ac:dyDescent="0.25">
      <c r="A16" s="112" t="s">
        <v>87</v>
      </c>
      <c r="B16" s="98" t="s">
        <v>110</v>
      </c>
      <c r="C16" s="111" t="s">
        <v>85</v>
      </c>
      <c r="D16" s="110">
        <f>26.08*D11</f>
        <v>1616.9599999999998</v>
      </c>
      <c r="E16" s="69" t="e">
        <f>VLOOKUP(B16,'1.1 CUSTO FERRAME-UNIFORME-EPI'!B:C,2,FALSE)</f>
        <v>#DIV/0!</v>
      </c>
      <c r="F16" s="109" t="e">
        <f>E16*D16</f>
        <v>#DIV/0!</v>
      </c>
    </row>
    <row r="17" spans="1:8" x14ac:dyDescent="0.25">
      <c r="A17" s="100"/>
      <c r="B17" s="108" t="s">
        <v>109</v>
      </c>
      <c r="C17" s="107"/>
      <c r="D17" s="106"/>
      <c r="E17" s="105" t="s">
        <v>48</v>
      </c>
      <c r="F17" s="104" t="e">
        <f>SUM(F14:F16)</f>
        <v>#DIV/0!</v>
      </c>
    </row>
    <row r="18" spans="1:8" x14ac:dyDescent="0.25">
      <c r="A18" s="54"/>
      <c r="B18" s="54" t="s">
        <v>83</v>
      </c>
      <c r="C18" s="54"/>
      <c r="D18" s="54"/>
      <c r="E18" s="54"/>
      <c r="F18" s="67"/>
    </row>
    <row r="19" spans="1:8" x14ac:dyDescent="0.25">
      <c r="A19" s="103"/>
      <c r="B19" s="60" t="s">
        <v>82</v>
      </c>
      <c r="C19" s="101" t="s">
        <v>81</v>
      </c>
      <c r="D19" s="60"/>
      <c r="E19" s="98"/>
      <c r="F19" s="66" t="e">
        <f>SUM(F17,F12,F7)</f>
        <v>#DIV/0!</v>
      </c>
      <c r="H19" s="96"/>
    </row>
    <row r="20" spans="1:8" x14ac:dyDescent="0.25">
      <c r="A20" s="103"/>
      <c r="B20" s="65" t="s">
        <v>80</v>
      </c>
      <c r="C20" s="99" t="s">
        <v>108</v>
      </c>
      <c r="D20" s="102"/>
      <c r="E20" s="98"/>
      <c r="F20" s="64">
        <f>'4.4 DIM VARR MAN'!F10</f>
        <v>6189.6183500000006</v>
      </c>
      <c r="H20" s="96"/>
    </row>
    <row r="21" spans="1:8" x14ac:dyDescent="0.25">
      <c r="A21" s="100"/>
      <c r="B21" s="60" t="s">
        <v>78</v>
      </c>
      <c r="C21" s="101" t="s">
        <v>107</v>
      </c>
      <c r="D21" s="60"/>
      <c r="E21" s="98"/>
      <c r="F21" s="61" t="e">
        <f>F19/F20</f>
        <v>#DIV/0!</v>
      </c>
      <c r="H21" s="96"/>
    </row>
    <row r="22" spans="1:8" x14ac:dyDescent="0.25">
      <c r="A22" s="100"/>
      <c r="B22" s="60" t="s">
        <v>77</v>
      </c>
      <c r="C22" s="99" t="s">
        <v>76</v>
      </c>
      <c r="D22" s="58">
        <f>'BDI '!$C$22</f>
        <v>5.2600000000000001E-2</v>
      </c>
      <c r="E22" s="98"/>
      <c r="F22" s="56" t="e">
        <f>F21*D22</f>
        <v>#DIV/0!</v>
      </c>
      <c r="H22" s="96"/>
    </row>
    <row r="23" spans="1:8" x14ac:dyDescent="0.25">
      <c r="A23" s="54"/>
      <c r="B23" s="54" t="s">
        <v>75</v>
      </c>
      <c r="C23" s="55" t="s">
        <v>106</v>
      </c>
      <c r="D23" s="54"/>
      <c r="E23" s="54"/>
      <c r="F23" s="53" t="e">
        <f>ROUND(F21+F22,2)</f>
        <v>#DIV/0!</v>
      </c>
      <c r="H23" s="96"/>
    </row>
    <row r="24" spans="1:8" s="96" customFormat="1" ht="16.5" customHeight="1" x14ac:dyDescent="0.25"/>
    <row r="25" spans="1:8" s="96" customFormat="1" ht="16.5" customHeight="1" x14ac:dyDescent="0.25">
      <c r="F25" s="97"/>
    </row>
    <row r="26" spans="1:8" s="96" customFormat="1" ht="16.5" customHeight="1" x14ac:dyDescent="0.25"/>
    <row r="27" spans="1:8" s="96" customFormat="1" ht="16.5" customHeight="1" x14ac:dyDescent="0.25"/>
  </sheetData>
  <mergeCells count="2">
    <mergeCell ref="A1:F1"/>
    <mergeCell ref="A2:F2"/>
  </mergeCells>
  <pageMargins left="0.98425196850393704" right="0.59055118110236215" top="1.1811023622047243" bottom="0.59055118110236215" header="0.11811023622047244" footer="0.51181102362204722"/>
  <pageSetup paperSize="9" scale="73" fitToHeight="0" orientation="portrait" r:id="rId1"/>
  <headerFooter>
    <oddHeader>&amp;L&amp;G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tint="0.59999389629810485"/>
    <pageSetUpPr fitToPage="1"/>
  </sheetPr>
  <dimension ref="B1:I110"/>
  <sheetViews>
    <sheetView view="pageLayout" zoomScaleNormal="100" zoomScaleSheetLayoutView="85" workbookViewId="0">
      <selection activeCell="C16" sqref="C16"/>
    </sheetView>
  </sheetViews>
  <sheetFormatPr defaultColWidth="9" defaultRowHeight="15" x14ac:dyDescent="0.25"/>
  <cols>
    <col min="1" max="1" width="9" style="311"/>
    <col min="2" max="2" width="6.5703125" style="311" customWidth="1"/>
    <col min="3" max="3" width="45.28515625" style="311" customWidth="1"/>
    <col min="4" max="9" width="14" style="311" customWidth="1"/>
    <col min="10" max="16384" width="9" style="311"/>
  </cols>
  <sheetData>
    <row r="1" spans="2:9" ht="12" customHeight="1" x14ac:dyDescent="0.25">
      <c r="C1" s="312"/>
    </row>
    <row r="2" spans="2:9" ht="20.25" customHeight="1" x14ac:dyDescent="0.25">
      <c r="B2" s="717" t="s">
        <v>55</v>
      </c>
      <c r="C2" s="717"/>
      <c r="D2" s="717"/>
      <c r="E2" s="717"/>
      <c r="F2" s="717"/>
      <c r="G2" s="717"/>
      <c r="H2" s="717"/>
      <c r="I2" s="717"/>
    </row>
    <row r="3" spans="2:9" ht="9.9499999999999993" customHeight="1" x14ac:dyDescent="0.25"/>
    <row r="5" spans="2:9" x14ac:dyDescent="0.25">
      <c r="B5" s="313" t="s">
        <v>54</v>
      </c>
      <c r="C5" s="314" t="s">
        <v>53</v>
      </c>
      <c r="D5" s="705" t="s">
        <v>63</v>
      </c>
      <c r="E5" s="706"/>
      <c r="F5" s="707"/>
      <c r="G5" s="705" t="s">
        <v>64</v>
      </c>
      <c r="H5" s="706"/>
      <c r="I5" s="707"/>
    </row>
    <row r="6" spans="2:9" x14ac:dyDescent="0.25">
      <c r="B6" s="315"/>
      <c r="C6" s="316"/>
      <c r="D6" s="709"/>
      <c r="E6" s="710"/>
      <c r="F6" s="711"/>
      <c r="G6" s="709"/>
      <c r="H6" s="710"/>
      <c r="I6" s="711"/>
    </row>
    <row r="7" spans="2:9" x14ac:dyDescent="0.25">
      <c r="B7" s="317" t="s">
        <v>52</v>
      </c>
      <c r="C7" s="318" t="s">
        <v>51</v>
      </c>
      <c r="D7" s="319" t="s">
        <v>50</v>
      </c>
      <c r="E7" s="319" t="s">
        <v>49</v>
      </c>
      <c r="F7" s="319" t="s">
        <v>48</v>
      </c>
      <c r="G7" s="319" t="s">
        <v>50</v>
      </c>
      <c r="H7" s="319" t="s">
        <v>49</v>
      </c>
      <c r="I7" s="319" t="s">
        <v>48</v>
      </c>
    </row>
    <row r="8" spans="2:9" x14ac:dyDescent="0.25">
      <c r="B8" s="317" t="s">
        <v>47</v>
      </c>
      <c r="C8" s="318" t="s">
        <v>46</v>
      </c>
      <c r="D8" s="319"/>
      <c r="E8" s="319"/>
      <c r="F8" s="319"/>
      <c r="G8" s="319"/>
      <c r="H8" s="319"/>
      <c r="I8" s="319"/>
    </row>
    <row r="9" spans="2:9" x14ac:dyDescent="0.25">
      <c r="B9" s="320" t="s">
        <v>45</v>
      </c>
      <c r="C9" s="321" t="s">
        <v>44</v>
      </c>
      <c r="D9" s="322">
        <f>'1.1 SALÁRIOS'!$F$10</f>
        <v>0</v>
      </c>
      <c r="E9" s="322">
        <v>1</v>
      </c>
      <c r="F9" s="322">
        <f>E9*D9</f>
        <v>0</v>
      </c>
      <c r="G9" s="322">
        <f>'1.1 SALÁRIOS'!$F$10</f>
        <v>0</v>
      </c>
      <c r="H9" s="322">
        <v>1</v>
      </c>
      <c r="I9" s="322">
        <f>H9*G9</f>
        <v>0</v>
      </c>
    </row>
    <row r="10" spans="2:9" x14ac:dyDescent="0.25">
      <c r="B10" s="320" t="s">
        <v>43</v>
      </c>
      <c r="C10" s="321" t="s">
        <v>42</v>
      </c>
      <c r="D10" s="322">
        <f>'1.1 SALÁRIOS'!$F$24</f>
        <v>0</v>
      </c>
      <c r="E10" s="387">
        <v>0</v>
      </c>
      <c r="F10" s="322">
        <f>E10*D10</f>
        <v>0</v>
      </c>
      <c r="G10" s="322">
        <f>'1.1 SALÁRIOS'!$F$24</f>
        <v>0</v>
      </c>
      <c r="H10" s="387">
        <v>0</v>
      </c>
      <c r="I10" s="322">
        <f>H10*G10</f>
        <v>0</v>
      </c>
    </row>
    <row r="11" spans="2:9" x14ac:dyDescent="0.25">
      <c r="B11" s="320" t="s">
        <v>41</v>
      </c>
      <c r="C11" s="321" t="s">
        <v>40</v>
      </c>
      <c r="D11" s="322"/>
      <c r="E11" s="322"/>
      <c r="F11" s="322"/>
      <c r="G11" s="322">
        <f>I9+I10</f>
        <v>0</v>
      </c>
      <c r="H11" s="387">
        <v>0.2</v>
      </c>
      <c r="I11" s="322">
        <f>H11*G11</f>
        <v>0</v>
      </c>
    </row>
    <row r="12" spans="2:9" x14ac:dyDescent="0.25">
      <c r="B12" s="320" t="s">
        <v>39</v>
      </c>
      <c r="C12" s="321" t="s">
        <v>38</v>
      </c>
      <c r="D12" s="322"/>
      <c r="E12" s="322"/>
      <c r="F12" s="322"/>
      <c r="G12" s="322"/>
      <c r="H12" s="322"/>
      <c r="I12" s="322"/>
    </row>
    <row r="13" spans="2:9" x14ac:dyDescent="0.25">
      <c r="B13" s="320" t="s">
        <v>37</v>
      </c>
      <c r="C13" s="321" t="s">
        <v>36</v>
      </c>
      <c r="D13" s="322"/>
      <c r="E13" s="322"/>
      <c r="F13" s="322"/>
      <c r="G13" s="322"/>
      <c r="H13" s="322"/>
      <c r="I13" s="322"/>
    </row>
    <row r="14" spans="2:9" x14ac:dyDescent="0.25">
      <c r="B14" s="320" t="s">
        <v>35</v>
      </c>
      <c r="C14" s="321" t="s">
        <v>34</v>
      </c>
      <c r="D14" s="322"/>
      <c r="E14" s="322"/>
      <c r="F14" s="322"/>
      <c r="G14" s="322"/>
      <c r="H14" s="322"/>
      <c r="I14" s="322"/>
    </row>
    <row r="15" spans="2:9" x14ac:dyDescent="0.25">
      <c r="B15" s="320"/>
      <c r="C15" s="318" t="s">
        <v>32</v>
      </c>
      <c r="D15" s="322"/>
      <c r="E15" s="322"/>
      <c r="F15" s="323">
        <f>SUM(F9:F14)</f>
        <v>0</v>
      </c>
      <c r="G15" s="322"/>
      <c r="H15" s="322"/>
      <c r="I15" s="323">
        <f>SUM(I9:I14)</f>
        <v>0</v>
      </c>
    </row>
    <row r="16" spans="2:9" x14ac:dyDescent="0.25">
      <c r="B16" s="317" t="s">
        <v>31</v>
      </c>
      <c r="C16" s="324" t="s">
        <v>30</v>
      </c>
      <c r="D16" s="322">
        <f>F15</f>
        <v>0</v>
      </c>
      <c r="E16" s="14">
        <f>'1.1 SALÁRIOS'!$F$33</f>
        <v>0</v>
      </c>
      <c r="F16" s="322">
        <f>E16*D16</f>
        <v>0</v>
      </c>
      <c r="G16" s="322">
        <f>I15</f>
        <v>0</v>
      </c>
      <c r="H16" s="14">
        <f>'1.1 SALÁRIOS'!$F$33</f>
        <v>0</v>
      </c>
      <c r="I16" s="322">
        <f>H16*G16</f>
        <v>0</v>
      </c>
    </row>
    <row r="17" spans="2:9" x14ac:dyDescent="0.25">
      <c r="B17" s="317" t="s">
        <v>29</v>
      </c>
      <c r="C17" s="325" t="s">
        <v>28</v>
      </c>
      <c r="D17" s="322"/>
      <c r="E17" s="322"/>
      <c r="F17" s="323">
        <f>SUM(F15:F16)</f>
        <v>0</v>
      </c>
      <c r="G17" s="322"/>
      <c r="H17" s="322"/>
      <c r="I17" s="323">
        <f>SUM(I15:I16)</f>
        <v>0</v>
      </c>
    </row>
    <row r="18" spans="2:9" x14ac:dyDescent="0.25">
      <c r="B18" s="317" t="s">
        <v>27</v>
      </c>
      <c r="C18" s="325" t="s">
        <v>26</v>
      </c>
      <c r="D18" s="322"/>
      <c r="E18" s="322"/>
      <c r="F18" s="322"/>
      <c r="G18" s="322"/>
      <c r="H18" s="322"/>
      <c r="I18" s="322"/>
    </row>
    <row r="19" spans="2:9" x14ac:dyDescent="0.25">
      <c r="B19" s="9" t="s">
        <v>25</v>
      </c>
      <c r="C19" s="15" t="s">
        <v>24</v>
      </c>
      <c r="D19" s="11">
        <f>'1.1 SALÁRIOS'!$F$35</f>
        <v>0</v>
      </c>
      <c r="E19" s="11">
        <v>25.25</v>
      </c>
      <c r="F19" s="11">
        <f>IF(2*E19*D19-0.06*D9&lt;0,0,2*E19*D19-0.06*D9)</f>
        <v>0</v>
      </c>
      <c r="G19" s="11">
        <f>'1.1 SALÁRIOS'!$F$35</f>
        <v>0</v>
      </c>
      <c r="H19" s="11">
        <v>25.25</v>
      </c>
      <c r="I19" s="11">
        <f>IF(2*H19*G19-0.06*G9&lt;0,0,2*H19*G19-0.06*G9)</f>
        <v>0</v>
      </c>
    </row>
    <row r="20" spans="2:9" x14ac:dyDescent="0.25">
      <c r="B20" s="9" t="s">
        <v>23</v>
      </c>
      <c r="C20" s="15" t="s">
        <v>369</v>
      </c>
      <c r="D20" s="11">
        <f>('1.1 SALÁRIOS'!$F$36+'1.1 SALÁRIOS'!$F$37)/12</f>
        <v>0</v>
      </c>
      <c r="E20" s="11">
        <v>1</v>
      </c>
      <c r="F20" s="11">
        <f>E20*D20</f>
        <v>0</v>
      </c>
      <c r="G20" s="11">
        <f>('1.1 SALÁRIOS'!$F$36+'1.1 SALÁRIOS'!$F$37)/12</f>
        <v>0</v>
      </c>
      <c r="H20" s="11">
        <v>1</v>
      </c>
      <c r="I20" s="11">
        <f>H20*G20</f>
        <v>0</v>
      </c>
    </row>
    <row r="21" spans="2:9" x14ac:dyDescent="0.25">
      <c r="B21" s="9" t="s">
        <v>22</v>
      </c>
      <c r="C21" s="15" t="s">
        <v>370</v>
      </c>
      <c r="D21" s="11">
        <f>'1.1 SALÁRIOS'!$F$38</f>
        <v>0</v>
      </c>
      <c r="E21" s="11">
        <f>E19</f>
        <v>25.25</v>
      </c>
      <c r="F21" s="11">
        <f>E21*D21</f>
        <v>0</v>
      </c>
      <c r="G21" s="11">
        <f>'1.1 SALÁRIOS'!$F$38</f>
        <v>0</v>
      </c>
      <c r="H21" s="11">
        <f>H19</f>
        <v>25.25</v>
      </c>
      <c r="I21" s="11">
        <f>H21*G21</f>
        <v>0</v>
      </c>
    </row>
    <row r="22" spans="2:9" x14ac:dyDescent="0.25">
      <c r="B22" s="9" t="s">
        <v>21</v>
      </c>
      <c r="C22" s="15" t="s">
        <v>371</v>
      </c>
      <c r="D22" s="11">
        <f>'1.1 SALÁRIOS'!$F$39</f>
        <v>0</v>
      </c>
      <c r="E22" s="11">
        <v>1</v>
      </c>
      <c r="F22" s="11">
        <f>E22*D22</f>
        <v>0</v>
      </c>
      <c r="G22" s="11">
        <f>'1.1 SALÁRIOS'!$F$39</f>
        <v>0</v>
      </c>
      <c r="H22" s="11">
        <v>1</v>
      </c>
      <c r="I22" s="11">
        <f>H22*G22</f>
        <v>0</v>
      </c>
    </row>
    <row r="23" spans="2:9" x14ac:dyDescent="0.25">
      <c r="B23" s="9" t="s">
        <v>374</v>
      </c>
      <c r="C23" s="15" t="s">
        <v>372</v>
      </c>
      <c r="D23" s="11">
        <f>'1.1 SALÁRIOS'!$F$40</f>
        <v>0</v>
      </c>
      <c r="E23" s="11">
        <v>1</v>
      </c>
      <c r="F23" s="11">
        <f>E23*D23</f>
        <v>0</v>
      </c>
      <c r="G23" s="11">
        <f>'1.1 SALÁRIOS'!$F$40</f>
        <v>0</v>
      </c>
      <c r="H23" s="11">
        <v>1</v>
      </c>
      <c r="I23" s="11">
        <f>H23*G23</f>
        <v>0</v>
      </c>
    </row>
    <row r="24" spans="2:9" x14ac:dyDescent="0.25">
      <c r="B24" s="9" t="s">
        <v>375</v>
      </c>
      <c r="C24" s="15" t="s">
        <v>373</v>
      </c>
      <c r="D24" s="11">
        <f>'1.1 SALÁRIOS'!$F$41</f>
        <v>0</v>
      </c>
      <c r="E24" s="11">
        <v>1</v>
      </c>
      <c r="F24" s="11">
        <f>E24*D24</f>
        <v>0</v>
      </c>
      <c r="G24" s="11">
        <f>'1.1 SALÁRIOS'!$F$41</f>
        <v>0</v>
      </c>
      <c r="H24" s="11">
        <v>1</v>
      </c>
      <c r="I24" s="11">
        <f>H24*G24</f>
        <v>0</v>
      </c>
    </row>
    <row r="25" spans="2:9" x14ac:dyDescent="0.25">
      <c r="B25" s="320"/>
      <c r="C25" s="325" t="s">
        <v>20</v>
      </c>
      <c r="D25" s="323"/>
      <c r="E25" s="323"/>
      <c r="F25" s="323">
        <f>SUM(F19:F24)</f>
        <v>0</v>
      </c>
      <c r="G25" s="323"/>
      <c r="H25" s="323"/>
      <c r="I25" s="323">
        <f>SUM(I19:I24)</f>
        <v>0</v>
      </c>
    </row>
    <row r="26" spans="2:9" x14ac:dyDescent="0.25">
      <c r="B26" s="317" t="s">
        <v>19</v>
      </c>
      <c r="C26" s="325" t="s">
        <v>18</v>
      </c>
      <c r="D26" s="322"/>
      <c r="E26" s="322"/>
      <c r="F26" s="322"/>
      <c r="G26" s="322"/>
      <c r="H26" s="322"/>
      <c r="I26" s="322"/>
    </row>
    <row r="27" spans="2:9" x14ac:dyDescent="0.25">
      <c r="B27" s="320" t="s">
        <v>17</v>
      </c>
      <c r="C27" s="326" t="s">
        <v>16</v>
      </c>
      <c r="D27" s="11" t="e">
        <f>VLOOKUP(C27,'1.1 CUSTO FERRAME-UNIFORME-EPI'!B:C,2,FALSE)</f>
        <v>#DIV/0!</v>
      </c>
      <c r="E27" s="328">
        <v>0.17</v>
      </c>
      <c r="F27" s="322" t="e">
        <f t="shared" ref="F27:F34" si="0">E27*D27</f>
        <v>#DIV/0!</v>
      </c>
      <c r="G27" s="327" t="e">
        <f>VLOOKUP(C27,'1.1 CUSTO FERRAME-UNIFORME-EPI'!B:C,2,FALSE)</f>
        <v>#DIV/0!</v>
      </c>
      <c r="H27" s="328">
        <v>0.17</v>
      </c>
      <c r="I27" s="322" t="e">
        <f t="shared" ref="I27:I34" si="1">H27*G27</f>
        <v>#DIV/0!</v>
      </c>
    </row>
    <row r="28" spans="2:9" x14ac:dyDescent="0.25">
      <c r="B28" s="320" t="s">
        <v>15</v>
      </c>
      <c r="C28" s="326" t="s">
        <v>14</v>
      </c>
      <c r="D28" s="11" t="e">
        <f>VLOOKUP(C28,'1.1 CUSTO FERRAME-UNIFORME-EPI'!B:C,2,FALSE)</f>
        <v>#DIV/0!</v>
      </c>
      <c r="E28" s="328">
        <v>0.33</v>
      </c>
      <c r="F28" s="322" t="e">
        <f t="shared" si="0"/>
        <v>#DIV/0!</v>
      </c>
      <c r="G28" s="327" t="e">
        <f>VLOOKUP(C28,'1.1 CUSTO FERRAME-UNIFORME-EPI'!B:C,2,FALSE)</f>
        <v>#DIV/0!</v>
      </c>
      <c r="H28" s="328">
        <v>0.33</v>
      </c>
      <c r="I28" s="322" t="e">
        <f t="shared" si="1"/>
        <v>#DIV/0!</v>
      </c>
    </row>
    <row r="29" spans="2:9" x14ac:dyDescent="0.25">
      <c r="B29" s="320" t="s">
        <v>13</v>
      </c>
      <c r="C29" s="326" t="s">
        <v>12</v>
      </c>
      <c r="D29" s="11" t="e">
        <f>VLOOKUP(C29,'1.1 CUSTO FERRAME-UNIFORME-EPI'!B:C,2,FALSE)</f>
        <v>#DIV/0!</v>
      </c>
      <c r="E29" s="328">
        <v>0.33</v>
      </c>
      <c r="F29" s="322" t="e">
        <f t="shared" si="0"/>
        <v>#DIV/0!</v>
      </c>
      <c r="G29" s="327" t="e">
        <f>VLOOKUP(C29,'1.1 CUSTO FERRAME-UNIFORME-EPI'!B:C,2,FALSE)</f>
        <v>#DIV/0!</v>
      </c>
      <c r="H29" s="328">
        <v>0.33</v>
      </c>
      <c r="I29" s="322" t="e">
        <f t="shared" si="1"/>
        <v>#DIV/0!</v>
      </c>
    </row>
    <row r="30" spans="2:9" x14ac:dyDescent="0.25">
      <c r="B30" s="320" t="s">
        <v>11</v>
      </c>
      <c r="C30" s="326" t="s">
        <v>10</v>
      </c>
      <c r="D30" s="11">
        <f>VLOOKUP(C30,'1.1 CUSTO FERRAME-UNIFORME-EPI'!B:C,2,FALSE)</f>
        <v>0</v>
      </c>
      <c r="E30" s="328">
        <v>0.17</v>
      </c>
      <c r="F30" s="322">
        <f t="shared" si="0"/>
        <v>0</v>
      </c>
      <c r="G30" s="327">
        <f>VLOOKUP(C30,'1.1 CUSTO FERRAME-UNIFORME-EPI'!B:C,2,FALSE)</f>
        <v>0</v>
      </c>
      <c r="H30" s="328">
        <v>0.17</v>
      </c>
      <c r="I30" s="322">
        <f t="shared" si="1"/>
        <v>0</v>
      </c>
    </row>
    <row r="31" spans="2:9" x14ac:dyDescent="0.25">
      <c r="B31" s="320" t="s">
        <v>9</v>
      </c>
      <c r="C31" s="326" t="s">
        <v>8</v>
      </c>
      <c r="D31" s="11">
        <f>VLOOKUP(C31,'1.1 CUSTO FERRAME-UNIFORME-EPI'!B:C,2,FALSE)</f>
        <v>0</v>
      </c>
      <c r="E31" s="328">
        <v>0.17</v>
      </c>
      <c r="F31" s="322">
        <f t="shared" si="0"/>
        <v>0</v>
      </c>
      <c r="G31" s="327">
        <f>VLOOKUP(C31,'1.1 CUSTO FERRAME-UNIFORME-EPI'!B:C,2,FALSE)</f>
        <v>0</v>
      </c>
      <c r="H31" s="328">
        <v>0.17</v>
      </c>
      <c r="I31" s="322">
        <f t="shared" si="1"/>
        <v>0</v>
      </c>
    </row>
    <row r="32" spans="2:9" x14ac:dyDescent="0.25">
      <c r="B32" s="320" t="s">
        <v>7</v>
      </c>
      <c r="C32" s="326" t="s">
        <v>6</v>
      </c>
      <c r="D32" s="11">
        <f>VLOOKUP(C32,'1.1 CUSTO FERRAME-UNIFORME-EPI'!B:C,2,FALSE)</f>
        <v>0</v>
      </c>
      <c r="E32" s="328">
        <v>0.3</v>
      </c>
      <c r="F32" s="322">
        <f t="shared" si="0"/>
        <v>0</v>
      </c>
      <c r="G32" s="327">
        <f>VLOOKUP(C32,'1.1 CUSTO FERRAME-UNIFORME-EPI'!B:C,2,FALSE)</f>
        <v>0</v>
      </c>
      <c r="H32" s="328">
        <v>0</v>
      </c>
      <c r="I32" s="322">
        <f t="shared" si="1"/>
        <v>0</v>
      </c>
    </row>
    <row r="33" spans="2:9" x14ac:dyDescent="0.25">
      <c r="B33" s="320" t="s">
        <v>5</v>
      </c>
      <c r="C33" s="326" t="s">
        <v>4</v>
      </c>
      <c r="D33" s="11" t="e">
        <f>VLOOKUP(C33,'1.1 CUSTO FERRAME-UNIFORME-EPI'!B:C,2,FALSE)</f>
        <v>#DIV/0!</v>
      </c>
      <c r="E33" s="328">
        <v>0</v>
      </c>
      <c r="F33" s="322" t="e">
        <f t="shared" si="0"/>
        <v>#DIV/0!</v>
      </c>
      <c r="G33" s="327" t="e">
        <f>VLOOKUP(C33,'1.1 CUSTO FERRAME-UNIFORME-EPI'!B:C,2,FALSE)</f>
        <v>#DIV/0!</v>
      </c>
      <c r="H33" s="328">
        <v>0.17</v>
      </c>
      <c r="I33" s="322" t="e">
        <f t="shared" si="1"/>
        <v>#DIV/0!</v>
      </c>
    </row>
    <row r="34" spans="2:9" x14ac:dyDescent="0.25">
      <c r="B34" s="320" t="s">
        <v>3</v>
      </c>
      <c r="C34" s="326" t="s">
        <v>202</v>
      </c>
      <c r="D34" s="11" t="e">
        <f>VLOOKUP(C34,'1.1 CUSTO FERRAME-UNIFORME-EPI'!B:C,2,FALSE)</f>
        <v>#DIV/0!</v>
      </c>
      <c r="E34" s="329">
        <v>0.08</v>
      </c>
      <c r="F34" s="322" t="e">
        <f t="shared" si="0"/>
        <v>#DIV/0!</v>
      </c>
      <c r="G34" s="327" t="e">
        <f>VLOOKUP(C34,'1.1 CUSTO FERRAME-UNIFORME-EPI'!B:C,2,FALSE)</f>
        <v>#DIV/0!</v>
      </c>
      <c r="H34" s="386">
        <v>0.08</v>
      </c>
      <c r="I34" s="322" t="e">
        <f t="shared" si="1"/>
        <v>#DIV/0!</v>
      </c>
    </row>
    <row r="35" spans="2:9" x14ac:dyDescent="0.25">
      <c r="B35" s="320"/>
      <c r="C35" s="325" t="s">
        <v>2</v>
      </c>
      <c r="D35" s="330"/>
      <c r="E35" s="330"/>
      <c r="F35" s="331" t="e">
        <f>SUM(F27:F34)</f>
        <v>#DIV/0!</v>
      </c>
      <c r="G35" s="330"/>
      <c r="H35" s="330"/>
      <c r="I35" s="331" t="e">
        <f>SUM(I27:I34)</f>
        <v>#DIV/0!</v>
      </c>
    </row>
    <row r="36" spans="2:9" x14ac:dyDescent="0.25">
      <c r="B36" s="320"/>
      <c r="C36" s="332"/>
      <c r="D36" s="330"/>
      <c r="E36" s="330"/>
      <c r="F36" s="331"/>
      <c r="G36" s="330"/>
      <c r="H36" s="330"/>
      <c r="I36" s="331"/>
    </row>
    <row r="37" spans="2:9" x14ac:dyDescent="0.25">
      <c r="B37" s="333" t="s">
        <v>1</v>
      </c>
      <c r="C37" s="334" t="s">
        <v>0</v>
      </c>
      <c r="D37" s="335"/>
      <c r="E37" s="335"/>
      <c r="F37" s="336" t="e">
        <f>SUM(F17,F25,F35)</f>
        <v>#DIV/0!</v>
      </c>
      <c r="G37" s="335"/>
      <c r="H37" s="335"/>
      <c r="I37" s="336" t="e">
        <f>SUM(I17,I25,I35)</f>
        <v>#DIV/0!</v>
      </c>
    </row>
    <row r="40" spans="2:9" x14ac:dyDescent="0.25">
      <c r="B40" s="313" t="s">
        <v>54</v>
      </c>
      <c r="C40" s="313" t="s">
        <v>53</v>
      </c>
      <c r="D40" s="714" t="s">
        <v>401</v>
      </c>
      <c r="E40" s="714"/>
      <c r="F40" s="714"/>
      <c r="G40" s="714" t="s">
        <v>426</v>
      </c>
      <c r="H40" s="714"/>
      <c r="I40" s="714"/>
    </row>
    <row r="41" spans="2:9" x14ac:dyDescent="0.25">
      <c r="B41" s="315"/>
      <c r="C41" s="315"/>
      <c r="D41" s="713"/>
      <c r="E41" s="713"/>
      <c r="F41" s="713"/>
      <c r="G41" s="713"/>
      <c r="H41" s="713"/>
      <c r="I41" s="713"/>
    </row>
    <row r="42" spans="2:9" x14ac:dyDescent="0.25">
      <c r="B42" s="317" t="s">
        <v>52</v>
      </c>
      <c r="C42" s="337" t="s">
        <v>51</v>
      </c>
      <c r="D42" s="319" t="s">
        <v>50</v>
      </c>
      <c r="E42" s="319" t="s">
        <v>49</v>
      </c>
      <c r="F42" s="319" t="s">
        <v>48</v>
      </c>
      <c r="G42" s="319" t="s">
        <v>50</v>
      </c>
      <c r="H42" s="319" t="s">
        <v>49</v>
      </c>
      <c r="I42" s="319" t="s">
        <v>48</v>
      </c>
    </row>
    <row r="43" spans="2:9" x14ac:dyDescent="0.25">
      <c r="B43" s="317" t="s">
        <v>47</v>
      </c>
      <c r="C43" s="337" t="s">
        <v>46</v>
      </c>
      <c r="D43" s="319"/>
      <c r="E43" s="319"/>
      <c r="F43" s="319"/>
      <c r="G43" s="319"/>
      <c r="H43" s="319"/>
      <c r="I43" s="319"/>
    </row>
    <row r="44" spans="2:9" x14ac:dyDescent="0.25">
      <c r="B44" s="320" t="s">
        <v>45</v>
      </c>
      <c r="C44" s="338" t="s">
        <v>44</v>
      </c>
      <c r="D44" s="339">
        <f>'1.1 SALÁRIOS'!$F$26</f>
        <v>0</v>
      </c>
      <c r="E44" s="322">
        <v>1</v>
      </c>
      <c r="F44" s="322">
        <f>E44*D44</f>
        <v>0</v>
      </c>
      <c r="G44" s="339">
        <f>'1.1 SALÁRIOS'!$F$26</f>
        <v>0</v>
      </c>
      <c r="H44" s="322">
        <v>1</v>
      </c>
      <c r="I44" s="322">
        <f>H44*G44</f>
        <v>0</v>
      </c>
    </row>
    <row r="45" spans="2:9" x14ac:dyDescent="0.25">
      <c r="B45" s="320" t="s">
        <v>43</v>
      </c>
      <c r="C45" s="338" t="s">
        <v>42</v>
      </c>
      <c r="D45" s="322">
        <f>'1.1 SALÁRIOS'!$F$24</f>
        <v>0</v>
      </c>
      <c r="E45" s="387">
        <v>0.2</v>
      </c>
      <c r="F45" s="322">
        <f>E45*D45</f>
        <v>0</v>
      </c>
      <c r="G45" s="322">
        <f>'1.1 SALÁRIOS'!$F$24</f>
        <v>0</v>
      </c>
      <c r="H45" s="387">
        <v>0.2</v>
      </c>
      <c r="I45" s="322">
        <f>H45*G45</f>
        <v>0</v>
      </c>
    </row>
    <row r="46" spans="2:9" x14ac:dyDescent="0.25">
      <c r="B46" s="320" t="s">
        <v>41</v>
      </c>
      <c r="C46" s="338" t="s">
        <v>56</v>
      </c>
      <c r="D46" s="322"/>
      <c r="E46" s="322"/>
      <c r="F46" s="322"/>
      <c r="G46" s="322">
        <f>I44+I45</f>
        <v>0</v>
      </c>
      <c r="H46" s="387">
        <v>0.2</v>
      </c>
      <c r="I46" s="322">
        <f>H46*G46</f>
        <v>0</v>
      </c>
    </row>
    <row r="47" spans="2:9" x14ac:dyDescent="0.25">
      <c r="B47" s="320" t="s">
        <v>39</v>
      </c>
      <c r="C47" s="338" t="s">
        <v>38</v>
      </c>
      <c r="D47" s="322"/>
      <c r="E47" s="322"/>
      <c r="F47" s="322"/>
      <c r="G47" s="322"/>
      <c r="H47" s="322"/>
      <c r="I47" s="322"/>
    </row>
    <row r="48" spans="2:9" x14ac:dyDescent="0.25">
      <c r="B48" s="320" t="s">
        <v>37</v>
      </c>
      <c r="C48" s="338" t="s">
        <v>36</v>
      </c>
      <c r="D48" s="322"/>
      <c r="E48" s="322"/>
      <c r="F48" s="322"/>
      <c r="G48" s="322"/>
      <c r="H48" s="322"/>
      <c r="I48" s="322"/>
    </row>
    <row r="49" spans="2:9" x14ac:dyDescent="0.25">
      <c r="B49" s="320" t="s">
        <v>35</v>
      </c>
      <c r="C49" s="338" t="s">
        <v>34</v>
      </c>
      <c r="D49" s="322"/>
      <c r="E49" s="322"/>
      <c r="F49" s="322"/>
      <c r="G49" s="322"/>
      <c r="H49" s="322"/>
      <c r="I49" s="322"/>
    </row>
    <row r="50" spans="2:9" x14ac:dyDescent="0.25">
      <c r="B50" s="320" t="s">
        <v>33</v>
      </c>
      <c r="C50" s="337" t="s">
        <v>32</v>
      </c>
      <c r="D50" s="322"/>
      <c r="E50" s="322"/>
      <c r="F50" s="323">
        <f>SUM(F44:F49)</f>
        <v>0</v>
      </c>
      <c r="G50" s="322"/>
      <c r="H50" s="322"/>
      <c r="I50" s="323">
        <f>SUM(I44:I49)</f>
        <v>0</v>
      </c>
    </row>
    <row r="51" spans="2:9" x14ac:dyDescent="0.25">
      <c r="B51" s="317" t="s">
        <v>31</v>
      </c>
      <c r="C51" s="324" t="s">
        <v>30</v>
      </c>
      <c r="D51" s="322">
        <f>F50</f>
        <v>0</v>
      </c>
      <c r="E51" s="14">
        <f>'1.1 SALÁRIOS'!$F$33</f>
        <v>0</v>
      </c>
      <c r="F51" s="323">
        <f>E51*D51</f>
        <v>0</v>
      </c>
      <c r="G51" s="322">
        <f>I50</f>
        <v>0</v>
      </c>
      <c r="H51" s="14">
        <f>'1.1 SALÁRIOS'!$F$33</f>
        <v>0</v>
      </c>
      <c r="I51" s="323">
        <f>H51*G51</f>
        <v>0</v>
      </c>
    </row>
    <row r="52" spans="2:9" x14ac:dyDescent="0.25">
      <c r="B52" s="317" t="s">
        <v>29</v>
      </c>
      <c r="C52" s="324" t="s">
        <v>28</v>
      </c>
      <c r="D52" s="322"/>
      <c r="E52" s="322"/>
      <c r="F52" s="323">
        <f>SUM(F50:F51)</f>
        <v>0</v>
      </c>
      <c r="G52" s="322"/>
      <c r="H52" s="322"/>
      <c r="I52" s="323">
        <f>SUM(I50:I51)</f>
        <v>0</v>
      </c>
    </row>
    <row r="53" spans="2:9" x14ac:dyDescent="0.25">
      <c r="B53" s="317" t="s">
        <v>27</v>
      </c>
      <c r="C53" s="324" t="s">
        <v>26</v>
      </c>
      <c r="D53" s="322"/>
      <c r="E53" s="322"/>
      <c r="F53" s="322"/>
      <c r="G53" s="322"/>
      <c r="H53" s="322"/>
      <c r="I53" s="322"/>
    </row>
    <row r="54" spans="2:9" x14ac:dyDescent="0.25">
      <c r="B54" s="9" t="s">
        <v>25</v>
      </c>
      <c r="C54" s="15" t="s">
        <v>24</v>
      </c>
      <c r="D54" s="11">
        <f>'1.1 SALÁRIOS'!$F$35</f>
        <v>0</v>
      </c>
      <c r="E54" s="11">
        <v>25.25</v>
      </c>
      <c r="F54" s="11">
        <f>IF(2*E54*D54-0.06*D44&lt;0,0,2*E54*D54-0.06*D44)</f>
        <v>0</v>
      </c>
      <c r="G54" s="11">
        <f>'1.1 SALÁRIOS'!$F$35</f>
        <v>0</v>
      </c>
      <c r="H54" s="11">
        <v>25.25</v>
      </c>
      <c r="I54" s="11">
        <f>IF(2*H54*G54-0.06*G44&lt;0,0,2*H54*G54-0.06*G44)</f>
        <v>0</v>
      </c>
    </row>
    <row r="55" spans="2:9" x14ac:dyDescent="0.25">
      <c r="B55" s="9" t="s">
        <v>23</v>
      </c>
      <c r="C55" s="15" t="s">
        <v>369</v>
      </c>
      <c r="D55" s="11">
        <f>('1.1 SALÁRIOS'!$F$36+'1.1 SALÁRIOS'!$F$37)/12</f>
        <v>0</v>
      </c>
      <c r="E55" s="11">
        <v>1</v>
      </c>
      <c r="F55" s="11">
        <f>E55*D55</f>
        <v>0</v>
      </c>
      <c r="G55" s="11">
        <f>('1.1 SALÁRIOS'!$F$36+'1.1 SALÁRIOS'!$F$37)/12</f>
        <v>0</v>
      </c>
      <c r="H55" s="11">
        <v>1</v>
      </c>
      <c r="I55" s="11">
        <f>H55*G55</f>
        <v>0</v>
      </c>
    </row>
    <row r="56" spans="2:9" x14ac:dyDescent="0.25">
      <c r="B56" s="9" t="s">
        <v>22</v>
      </c>
      <c r="C56" s="15" t="s">
        <v>370</v>
      </c>
      <c r="D56" s="11">
        <f>'1.1 SALÁRIOS'!$F$38</f>
        <v>0</v>
      </c>
      <c r="E56" s="11">
        <f>E54</f>
        <v>25.25</v>
      </c>
      <c r="F56" s="11">
        <f>E56*D56</f>
        <v>0</v>
      </c>
      <c r="G56" s="11">
        <f>'1.1 SALÁRIOS'!$F$38</f>
        <v>0</v>
      </c>
      <c r="H56" s="11">
        <f>H54</f>
        <v>25.25</v>
      </c>
      <c r="I56" s="11">
        <f>H56*G56</f>
        <v>0</v>
      </c>
    </row>
    <row r="57" spans="2:9" x14ac:dyDescent="0.25">
      <c r="B57" s="9" t="s">
        <v>21</v>
      </c>
      <c r="C57" s="15" t="s">
        <v>371</v>
      </c>
      <c r="D57" s="11">
        <f>'1.1 SALÁRIOS'!$F$39</f>
        <v>0</v>
      </c>
      <c r="E57" s="11">
        <v>1</v>
      </c>
      <c r="F57" s="11">
        <f>E57*D57</f>
        <v>0</v>
      </c>
      <c r="G57" s="11">
        <f>'1.1 SALÁRIOS'!$F$39</f>
        <v>0</v>
      </c>
      <c r="H57" s="11">
        <v>1</v>
      </c>
      <c r="I57" s="11">
        <f>H57*G57</f>
        <v>0</v>
      </c>
    </row>
    <row r="58" spans="2:9" x14ac:dyDescent="0.25">
      <c r="B58" s="9" t="s">
        <v>374</v>
      </c>
      <c r="C58" s="15" t="s">
        <v>372</v>
      </c>
      <c r="D58" s="11">
        <f>'1.1 SALÁRIOS'!$F$40</f>
        <v>0</v>
      </c>
      <c r="E58" s="11">
        <v>1</v>
      </c>
      <c r="F58" s="11">
        <f>E58*D58</f>
        <v>0</v>
      </c>
      <c r="G58" s="11">
        <f>'1.1 SALÁRIOS'!$F$40</f>
        <v>0</v>
      </c>
      <c r="H58" s="11">
        <v>1</v>
      </c>
      <c r="I58" s="11">
        <f>H58*G58</f>
        <v>0</v>
      </c>
    </row>
    <row r="59" spans="2:9" x14ac:dyDescent="0.25">
      <c r="B59" s="9" t="s">
        <v>375</v>
      </c>
      <c r="C59" s="15" t="s">
        <v>373</v>
      </c>
      <c r="D59" s="11">
        <f>'1.1 SALÁRIOS'!$F$41</f>
        <v>0</v>
      </c>
      <c r="E59" s="11">
        <v>1</v>
      </c>
      <c r="F59" s="11">
        <f>E59*D59</f>
        <v>0</v>
      </c>
      <c r="G59" s="11">
        <f>'1.1 SALÁRIOS'!$F$41</f>
        <v>0</v>
      </c>
      <c r="H59" s="11">
        <v>1</v>
      </c>
      <c r="I59" s="11">
        <f>H59*G59</f>
        <v>0</v>
      </c>
    </row>
    <row r="60" spans="2:9" x14ac:dyDescent="0.25">
      <c r="B60" s="320" t="s">
        <v>57</v>
      </c>
      <c r="C60" s="324" t="s">
        <v>20</v>
      </c>
      <c r="D60" s="323"/>
      <c r="E60" s="323"/>
      <c r="F60" s="323">
        <f>SUM(F54:F59)</f>
        <v>0</v>
      </c>
      <c r="G60" s="323"/>
      <c r="H60" s="323"/>
      <c r="I60" s="323">
        <f>SUM(I54:I59)</f>
        <v>0</v>
      </c>
    </row>
    <row r="61" spans="2:9" x14ac:dyDescent="0.25">
      <c r="B61" s="317" t="s">
        <v>19</v>
      </c>
      <c r="C61" s="324" t="s">
        <v>18</v>
      </c>
      <c r="D61" s="322"/>
      <c r="E61" s="322"/>
      <c r="F61" s="322"/>
      <c r="G61" s="322"/>
      <c r="H61" s="322"/>
      <c r="I61" s="322"/>
    </row>
    <row r="62" spans="2:9" x14ac:dyDescent="0.25">
      <c r="B62" s="320" t="s">
        <v>17</v>
      </c>
      <c r="C62" s="340" t="s">
        <v>16</v>
      </c>
      <c r="D62" s="11" t="e">
        <f>VLOOKUP(C62,'1.1 CUSTO FERRAME-UNIFORME-EPI'!B:C,2,FALSE)</f>
        <v>#DIV/0!</v>
      </c>
      <c r="E62" s="328">
        <v>0.17</v>
      </c>
      <c r="F62" s="322" t="e">
        <f t="shared" ref="F62:F69" si="2">E62*D62</f>
        <v>#DIV/0!</v>
      </c>
      <c r="G62" s="327" t="e">
        <f>VLOOKUP(C62,'1.1 CUSTO FERRAME-UNIFORME-EPI'!B:C,2,FALSE)</f>
        <v>#DIV/0!</v>
      </c>
      <c r="H62" s="328">
        <v>0.17</v>
      </c>
      <c r="I62" s="322" t="e">
        <f t="shared" ref="I62:I69" si="3">H62*G62</f>
        <v>#DIV/0!</v>
      </c>
    </row>
    <row r="63" spans="2:9" x14ac:dyDescent="0.25">
      <c r="B63" s="320" t="s">
        <v>15</v>
      </c>
      <c r="C63" s="340" t="s">
        <v>14</v>
      </c>
      <c r="D63" s="11" t="e">
        <f>VLOOKUP(C63,'1.1 CUSTO FERRAME-UNIFORME-EPI'!B:C,2,FALSE)</f>
        <v>#DIV/0!</v>
      </c>
      <c r="E63" s="328">
        <v>0.33</v>
      </c>
      <c r="F63" s="322" t="e">
        <f t="shared" si="2"/>
        <v>#DIV/0!</v>
      </c>
      <c r="G63" s="327" t="e">
        <f>VLOOKUP(C63,'1.1 CUSTO FERRAME-UNIFORME-EPI'!B:C,2,FALSE)</f>
        <v>#DIV/0!</v>
      </c>
      <c r="H63" s="328">
        <v>0.33</v>
      </c>
      <c r="I63" s="322" t="e">
        <f t="shared" si="3"/>
        <v>#DIV/0!</v>
      </c>
    </row>
    <row r="64" spans="2:9" x14ac:dyDescent="0.25">
      <c r="B64" s="320" t="s">
        <v>13</v>
      </c>
      <c r="C64" s="340" t="s">
        <v>12</v>
      </c>
      <c r="D64" s="11" t="e">
        <f>VLOOKUP(C64,'1.1 CUSTO FERRAME-UNIFORME-EPI'!B:C,2,FALSE)</f>
        <v>#DIV/0!</v>
      </c>
      <c r="E64" s="328">
        <v>0.33</v>
      </c>
      <c r="F64" s="322" t="e">
        <f t="shared" si="2"/>
        <v>#DIV/0!</v>
      </c>
      <c r="G64" s="327" t="e">
        <f>VLOOKUP(C64,'1.1 CUSTO FERRAME-UNIFORME-EPI'!B:C,2,FALSE)</f>
        <v>#DIV/0!</v>
      </c>
      <c r="H64" s="328">
        <v>0.33</v>
      </c>
      <c r="I64" s="322" t="e">
        <f t="shared" si="3"/>
        <v>#DIV/0!</v>
      </c>
    </row>
    <row r="65" spans="2:9" x14ac:dyDescent="0.25">
      <c r="B65" s="320" t="s">
        <v>11</v>
      </c>
      <c r="C65" s="340" t="s">
        <v>10</v>
      </c>
      <c r="D65" s="11">
        <f>VLOOKUP(C65,'1.1 CUSTO FERRAME-UNIFORME-EPI'!B:C,2,FALSE)</f>
        <v>0</v>
      </c>
      <c r="E65" s="328">
        <v>0.17</v>
      </c>
      <c r="F65" s="322">
        <f t="shared" si="2"/>
        <v>0</v>
      </c>
      <c r="G65" s="327">
        <f>VLOOKUP(C65,'1.1 CUSTO FERRAME-UNIFORME-EPI'!B:C,2,FALSE)</f>
        <v>0</v>
      </c>
      <c r="H65" s="328">
        <v>0.17</v>
      </c>
      <c r="I65" s="322">
        <f t="shared" si="3"/>
        <v>0</v>
      </c>
    </row>
    <row r="66" spans="2:9" x14ac:dyDescent="0.25">
      <c r="B66" s="320" t="s">
        <v>9</v>
      </c>
      <c r="C66" s="340" t="s">
        <v>8</v>
      </c>
      <c r="D66" s="11">
        <f>VLOOKUP(C66,'1.1 CUSTO FERRAME-UNIFORME-EPI'!B:C,2,FALSE)</f>
        <v>0</v>
      </c>
      <c r="E66" s="328">
        <v>0.17</v>
      </c>
      <c r="F66" s="322">
        <f t="shared" si="2"/>
        <v>0</v>
      </c>
      <c r="G66" s="327">
        <f>VLOOKUP(C66,'1.1 CUSTO FERRAME-UNIFORME-EPI'!B:C,2,FALSE)</f>
        <v>0</v>
      </c>
      <c r="H66" s="328">
        <v>0.17</v>
      </c>
      <c r="I66" s="322">
        <f t="shared" si="3"/>
        <v>0</v>
      </c>
    </row>
    <row r="67" spans="2:9" x14ac:dyDescent="0.25">
      <c r="B67" s="320" t="s">
        <v>7</v>
      </c>
      <c r="C67" s="340" t="s">
        <v>6</v>
      </c>
      <c r="D67" s="11">
        <f>VLOOKUP(C67,'1.1 CUSTO FERRAME-UNIFORME-EPI'!B:C,2,FALSE)</f>
        <v>0</v>
      </c>
      <c r="E67" s="328">
        <v>0.3</v>
      </c>
      <c r="F67" s="322">
        <f t="shared" si="2"/>
        <v>0</v>
      </c>
      <c r="G67" s="327">
        <f>VLOOKUP(C67,'1.1 CUSTO FERRAME-UNIFORME-EPI'!B:C,2,FALSE)</f>
        <v>0</v>
      </c>
      <c r="H67" s="328">
        <v>0</v>
      </c>
      <c r="I67" s="322">
        <f t="shared" si="3"/>
        <v>0</v>
      </c>
    </row>
    <row r="68" spans="2:9" x14ac:dyDescent="0.25">
      <c r="B68" s="320" t="s">
        <v>5</v>
      </c>
      <c r="C68" s="340" t="s">
        <v>4</v>
      </c>
      <c r="D68" s="11" t="e">
        <f>VLOOKUP(C68,'1.1 CUSTO FERRAME-UNIFORME-EPI'!B:C,2,FALSE)</f>
        <v>#DIV/0!</v>
      </c>
      <c r="E68" s="328">
        <v>0</v>
      </c>
      <c r="F68" s="322" t="e">
        <f t="shared" si="2"/>
        <v>#DIV/0!</v>
      </c>
      <c r="G68" s="327" t="e">
        <f>VLOOKUP(C68,'1.1 CUSTO FERRAME-UNIFORME-EPI'!B:C,2,FALSE)</f>
        <v>#DIV/0!</v>
      </c>
      <c r="H68" s="328">
        <v>0.17</v>
      </c>
      <c r="I68" s="322" t="e">
        <f t="shared" si="3"/>
        <v>#DIV/0!</v>
      </c>
    </row>
    <row r="69" spans="2:9" x14ac:dyDescent="0.25">
      <c r="B69" s="320" t="s">
        <v>3</v>
      </c>
      <c r="C69" s="326" t="s">
        <v>202</v>
      </c>
      <c r="D69" s="11" t="e">
        <f>VLOOKUP(C69,'1.1 CUSTO FERRAME-UNIFORME-EPI'!B:C,2,FALSE)</f>
        <v>#DIV/0!</v>
      </c>
      <c r="E69" s="329">
        <v>0.08</v>
      </c>
      <c r="F69" s="322" t="e">
        <f t="shared" si="2"/>
        <v>#DIV/0!</v>
      </c>
      <c r="G69" s="327" t="e">
        <f>VLOOKUP(C69,'1.1 CUSTO FERRAME-UNIFORME-EPI'!B:C,2,FALSE)</f>
        <v>#DIV/0!</v>
      </c>
      <c r="H69" s="386">
        <v>0.08</v>
      </c>
      <c r="I69" s="322" t="e">
        <f t="shared" si="3"/>
        <v>#DIV/0!</v>
      </c>
    </row>
    <row r="70" spans="2:9" x14ac:dyDescent="0.25">
      <c r="B70" s="320"/>
      <c r="C70" s="341" t="s">
        <v>2</v>
      </c>
      <c r="D70" s="330"/>
      <c r="E70" s="330"/>
      <c r="F70" s="331" t="e">
        <f>SUM(F62:F69)</f>
        <v>#DIV/0!</v>
      </c>
      <c r="G70" s="330"/>
      <c r="H70" s="330"/>
      <c r="I70" s="331" t="e">
        <f>SUM(I62:I69)</f>
        <v>#DIV/0!</v>
      </c>
    </row>
    <row r="71" spans="2:9" x14ac:dyDescent="0.25">
      <c r="B71" s="342"/>
      <c r="C71" s="343"/>
      <c r="D71" s="344"/>
      <c r="E71" s="344"/>
      <c r="F71" s="345"/>
      <c r="G71" s="330"/>
      <c r="H71" s="330"/>
      <c r="I71" s="331"/>
    </row>
    <row r="72" spans="2:9" x14ac:dyDescent="0.25">
      <c r="B72" s="333" t="s">
        <v>1</v>
      </c>
      <c r="C72" s="346" t="s">
        <v>0</v>
      </c>
      <c r="D72" s="335"/>
      <c r="E72" s="335"/>
      <c r="F72" s="336" t="e">
        <f>SUM(F70,F60,F52)</f>
        <v>#DIV/0!</v>
      </c>
      <c r="G72" s="335"/>
      <c r="H72" s="335"/>
      <c r="I72" s="336" t="e">
        <f>SUM(I70,I60,I52)</f>
        <v>#DIV/0!</v>
      </c>
    </row>
    <row r="75" spans="2:9" x14ac:dyDescent="0.25">
      <c r="B75" s="313" t="s">
        <v>54</v>
      </c>
      <c r="C75" s="313" t="s">
        <v>53</v>
      </c>
      <c r="D75" s="708" t="s">
        <v>433</v>
      </c>
      <c r="E75" s="708"/>
      <c r="F75" s="708"/>
      <c r="G75" s="708" t="s">
        <v>434</v>
      </c>
      <c r="H75" s="708"/>
      <c r="I75" s="708"/>
    </row>
    <row r="76" spans="2:9" x14ac:dyDescent="0.25">
      <c r="B76" s="315"/>
      <c r="C76" s="315"/>
      <c r="D76" s="713"/>
      <c r="E76" s="713"/>
      <c r="F76" s="713"/>
      <c r="G76" s="713"/>
      <c r="H76" s="713"/>
      <c r="I76" s="713"/>
    </row>
    <row r="77" spans="2:9" x14ac:dyDescent="0.25">
      <c r="B77" s="317" t="s">
        <v>52</v>
      </c>
      <c r="C77" s="337" t="s">
        <v>51</v>
      </c>
      <c r="D77" s="319" t="s">
        <v>50</v>
      </c>
      <c r="E77" s="319" t="s">
        <v>49</v>
      </c>
      <c r="F77" s="319" t="s">
        <v>48</v>
      </c>
      <c r="G77" s="319" t="s">
        <v>50</v>
      </c>
      <c r="H77" s="319" t="s">
        <v>49</v>
      </c>
      <c r="I77" s="319" t="s">
        <v>48</v>
      </c>
    </row>
    <row r="78" spans="2:9" x14ac:dyDescent="0.25">
      <c r="B78" s="317" t="s">
        <v>47</v>
      </c>
      <c r="C78" s="337" t="s">
        <v>46</v>
      </c>
      <c r="D78" s="319"/>
      <c r="E78" s="319"/>
      <c r="F78" s="319"/>
      <c r="G78" s="319"/>
      <c r="H78" s="319"/>
      <c r="I78" s="319"/>
    </row>
    <row r="79" spans="2:9" x14ac:dyDescent="0.25">
      <c r="B79" s="320" t="s">
        <v>45</v>
      </c>
      <c r="C79" s="338" t="s">
        <v>44</v>
      </c>
      <c r="D79" s="339">
        <f>'1.1 SALÁRIOS'!$F$5</f>
        <v>0</v>
      </c>
      <c r="E79" s="322">
        <v>1</v>
      </c>
      <c r="F79" s="322">
        <f>E79*D79</f>
        <v>0</v>
      </c>
      <c r="G79" s="339">
        <f>'1.1 SALÁRIOS'!$F$5</f>
        <v>0</v>
      </c>
      <c r="H79" s="322">
        <v>1</v>
      </c>
      <c r="I79" s="322">
        <f>H79*G79</f>
        <v>0</v>
      </c>
    </row>
    <row r="80" spans="2:9" x14ac:dyDescent="0.25">
      <c r="B80" s="320" t="s">
        <v>43</v>
      </c>
      <c r="C80" s="338" t="s">
        <v>42</v>
      </c>
      <c r="D80" s="322">
        <f>'1.1 SALÁRIOS'!$F$24</f>
        <v>0</v>
      </c>
      <c r="E80" s="387">
        <v>0.4</v>
      </c>
      <c r="F80" s="322">
        <f>E80*D80</f>
        <v>0</v>
      </c>
      <c r="G80" s="322">
        <f>'1.1 SALÁRIOS'!$F$24</f>
        <v>0</v>
      </c>
      <c r="H80" s="387">
        <v>0.4</v>
      </c>
      <c r="I80" s="322">
        <f>H80*G80</f>
        <v>0</v>
      </c>
    </row>
    <row r="81" spans="2:9" x14ac:dyDescent="0.25">
      <c r="B81" s="320" t="s">
        <v>41</v>
      </c>
      <c r="C81" s="338" t="s">
        <v>56</v>
      </c>
      <c r="D81" s="322"/>
      <c r="E81" s="322"/>
      <c r="F81" s="322"/>
      <c r="G81" s="322">
        <f>I79+I80</f>
        <v>0</v>
      </c>
      <c r="H81" s="387">
        <v>0.2</v>
      </c>
      <c r="I81" s="322">
        <f>H81*G81</f>
        <v>0</v>
      </c>
    </row>
    <row r="82" spans="2:9" x14ac:dyDescent="0.25">
      <c r="B82" s="320" t="s">
        <v>39</v>
      </c>
      <c r="C82" s="338" t="s">
        <v>38</v>
      </c>
      <c r="D82" s="322"/>
      <c r="E82" s="322"/>
      <c r="F82" s="322"/>
      <c r="G82" s="322"/>
      <c r="H82" s="322"/>
      <c r="I82" s="322"/>
    </row>
    <row r="83" spans="2:9" x14ac:dyDescent="0.25">
      <c r="B83" s="320" t="s">
        <v>37</v>
      </c>
      <c r="C83" s="338" t="s">
        <v>36</v>
      </c>
      <c r="D83" s="322"/>
      <c r="E83" s="322"/>
      <c r="F83" s="322"/>
      <c r="G83" s="322"/>
      <c r="H83" s="322"/>
      <c r="I83" s="322"/>
    </row>
    <row r="84" spans="2:9" x14ac:dyDescent="0.25">
      <c r="B84" s="320" t="s">
        <v>35</v>
      </c>
      <c r="C84" s="338" t="s">
        <v>34</v>
      </c>
      <c r="D84" s="322"/>
      <c r="E84" s="322"/>
      <c r="F84" s="322"/>
      <c r="G84" s="322"/>
      <c r="H84" s="322"/>
      <c r="I84" s="322"/>
    </row>
    <row r="85" spans="2:9" x14ac:dyDescent="0.25">
      <c r="B85" s="320"/>
      <c r="C85" s="337" t="s">
        <v>32</v>
      </c>
      <c r="D85" s="322"/>
      <c r="E85" s="322"/>
      <c r="F85" s="323">
        <f>SUM(F79:F84)</f>
        <v>0</v>
      </c>
      <c r="G85" s="322"/>
      <c r="H85" s="322"/>
      <c r="I85" s="323">
        <f>SUM(I79:I84)</f>
        <v>0</v>
      </c>
    </row>
    <row r="86" spans="2:9" x14ac:dyDescent="0.25">
      <c r="B86" s="317" t="s">
        <v>31</v>
      </c>
      <c r="C86" s="347" t="s">
        <v>30</v>
      </c>
      <c r="D86" s="348">
        <f>F85</f>
        <v>0</v>
      </c>
      <c r="E86" s="14">
        <f>'1.1 SALÁRIOS'!$F$33</f>
        <v>0</v>
      </c>
      <c r="F86" s="322">
        <f>E86*D86</f>
        <v>0</v>
      </c>
      <c r="G86" s="322">
        <f>I85</f>
        <v>0</v>
      </c>
      <c r="H86" s="14">
        <f>'1.1 SALÁRIOS'!$F$33</f>
        <v>0</v>
      </c>
      <c r="I86" s="322">
        <f>H86*G86</f>
        <v>0</v>
      </c>
    </row>
    <row r="87" spans="2:9" x14ac:dyDescent="0.25">
      <c r="B87" s="317" t="s">
        <v>29</v>
      </c>
      <c r="C87" s="324" t="s">
        <v>28</v>
      </c>
      <c r="D87" s="322"/>
      <c r="E87" s="322"/>
      <c r="F87" s="323">
        <f>SUM(F85:F86)</f>
        <v>0</v>
      </c>
      <c r="G87" s="322"/>
      <c r="H87" s="322"/>
      <c r="I87" s="323">
        <f>SUM(I85:I86)</f>
        <v>0</v>
      </c>
    </row>
    <row r="88" spans="2:9" x14ac:dyDescent="0.25">
      <c r="B88" s="317" t="s">
        <v>27</v>
      </c>
      <c r="C88" s="324" t="s">
        <v>26</v>
      </c>
      <c r="D88" s="322"/>
      <c r="E88" s="322"/>
      <c r="F88" s="322"/>
      <c r="G88" s="322"/>
      <c r="H88" s="322"/>
      <c r="I88" s="322"/>
    </row>
    <row r="89" spans="2:9" x14ac:dyDescent="0.25">
      <c r="B89" s="9" t="s">
        <v>25</v>
      </c>
      <c r="C89" s="15" t="s">
        <v>24</v>
      </c>
      <c r="D89" s="11">
        <f>'1.1 SALÁRIOS'!$F$35</f>
        <v>0</v>
      </c>
      <c r="E89" s="11">
        <v>25.25</v>
      </c>
      <c r="F89" s="11">
        <f>IF(2*E89*D89-0.06*D79&lt;0,0,2*E89*D89-0.06*D79)</f>
        <v>0</v>
      </c>
      <c r="G89" s="11">
        <f>'1.1 SALÁRIOS'!$F$35</f>
        <v>0</v>
      </c>
      <c r="H89" s="11">
        <v>25.25</v>
      </c>
      <c r="I89" s="11">
        <f>IF(2*H89*G89-0.06*G79&lt;0,0,2*H89*G89-0.06*G79)</f>
        <v>0</v>
      </c>
    </row>
    <row r="90" spans="2:9" x14ac:dyDescent="0.25">
      <c r="B90" s="9" t="s">
        <v>23</v>
      </c>
      <c r="C90" s="15" t="s">
        <v>369</v>
      </c>
      <c r="D90" s="11">
        <f>('1.1 SALÁRIOS'!$F$36+'1.1 SALÁRIOS'!$F$37)/12</f>
        <v>0</v>
      </c>
      <c r="E90" s="11">
        <v>1</v>
      </c>
      <c r="F90" s="11">
        <f>E90*D90</f>
        <v>0</v>
      </c>
      <c r="G90" s="11">
        <f>('1.1 SALÁRIOS'!$F$36+'1.1 SALÁRIOS'!$F$37)/12</f>
        <v>0</v>
      </c>
      <c r="H90" s="11">
        <v>1</v>
      </c>
      <c r="I90" s="11">
        <f>H90*G90</f>
        <v>0</v>
      </c>
    </row>
    <row r="91" spans="2:9" x14ac:dyDescent="0.25">
      <c r="B91" s="9" t="s">
        <v>22</v>
      </c>
      <c r="C91" s="15" t="s">
        <v>370</v>
      </c>
      <c r="D91" s="11">
        <f>'1.1 SALÁRIOS'!$F$38</f>
        <v>0</v>
      </c>
      <c r="E91" s="11">
        <f>E89</f>
        <v>25.25</v>
      </c>
      <c r="F91" s="11">
        <f>E91*D91</f>
        <v>0</v>
      </c>
      <c r="G91" s="11">
        <f>'1.1 SALÁRIOS'!$F$38</f>
        <v>0</v>
      </c>
      <c r="H91" s="11">
        <f>H89</f>
        <v>25.25</v>
      </c>
      <c r="I91" s="11">
        <f>H91*G91</f>
        <v>0</v>
      </c>
    </row>
    <row r="92" spans="2:9" x14ac:dyDescent="0.25">
      <c r="B92" s="9" t="s">
        <v>21</v>
      </c>
      <c r="C92" s="15" t="s">
        <v>371</v>
      </c>
      <c r="D92" s="11">
        <f>'1.1 SALÁRIOS'!$F$39</f>
        <v>0</v>
      </c>
      <c r="E92" s="11">
        <v>1</v>
      </c>
      <c r="F92" s="11">
        <f>E92*D92</f>
        <v>0</v>
      </c>
      <c r="G92" s="11">
        <f>'1.1 SALÁRIOS'!$F$39</f>
        <v>0</v>
      </c>
      <c r="H92" s="11">
        <v>1</v>
      </c>
      <c r="I92" s="11">
        <f>H92*G92</f>
        <v>0</v>
      </c>
    </row>
    <row r="93" spans="2:9" x14ac:dyDescent="0.25">
      <c r="B93" s="9" t="s">
        <v>374</v>
      </c>
      <c r="C93" s="15" t="s">
        <v>372</v>
      </c>
      <c r="D93" s="11">
        <f>'1.1 SALÁRIOS'!$F$40</f>
        <v>0</v>
      </c>
      <c r="E93" s="11">
        <v>1</v>
      </c>
      <c r="F93" s="11">
        <f>E93*D93</f>
        <v>0</v>
      </c>
      <c r="G93" s="11">
        <f>'1.1 SALÁRIOS'!$F$40</f>
        <v>0</v>
      </c>
      <c r="H93" s="11">
        <v>1</v>
      </c>
      <c r="I93" s="11">
        <f>H93*G93</f>
        <v>0</v>
      </c>
    </row>
    <row r="94" spans="2:9" x14ac:dyDescent="0.25">
      <c r="B94" s="9" t="s">
        <v>375</v>
      </c>
      <c r="C94" s="15" t="s">
        <v>373</v>
      </c>
      <c r="D94" s="11">
        <f>'1.1 SALÁRIOS'!$F$41</f>
        <v>0</v>
      </c>
      <c r="E94" s="11">
        <v>1</v>
      </c>
      <c r="F94" s="11">
        <f>E94*D94</f>
        <v>0</v>
      </c>
      <c r="G94" s="11">
        <f>'1.1 SALÁRIOS'!$F$41</f>
        <v>0</v>
      </c>
      <c r="H94" s="11">
        <v>1</v>
      </c>
      <c r="I94" s="11">
        <f>H94*G94</f>
        <v>0</v>
      </c>
    </row>
    <row r="95" spans="2:9" x14ac:dyDescent="0.25">
      <c r="B95" s="320"/>
      <c r="C95" s="324" t="s">
        <v>20</v>
      </c>
      <c r="D95" s="323"/>
      <c r="E95" s="323"/>
      <c r="F95" s="323">
        <f>SUM(F89:F94)</f>
        <v>0</v>
      </c>
      <c r="G95" s="323"/>
      <c r="H95" s="323"/>
      <c r="I95" s="323">
        <f>SUM(I89:I94)</f>
        <v>0</v>
      </c>
    </row>
    <row r="96" spans="2:9" x14ac:dyDescent="0.25">
      <c r="B96" s="317" t="s">
        <v>19</v>
      </c>
      <c r="C96" s="324" t="s">
        <v>18</v>
      </c>
      <c r="D96" s="322"/>
      <c r="E96" s="322"/>
      <c r="F96" s="322"/>
      <c r="G96" s="322"/>
      <c r="H96" s="322"/>
      <c r="I96" s="322"/>
    </row>
    <row r="97" spans="2:9" x14ac:dyDescent="0.25">
      <c r="B97" s="320" t="s">
        <v>17</v>
      </c>
      <c r="C97" s="340" t="s">
        <v>16</v>
      </c>
      <c r="D97" s="11" t="e">
        <f>VLOOKUP(C97,'1.1 CUSTO FERRAME-UNIFORME-EPI'!B:C,2,FALSE)</f>
        <v>#DIV/0!</v>
      </c>
      <c r="E97" s="328">
        <v>0.25</v>
      </c>
      <c r="F97" s="322" t="e">
        <f t="shared" ref="F97:F104" si="4">E97*D97</f>
        <v>#DIV/0!</v>
      </c>
      <c r="G97" s="327" t="e">
        <f>VLOOKUP(C97,'1.1 CUSTO FERRAME-UNIFORME-EPI'!B:C,2,FALSE)</f>
        <v>#DIV/0!</v>
      </c>
      <c r="H97" s="328">
        <v>0.25</v>
      </c>
      <c r="I97" s="322" t="e">
        <f t="shared" ref="I97:I105" si="5">H97*G97</f>
        <v>#DIV/0!</v>
      </c>
    </row>
    <row r="98" spans="2:9" x14ac:dyDescent="0.25">
      <c r="B98" s="320" t="s">
        <v>15</v>
      </c>
      <c r="C98" s="340" t="s">
        <v>210</v>
      </c>
      <c r="D98" s="11">
        <f>VLOOKUP(C98,'1.1 CUSTO FERRAME-UNIFORME-EPI'!B:C,2,FALSE)</f>
        <v>0</v>
      </c>
      <c r="E98" s="328">
        <v>0.5</v>
      </c>
      <c r="F98" s="322">
        <f t="shared" si="4"/>
        <v>0</v>
      </c>
      <c r="G98" s="327">
        <f>VLOOKUP(C98,'1.1 CUSTO FERRAME-UNIFORME-EPI'!B:C,2,FALSE)</f>
        <v>0</v>
      </c>
      <c r="H98" s="328">
        <v>0.5</v>
      </c>
      <c r="I98" s="322">
        <f t="shared" si="5"/>
        <v>0</v>
      </c>
    </row>
    <row r="99" spans="2:9" x14ac:dyDescent="0.25">
      <c r="B99" s="320" t="s">
        <v>13</v>
      </c>
      <c r="C99" s="340" t="s">
        <v>209</v>
      </c>
      <c r="D99" s="11">
        <f>VLOOKUP(C99,'1.1 CUSTO FERRAME-UNIFORME-EPI'!B:C,2,FALSE)</f>
        <v>0</v>
      </c>
      <c r="E99" s="328">
        <v>0.5</v>
      </c>
      <c r="F99" s="322">
        <f t="shared" si="4"/>
        <v>0</v>
      </c>
      <c r="G99" s="327">
        <f>VLOOKUP(C99,'1.1 CUSTO FERRAME-UNIFORME-EPI'!B:C,2,FALSE)</f>
        <v>0</v>
      </c>
      <c r="H99" s="328">
        <v>0.5</v>
      </c>
      <c r="I99" s="322">
        <f t="shared" si="5"/>
        <v>0</v>
      </c>
    </row>
    <row r="100" spans="2:9" x14ac:dyDescent="0.25">
      <c r="B100" s="320" t="s">
        <v>11</v>
      </c>
      <c r="C100" s="340" t="s">
        <v>205</v>
      </c>
      <c r="D100" s="11">
        <f>VLOOKUP(C100,'1.1 CUSTO FERRAME-UNIFORME-EPI'!B:C,2,FALSE)</f>
        <v>0</v>
      </c>
      <c r="E100" s="328">
        <v>0.25</v>
      </c>
      <c r="F100" s="322">
        <f t="shared" si="4"/>
        <v>0</v>
      </c>
      <c r="G100" s="327">
        <f>VLOOKUP(C100,'1.1 CUSTO FERRAME-UNIFORME-EPI'!B:C,2,FALSE)</f>
        <v>0</v>
      </c>
      <c r="H100" s="328">
        <v>0.25</v>
      </c>
      <c r="I100" s="322">
        <f t="shared" si="5"/>
        <v>0</v>
      </c>
    </row>
    <row r="101" spans="2:9" x14ac:dyDescent="0.25">
      <c r="B101" s="320" t="s">
        <v>9</v>
      </c>
      <c r="C101" s="340" t="s">
        <v>58</v>
      </c>
      <c r="D101" s="11" t="e">
        <f>VLOOKUP(C101,'1.1 CUSTO FERRAME-UNIFORME-EPI'!B:C,2,FALSE)</f>
        <v>#DIV/0!</v>
      </c>
      <c r="E101" s="328">
        <v>0.25</v>
      </c>
      <c r="F101" s="322" t="e">
        <f t="shared" si="4"/>
        <v>#DIV/0!</v>
      </c>
      <c r="G101" s="327" t="e">
        <f>VLOOKUP(C101,'1.1 CUSTO FERRAME-UNIFORME-EPI'!B:C,2,FALSE)</f>
        <v>#DIV/0!</v>
      </c>
      <c r="H101" s="328">
        <v>0.25</v>
      </c>
      <c r="I101" s="322" t="e">
        <f t="shared" si="5"/>
        <v>#DIV/0!</v>
      </c>
    </row>
    <row r="102" spans="2:9" x14ac:dyDescent="0.25">
      <c r="B102" s="320" t="s">
        <v>7</v>
      </c>
      <c r="C102" s="340" t="s">
        <v>8</v>
      </c>
      <c r="D102" s="11">
        <f>VLOOKUP(C102,'1.1 CUSTO FERRAME-UNIFORME-EPI'!B:C,2,FALSE)</f>
        <v>0</v>
      </c>
      <c r="E102" s="328">
        <v>0.17</v>
      </c>
      <c r="F102" s="322">
        <f t="shared" si="4"/>
        <v>0</v>
      </c>
      <c r="G102" s="327">
        <f>VLOOKUP(C102,'1.1 CUSTO FERRAME-UNIFORME-EPI'!B:C,2,FALSE)</f>
        <v>0</v>
      </c>
      <c r="H102" s="328">
        <v>0.17</v>
      </c>
      <c r="I102" s="322">
        <f t="shared" si="5"/>
        <v>0</v>
      </c>
    </row>
    <row r="103" spans="2:9" x14ac:dyDescent="0.25">
      <c r="B103" s="320" t="s">
        <v>5</v>
      </c>
      <c r="C103" s="340" t="s">
        <v>204</v>
      </c>
      <c r="D103" s="11">
        <f>VLOOKUP(C103,'1.1 CUSTO FERRAME-UNIFORME-EPI'!B:C,2,FALSE)</f>
        <v>0</v>
      </c>
      <c r="E103" s="328">
        <v>0.5</v>
      </c>
      <c r="F103" s="322">
        <f t="shared" si="4"/>
        <v>0</v>
      </c>
      <c r="G103" s="327">
        <f>VLOOKUP(C103,'1.1 CUSTO FERRAME-UNIFORME-EPI'!B:C,2,FALSE)</f>
        <v>0</v>
      </c>
      <c r="H103" s="328">
        <v>0.5</v>
      </c>
      <c r="I103" s="322">
        <f t="shared" si="5"/>
        <v>0</v>
      </c>
    </row>
    <row r="104" spans="2:9" x14ac:dyDescent="0.25">
      <c r="B104" s="320" t="s">
        <v>3</v>
      </c>
      <c r="C104" s="340" t="s">
        <v>203</v>
      </c>
      <c r="D104" s="11">
        <f>VLOOKUP(C104,'1.1 CUSTO FERRAME-UNIFORME-EPI'!B:C,2,FALSE)</f>
        <v>0</v>
      </c>
      <c r="E104" s="328">
        <v>2.17</v>
      </c>
      <c r="F104" s="322">
        <f t="shared" si="4"/>
        <v>0</v>
      </c>
      <c r="G104" s="327">
        <f>VLOOKUP(C104,'1.1 CUSTO FERRAME-UNIFORME-EPI'!B:C,2,FALSE)</f>
        <v>0</v>
      </c>
      <c r="H104" s="328">
        <v>2.17</v>
      </c>
      <c r="I104" s="322">
        <f t="shared" si="5"/>
        <v>0</v>
      </c>
    </row>
    <row r="105" spans="2:9" x14ac:dyDescent="0.25">
      <c r="B105" s="320" t="s">
        <v>59</v>
      </c>
      <c r="C105" s="340" t="s">
        <v>4</v>
      </c>
      <c r="D105" s="322"/>
      <c r="E105" s="328"/>
      <c r="F105" s="322"/>
      <c r="G105" s="327" t="e">
        <f>VLOOKUP(C105,'1.1 CUSTO FERRAME-UNIFORME-EPI'!B:C,2,FALSE)</f>
        <v>#DIV/0!</v>
      </c>
      <c r="H105" s="328">
        <v>0.17</v>
      </c>
      <c r="I105" s="322" t="e">
        <f t="shared" si="5"/>
        <v>#DIV/0!</v>
      </c>
    </row>
    <row r="106" spans="2:9" x14ac:dyDescent="0.25">
      <c r="B106" s="320" t="s">
        <v>60</v>
      </c>
      <c r="C106" s="340" t="s">
        <v>6</v>
      </c>
      <c r="D106" s="11">
        <f>VLOOKUP(C106,'1.1 CUSTO FERRAME-UNIFORME-EPI'!B:C,2,FALSE)</f>
        <v>0</v>
      </c>
      <c r="E106" s="328">
        <v>0.3</v>
      </c>
      <c r="F106" s="322">
        <f>E106*D106</f>
        <v>0</v>
      </c>
      <c r="G106" s="322"/>
      <c r="H106" s="328"/>
      <c r="I106" s="322"/>
    </row>
    <row r="107" spans="2:9" x14ac:dyDescent="0.25">
      <c r="B107" s="320" t="s">
        <v>400</v>
      </c>
      <c r="C107" s="326" t="s">
        <v>202</v>
      </c>
      <c r="D107" s="11" t="e">
        <f>VLOOKUP(C107,'1.1 CUSTO FERRAME-UNIFORME-EPI'!B:C,2,FALSE)</f>
        <v>#DIV/0!</v>
      </c>
      <c r="E107" s="329">
        <v>0.08</v>
      </c>
      <c r="F107" s="322" t="e">
        <f>E107*D107</f>
        <v>#DIV/0!</v>
      </c>
      <c r="G107" s="327" t="e">
        <f>VLOOKUP(C107,'1.1 CUSTO FERRAME-UNIFORME-EPI'!B:C,2,FALSE)</f>
        <v>#DIV/0!</v>
      </c>
      <c r="H107" s="386">
        <v>0.08</v>
      </c>
      <c r="I107" s="322" t="e">
        <f>H107*G107</f>
        <v>#DIV/0!</v>
      </c>
    </row>
    <row r="108" spans="2:9" x14ac:dyDescent="0.25">
      <c r="B108" s="320"/>
      <c r="C108" s="341" t="s">
        <v>2</v>
      </c>
      <c r="D108" s="330"/>
      <c r="E108" s="330"/>
      <c r="F108" s="331" t="e">
        <f>SUM(F97:F107)</f>
        <v>#DIV/0!</v>
      </c>
      <c r="G108" s="330"/>
      <c r="H108" s="330"/>
      <c r="I108" s="331" t="e">
        <f>SUM(I97:I107)</f>
        <v>#DIV/0!</v>
      </c>
    </row>
    <row r="109" spans="2:9" x14ac:dyDescent="0.25">
      <c r="B109" s="342"/>
      <c r="C109" s="343"/>
      <c r="D109" s="344"/>
      <c r="E109" s="344"/>
      <c r="F109" s="345"/>
      <c r="G109" s="344"/>
      <c r="H109" s="344"/>
      <c r="I109" s="345"/>
    </row>
    <row r="110" spans="2:9" x14ac:dyDescent="0.25">
      <c r="B110" s="333" t="s">
        <v>1</v>
      </c>
      <c r="C110" s="346" t="s">
        <v>0</v>
      </c>
      <c r="D110" s="335"/>
      <c r="E110" s="335"/>
      <c r="F110" s="336" t="e">
        <f>F108+F95+F87</f>
        <v>#DIV/0!</v>
      </c>
      <c r="G110" s="335"/>
      <c r="H110" s="335"/>
      <c r="I110" s="336" t="e">
        <f>I108+I95+I87</f>
        <v>#DIV/0!</v>
      </c>
    </row>
  </sheetData>
  <mergeCells count="13">
    <mergeCell ref="B2:I2"/>
    <mergeCell ref="D76:F76"/>
    <mergeCell ref="G76:I76"/>
    <mergeCell ref="D40:F40"/>
    <mergeCell ref="G40:I40"/>
    <mergeCell ref="D41:F41"/>
    <mergeCell ref="G41:I41"/>
    <mergeCell ref="D75:F75"/>
    <mergeCell ref="D5:F5"/>
    <mergeCell ref="G5:I5"/>
    <mergeCell ref="D6:F6"/>
    <mergeCell ref="G6:I6"/>
    <mergeCell ref="G75:I75"/>
  </mergeCells>
  <pageMargins left="0.98425196850393704" right="0.59055118110236215" top="1.1811023622047243" bottom="0.59055118110236215" header="0.11811023622047244" footer="0.51181102362204722"/>
  <pageSetup paperSize="9" scale="58" fitToHeight="0" orientation="portrait" r:id="rId1"/>
  <headerFooter>
    <oddHeader>&amp;L&amp;G</oddHeader>
  </headerFooter>
  <rowBreaks count="1" manualBreakCount="1">
    <brk id="73" max="16383" man="1"/>
  </rowBreaks>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5" tint="0.59999389629810485"/>
    <pageSetUpPr fitToPage="1"/>
  </sheetPr>
  <dimension ref="A1:E43"/>
  <sheetViews>
    <sheetView view="pageLayout" zoomScaleNormal="100" zoomScaleSheetLayoutView="100" workbookViewId="0">
      <selection activeCell="H13" sqref="H13"/>
    </sheetView>
  </sheetViews>
  <sheetFormatPr defaultColWidth="9" defaultRowHeight="13.5" x14ac:dyDescent="0.25"/>
  <cols>
    <col min="1" max="1" width="5.140625" style="181" customWidth="1"/>
    <col min="2" max="2" width="28.85546875" style="181" customWidth="1"/>
    <col min="3" max="5" width="17.28515625" style="181" customWidth="1"/>
    <col min="6" max="16384" width="9" style="181"/>
  </cols>
  <sheetData>
    <row r="1" spans="1:5" ht="11.1" customHeight="1" x14ac:dyDescent="0.25"/>
    <row r="2" spans="1:5" ht="15.75" x14ac:dyDescent="0.25">
      <c r="A2" s="642" t="s">
        <v>187</v>
      </c>
      <c r="B2" s="642"/>
      <c r="C2" s="642"/>
      <c r="D2" s="642"/>
      <c r="E2" s="642"/>
    </row>
    <row r="4" spans="1:5" ht="12" customHeight="1" x14ac:dyDescent="0.25">
      <c r="B4" s="220"/>
      <c r="C4" s="220"/>
      <c r="D4" s="220"/>
    </row>
    <row r="5" spans="1:5" ht="12.95" customHeight="1" x14ac:dyDescent="0.25"/>
    <row r="6" spans="1:5" s="193" customFormat="1" ht="52.5" customHeight="1" x14ac:dyDescent="0.25">
      <c r="A6" s="643" t="s">
        <v>54</v>
      </c>
      <c r="B6" s="644" t="s">
        <v>53</v>
      </c>
      <c r="C6" s="236" t="s">
        <v>189</v>
      </c>
      <c r="D6" s="236" t="s">
        <v>188</v>
      </c>
      <c r="E6" s="235"/>
    </row>
    <row r="7" spans="1:5" s="193" customFormat="1" ht="18" customHeight="1" x14ac:dyDescent="0.25">
      <c r="A7" s="643"/>
      <c r="B7" s="644"/>
      <c r="C7" s="236" t="s">
        <v>184</v>
      </c>
      <c r="D7" s="236" t="s">
        <v>184</v>
      </c>
      <c r="E7" s="235"/>
    </row>
    <row r="8" spans="1:5" s="193" customFormat="1" ht="14.1" customHeight="1" x14ac:dyDescent="0.25">
      <c r="A8" s="202" t="s">
        <v>183</v>
      </c>
      <c r="B8" s="201" t="s">
        <v>182</v>
      </c>
      <c r="C8" s="200">
        <f>(C9-C11)/C43/12</f>
        <v>0</v>
      </c>
      <c r="D8" s="200" t="e">
        <f>(D9-D11)/D43/12</f>
        <v>#DIV/0!</v>
      </c>
      <c r="E8" s="200"/>
    </row>
    <row r="9" spans="1:5" s="209" customFormat="1" ht="14.1" customHeight="1" x14ac:dyDescent="0.2">
      <c r="A9" s="208" t="s">
        <v>181</v>
      </c>
      <c r="B9" s="187" t="s">
        <v>180</v>
      </c>
      <c r="C9" s="227">
        <f>'1.1 REF EQUIPAMENTOS E DIV'!E18</f>
        <v>0</v>
      </c>
      <c r="D9" s="227" t="e">
        <f>'1.1 CUSTO FERRAME-UNIFORME-EPI'!C7</f>
        <v>#DIV/0!</v>
      </c>
      <c r="E9" s="206"/>
    </row>
    <row r="10" spans="1:5" s="209" customFormat="1" ht="9.9499999999999993" customHeight="1" x14ac:dyDescent="0.2">
      <c r="A10" s="207"/>
      <c r="B10" s="187"/>
      <c r="C10" s="186"/>
      <c r="D10" s="186"/>
      <c r="E10" s="186"/>
    </row>
    <row r="11" spans="1:5" s="209" customFormat="1" ht="14.1" customHeight="1" x14ac:dyDescent="0.2">
      <c r="A11" s="208" t="s">
        <v>179</v>
      </c>
      <c r="B11" s="187" t="s">
        <v>148</v>
      </c>
      <c r="C11" s="186">
        <f>C9*C42</f>
        <v>0</v>
      </c>
      <c r="D11" s="186" t="e">
        <f>D9*D42</f>
        <v>#DIV/0!</v>
      </c>
      <c r="E11" s="186"/>
    </row>
    <row r="12" spans="1:5" s="209" customFormat="1" ht="9.9499999999999993" customHeight="1" x14ac:dyDescent="0.2">
      <c r="A12" s="213"/>
      <c r="B12" s="204"/>
      <c r="C12" s="234"/>
      <c r="D12" s="234"/>
      <c r="E12" s="233"/>
    </row>
    <row r="13" spans="1:5" s="209" customFormat="1" ht="14.1" customHeight="1" x14ac:dyDescent="0.2">
      <c r="A13" s="212" t="s">
        <v>178</v>
      </c>
      <c r="B13" s="211" t="s">
        <v>177</v>
      </c>
      <c r="C13" s="210">
        <f>C17*C19/12</f>
        <v>0</v>
      </c>
      <c r="D13" s="210" t="e">
        <f>D17*D19/12</f>
        <v>#DIV/0!</v>
      </c>
      <c r="E13" s="210"/>
    </row>
    <row r="14" spans="1:5" s="209" customFormat="1" ht="9.9499999999999993" customHeight="1" x14ac:dyDescent="0.2">
      <c r="A14" s="232"/>
      <c r="B14" s="187"/>
      <c r="C14" s="227"/>
      <c r="D14" s="227"/>
      <c r="E14" s="206"/>
    </row>
    <row r="15" spans="1:5" s="209" customFormat="1" ht="14.1" customHeight="1" x14ac:dyDescent="0.2">
      <c r="A15" s="188" t="s">
        <v>176</v>
      </c>
      <c r="B15" s="187" t="s">
        <v>175</v>
      </c>
      <c r="C15" s="186">
        <f>C9</f>
        <v>0</v>
      </c>
      <c r="D15" s="186" t="e">
        <f>D9</f>
        <v>#DIV/0!</v>
      </c>
      <c r="E15" s="186"/>
    </row>
    <row r="16" spans="1:5" s="209" customFormat="1" ht="9.9499999999999993" customHeight="1" x14ac:dyDescent="0.2">
      <c r="A16" s="232"/>
      <c r="B16" s="187"/>
      <c r="C16" s="227"/>
      <c r="D16" s="227"/>
      <c r="E16" s="206"/>
    </row>
    <row r="17" spans="1:5" s="209" customFormat="1" ht="14.1" customHeight="1" x14ac:dyDescent="0.2">
      <c r="A17" s="188" t="s">
        <v>174</v>
      </c>
      <c r="B17" s="187" t="s">
        <v>173</v>
      </c>
      <c r="C17" s="186">
        <f>(C9-C11)*((1+C43)/(2*C43))/1.25</f>
        <v>0</v>
      </c>
      <c r="D17" s="186" t="e">
        <f>(D9-D11)*((1+D43)/(2*D43))/1.25</f>
        <v>#DIV/0!</v>
      </c>
      <c r="E17" s="186"/>
    </row>
    <row r="18" spans="1:5" s="209" customFormat="1" ht="9.9499999999999993" customHeight="1" x14ac:dyDescent="0.2">
      <c r="A18" s="232"/>
      <c r="B18" s="187"/>
      <c r="C18" s="227"/>
      <c r="D18" s="227"/>
      <c r="E18" s="206"/>
    </row>
    <row r="19" spans="1:5" s="209" customFormat="1" ht="14.1" customHeight="1" x14ac:dyDescent="0.2">
      <c r="A19" s="184" t="s">
        <v>146</v>
      </c>
      <c r="B19" s="183" t="s">
        <v>145</v>
      </c>
      <c r="C19" s="182">
        <v>0.13250000000000001</v>
      </c>
      <c r="D19" s="182">
        <v>0.13250000000000001</v>
      </c>
      <c r="E19" s="231"/>
    </row>
    <row r="20" spans="1:5" s="209" customFormat="1" ht="11.25" x14ac:dyDescent="0.2">
      <c r="A20" s="230" t="s">
        <v>172</v>
      </c>
      <c r="B20" s="229" t="s">
        <v>171</v>
      </c>
      <c r="C20" s="228">
        <f>C25*7.33*25.25</f>
        <v>0</v>
      </c>
      <c r="D20" s="228"/>
      <c r="E20" s="228"/>
    </row>
    <row r="21" spans="1:5" s="193" customFormat="1" ht="14.1" customHeight="1" x14ac:dyDescent="0.25">
      <c r="A21" s="208" t="s">
        <v>170</v>
      </c>
      <c r="B21" s="187" t="s">
        <v>169</v>
      </c>
      <c r="C21" s="227">
        <f>130*0.735*0.07</f>
        <v>6.6885000000000003</v>
      </c>
      <c r="D21" s="227"/>
      <c r="E21" s="206"/>
    </row>
    <row r="22" spans="1:5" s="193" customFormat="1" ht="14.1" customHeight="1" x14ac:dyDescent="0.25">
      <c r="A22" s="208"/>
      <c r="B22" s="187"/>
      <c r="C22" s="227"/>
      <c r="D22" s="227"/>
      <c r="E22" s="206"/>
    </row>
    <row r="23" spans="1:5" s="193" customFormat="1" ht="14.1" customHeight="1" x14ac:dyDescent="0.25">
      <c r="A23" s="208"/>
      <c r="B23" s="187" t="s">
        <v>168</v>
      </c>
      <c r="C23" s="186">
        <f>'1.1 REF EQUIPAMENTOS E DIV'!E38</f>
        <v>0</v>
      </c>
      <c r="D23" s="186"/>
      <c r="E23" s="186"/>
    </row>
    <row r="24" spans="1:5" s="209" customFormat="1" ht="14.1" customHeight="1" x14ac:dyDescent="0.2">
      <c r="A24" s="207"/>
      <c r="B24" s="187"/>
      <c r="C24" s="227"/>
      <c r="D24" s="227"/>
      <c r="E24" s="206"/>
    </row>
    <row r="25" spans="1:5" s="209" customFormat="1" ht="11.25" x14ac:dyDescent="0.2">
      <c r="A25" s="208" t="s">
        <v>167</v>
      </c>
      <c r="B25" s="187" t="s">
        <v>166</v>
      </c>
      <c r="C25" s="186">
        <f>C23*C21</f>
        <v>0</v>
      </c>
      <c r="D25" s="186"/>
      <c r="E25" s="186"/>
    </row>
    <row r="26" spans="1:5" s="193" customFormat="1" ht="14.1" customHeight="1" x14ac:dyDescent="0.25">
      <c r="A26" s="202" t="s">
        <v>165</v>
      </c>
      <c r="B26" s="201" t="s">
        <v>164</v>
      </c>
      <c r="C26" s="200">
        <f>C29</f>
        <v>0</v>
      </c>
      <c r="D26" s="200"/>
      <c r="E26" s="200"/>
    </row>
    <row r="27" spans="1:5" s="209" customFormat="1" ht="14.1" customHeight="1" x14ac:dyDescent="0.2">
      <c r="A27" s="208" t="s">
        <v>163</v>
      </c>
      <c r="B27" s="187" t="s">
        <v>162</v>
      </c>
      <c r="C27" s="227">
        <v>0.27</v>
      </c>
      <c r="D27" s="227"/>
      <c r="E27" s="206"/>
    </row>
    <row r="28" spans="1:5" s="209" customFormat="1" ht="9.9499999999999993" customHeight="1" x14ac:dyDescent="0.2">
      <c r="A28" s="207"/>
      <c r="B28" s="187"/>
      <c r="C28" s="227"/>
      <c r="D28" s="227"/>
      <c r="E28" s="206"/>
    </row>
    <row r="29" spans="1:5" s="209" customFormat="1" ht="14.1" customHeight="1" x14ac:dyDescent="0.2">
      <c r="A29" s="208" t="s">
        <v>161</v>
      </c>
      <c r="B29" s="187" t="s">
        <v>160</v>
      </c>
      <c r="C29" s="186">
        <f>C27*C20</f>
        <v>0</v>
      </c>
      <c r="D29" s="186"/>
      <c r="E29" s="186"/>
    </row>
    <row r="30" spans="1:5" s="209" customFormat="1" ht="9.9499999999999993" customHeight="1" x14ac:dyDescent="0.2">
      <c r="A30" s="207"/>
      <c r="B30" s="187"/>
      <c r="C30" s="227"/>
      <c r="D30" s="227"/>
      <c r="E30" s="206"/>
    </row>
    <row r="31" spans="1:5" s="209" customFormat="1" ht="14.1" customHeight="1" x14ac:dyDescent="0.2">
      <c r="A31" s="202" t="s">
        <v>159</v>
      </c>
      <c r="B31" s="201" t="s">
        <v>158</v>
      </c>
      <c r="C31" s="200">
        <f>C37</f>
        <v>0</v>
      </c>
      <c r="D31" s="200" t="e">
        <f>D37</f>
        <v>#DIV/0!</v>
      </c>
      <c r="E31" s="200"/>
    </row>
    <row r="32" spans="1:5" s="209" customFormat="1" ht="18" customHeight="1" x14ac:dyDescent="0.2">
      <c r="A32" s="208" t="s">
        <v>157</v>
      </c>
      <c r="B32" s="187" t="s">
        <v>156</v>
      </c>
      <c r="C32" s="186">
        <f>C8</f>
        <v>0</v>
      </c>
      <c r="D32" s="186" t="e">
        <f>D8</f>
        <v>#DIV/0!</v>
      </c>
      <c r="E32" s="186"/>
    </row>
    <row r="33" spans="1:5" s="193" customFormat="1" ht="21.75" customHeight="1" x14ac:dyDescent="0.25">
      <c r="A33" s="207"/>
      <c r="B33" s="187"/>
      <c r="C33" s="227"/>
      <c r="D33" s="227"/>
      <c r="E33" s="206"/>
    </row>
    <row r="34" spans="1:5" s="193" customFormat="1" x14ac:dyDescent="0.25">
      <c r="A34" s="208" t="s">
        <v>155</v>
      </c>
      <c r="B34" s="187" t="s">
        <v>154</v>
      </c>
      <c r="C34" s="227">
        <v>0.6</v>
      </c>
      <c r="D34" s="227">
        <v>1</v>
      </c>
      <c r="E34" s="206"/>
    </row>
    <row r="35" spans="1:5" s="193" customFormat="1" x14ac:dyDescent="0.25">
      <c r="A35" s="208" t="s">
        <v>153</v>
      </c>
      <c r="B35" s="187" t="s">
        <v>386</v>
      </c>
      <c r="C35" s="310">
        <v>2.5000000000000001E-2</v>
      </c>
      <c r="D35" s="227"/>
      <c r="E35" s="206"/>
    </row>
    <row r="36" spans="1:5" s="193" customFormat="1" x14ac:dyDescent="0.25">
      <c r="A36" s="207"/>
      <c r="B36" s="187"/>
      <c r="C36" s="186"/>
      <c r="D36" s="227"/>
      <c r="E36" s="206"/>
    </row>
    <row r="37" spans="1:5" s="193" customFormat="1" x14ac:dyDescent="0.25">
      <c r="A37" s="208" t="s">
        <v>387</v>
      </c>
      <c r="B37" s="204" t="s">
        <v>152</v>
      </c>
      <c r="C37" s="203">
        <f>(C34+C35)*C32</f>
        <v>0</v>
      </c>
      <c r="D37" s="186" t="e">
        <f>D34*D32</f>
        <v>#DIV/0!</v>
      </c>
      <c r="E37" s="186"/>
    </row>
    <row r="38" spans="1:5" s="193" customFormat="1" x14ac:dyDescent="0.25">
      <c r="A38" s="202" t="s">
        <v>151</v>
      </c>
      <c r="B38" s="201" t="s">
        <v>150</v>
      </c>
      <c r="C38" s="200" t="e">
        <f>'1.1 REF EQUIPAMENTOS E DIV'!$E$35</f>
        <v>#DIV/0!</v>
      </c>
      <c r="D38" s="226"/>
      <c r="E38" s="226"/>
    </row>
    <row r="39" spans="1:5" x14ac:dyDescent="0.25">
      <c r="A39" s="225"/>
      <c r="B39" s="224" t="s">
        <v>149</v>
      </c>
      <c r="C39" s="223" t="e">
        <f>C31++C26+C20+C13+C8+C38</f>
        <v>#DIV/0!</v>
      </c>
      <c r="D39" s="223" t="e">
        <f>D31++D26+D20+D13+D8</f>
        <v>#DIV/0!</v>
      </c>
      <c r="E39" s="223"/>
    </row>
    <row r="40" spans="1:5" x14ac:dyDescent="0.25">
      <c r="A40" s="196"/>
      <c r="B40" s="195"/>
      <c r="C40" s="222"/>
      <c r="D40" s="222"/>
    </row>
    <row r="42" spans="1:5" x14ac:dyDescent="0.25">
      <c r="A42" s="192"/>
      <c r="B42" s="191" t="s">
        <v>148</v>
      </c>
      <c r="C42" s="190">
        <v>0.4</v>
      </c>
      <c r="D42" s="190">
        <v>0</v>
      </c>
      <c r="E42" s="190"/>
    </row>
    <row r="43" spans="1:5" x14ac:dyDescent="0.25">
      <c r="A43" s="188"/>
      <c r="B43" s="187" t="s">
        <v>147</v>
      </c>
      <c r="C43" s="185">
        <v>5</v>
      </c>
      <c r="D43" s="185">
        <v>1</v>
      </c>
      <c r="E43" s="185"/>
    </row>
  </sheetData>
  <mergeCells count="3">
    <mergeCell ref="A2:E2"/>
    <mergeCell ref="A6:A7"/>
    <mergeCell ref="B6:B7"/>
  </mergeCells>
  <pageMargins left="0.98425196850393704" right="0.59055118110236215" top="1.1811023622047243" bottom="0.59055118110236215" header="0.11811023622047244" footer="0.51181102362204722"/>
  <pageSetup paperSize="9" scale="99" fitToHeight="0" orientation="portrait" r:id="rId1"/>
  <headerFooter>
    <oddHeader>&amp;L&amp;G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5" tint="0.59999389629810485"/>
    <pageSetUpPr fitToPage="1"/>
  </sheetPr>
  <dimension ref="A3:F18"/>
  <sheetViews>
    <sheetView view="pageLayout" zoomScaleNormal="100" zoomScaleSheetLayoutView="115" workbookViewId="0">
      <selection activeCell="B25" sqref="B25"/>
    </sheetView>
  </sheetViews>
  <sheetFormatPr defaultColWidth="9.140625" defaultRowHeight="13.5" x14ac:dyDescent="0.25"/>
  <cols>
    <col min="1" max="1" width="6" style="358" customWidth="1"/>
    <col min="2" max="2" width="34.140625" style="358" customWidth="1"/>
    <col min="3" max="3" width="11.28515625" style="358" bestFit="1" customWidth="1"/>
    <col min="4" max="4" width="10.7109375" style="358" customWidth="1"/>
    <col min="5" max="5" width="11.28515625" style="358" customWidth="1"/>
    <col min="6" max="6" width="13.85546875" style="358" customWidth="1"/>
    <col min="7" max="16384" width="9.140625" style="358"/>
  </cols>
  <sheetData>
    <row r="3" spans="1:6" s="365" customFormat="1" x14ac:dyDescent="0.25">
      <c r="A3" s="718" t="s">
        <v>419</v>
      </c>
      <c r="B3" s="719"/>
      <c r="C3" s="719"/>
      <c r="D3" s="719"/>
      <c r="E3" s="719"/>
      <c r="F3" s="720"/>
    </row>
    <row r="4" spans="1:6" s="365" customFormat="1" ht="14.25" thickBot="1" x14ac:dyDescent="0.3">
      <c r="A4" s="721" t="s">
        <v>432</v>
      </c>
      <c r="B4" s="722"/>
      <c r="C4" s="722"/>
      <c r="D4" s="722"/>
      <c r="E4" s="722"/>
      <c r="F4" s="723"/>
    </row>
    <row r="5" spans="1:6" s="359" customFormat="1" ht="41.25" thickBot="1" x14ac:dyDescent="0.3">
      <c r="A5" s="374" t="s">
        <v>248</v>
      </c>
      <c r="B5" s="375" t="s">
        <v>417</v>
      </c>
      <c r="C5" s="374" t="s">
        <v>416</v>
      </c>
      <c r="D5" s="729"/>
      <c r="E5" s="730"/>
      <c r="F5" s="374" t="s">
        <v>415</v>
      </c>
    </row>
    <row r="6" spans="1:6" s="359" customFormat="1" x14ac:dyDescent="0.25">
      <c r="A6" s="373">
        <v>1</v>
      </c>
      <c r="B6" s="372" t="s">
        <v>431</v>
      </c>
      <c r="C6" s="371">
        <v>34.979700000000001</v>
      </c>
      <c r="D6" s="370"/>
      <c r="E6" s="369"/>
      <c r="F6" s="368">
        <f>C6*25.25</f>
        <v>883.23742500000003</v>
      </c>
    </row>
    <row r="7" spans="1:6" s="359" customFormat="1" x14ac:dyDescent="0.25">
      <c r="A7" s="373">
        <f>1+A6</f>
        <v>2</v>
      </c>
      <c r="B7" s="372" t="s">
        <v>414</v>
      </c>
      <c r="C7" s="371">
        <v>175.17400000000001</v>
      </c>
      <c r="D7" s="370"/>
      <c r="E7" s="369"/>
      <c r="F7" s="368">
        <f>C7*25.25/2</f>
        <v>2211.5717500000001</v>
      </c>
    </row>
    <row r="8" spans="1:6" s="359" customFormat="1" ht="14.25" thickBot="1" x14ac:dyDescent="0.3">
      <c r="A8" s="373"/>
      <c r="B8" s="372"/>
      <c r="C8" s="371"/>
      <c r="D8" s="370"/>
      <c r="E8" s="369"/>
      <c r="F8" s="368"/>
    </row>
    <row r="9" spans="1:6" s="365" customFormat="1" ht="14.25" thickBot="1" x14ac:dyDescent="0.3">
      <c r="A9" s="686" t="s">
        <v>413</v>
      </c>
      <c r="B9" s="686"/>
      <c r="C9" s="367">
        <f>SUM(C6:C8)</f>
        <v>210.15370000000001</v>
      </c>
      <c r="D9" s="724" t="s">
        <v>412</v>
      </c>
      <c r="E9" s="724"/>
      <c r="F9" s="366">
        <f>SUM(F6:F8)</f>
        <v>3094.8091750000003</v>
      </c>
    </row>
    <row r="10" spans="1:6" s="359" customFormat="1" x14ac:dyDescent="0.25">
      <c r="A10" s="725" t="s">
        <v>411</v>
      </c>
      <c r="B10" s="726"/>
      <c r="C10" s="726"/>
      <c r="D10" s="726"/>
      <c r="E10" s="727"/>
      <c r="F10" s="364">
        <f>F9*2</f>
        <v>6189.6183500000006</v>
      </c>
    </row>
    <row r="11" spans="1:6" s="359" customFormat="1" x14ac:dyDescent="0.25">
      <c r="A11" s="731" t="s">
        <v>410</v>
      </c>
      <c r="B11" s="731"/>
      <c r="C11" s="731"/>
      <c r="D11" s="731"/>
      <c r="E11" s="731"/>
      <c r="F11" s="361">
        <v>25.25</v>
      </c>
    </row>
    <row r="12" spans="1:6" s="359" customFormat="1" ht="14.25" thickBot="1" x14ac:dyDescent="0.3">
      <c r="A12" s="732" t="s">
        <v>409</v>
      </c>
      <c r="B12" s="732"/>
      <c r="C12" s="732"/>
      <c r="D12" s="732"/>
      <c r="E12" s="732"/>
      <c r="F12" s="363">
        <f>F10/F11</f>
        <v>245.13340000000002</v>
      </c>
    </row>
    <row r="13" spans="1:6" s="359" customFormat="1" x14ac:dyDescent="0.25">
      <c r="A13" s="733" t="s">
        <v>430</v>
      </c>
      <c r="B13" s="733"/>
      <c r="C13" s="733"/>
      <c r="D13" s="733"/>
      <c r="E13" s="733"/>
      <c r="F13" s="362">
        <v>4</v>
      </c>
    </row>
    <row r="14" spans="1:6" s="359" customFormat="1" x14ac:dyDescent="0.25">
      <c r="A14" s="734" t="s">
        <v>429</v>
      </c>
      <c r="B14" s="735"/>
      <c r="C14" s="735"/>
      <c r="D14" s="735"/>
      <c r="E14" s="736"/>
      <c r="F14" s="361">
        <v>2</v>
      </c>
    </row>
    <row r="15" spans="1:6" s="359" customFormat="1" x14ac:dyDescent="0.25">
      <c r="A15" s="731" t="s">
        <v>428</v>
      </c>
      <c r="B15" s="731"/>
      <c r="C15" s="731"/>
      <c r="D15" s="731"/>
      <c r="E15" s="731"/>
      <c r="F15" s="361">
        <f>F12/F13</f>
        <v>61.283350000000006</v>
      </c>
    </row>
    <row r="16" spans="1:6" s="359" customFormat="1" x14ac:dyDescent="0.25">
      <c r="A16" s="737" t="s">
        <v>427</v>
      </c>
      <c r="B16" s="737"/>
      <c r="C16" s="737"/>
      <c r="D16" s="737"/>
      <c r="E16" s="737"/>
      <c r="F16" s="360">
        <f>_xlfn.CEILING.MATH(F15,2)</f>
        <v>62</v>
      </c>
    </row>
    <row r="17" spans="1:6" s="359" customFormat="1" x14ac:dyDescent="0.25">
      <c r="A17" s="731"/>
      <c r="B17" s="731"/>
      <c r="C17" s="731"/>
      <c r="D17" s="731"/>
      <c r="E17" s="731"/>
      <c r="F17" s="385"/>
    </row>
    <row r="18" spans="1:6" ht="14.25" thickBot="1" x14ac:dyDescent="0.3">
      <c r="A18" s="728" t="s">
        <v>504</v>
      </c>
      <c r="B18" s="728"/>
      <c r="C18" s="728"/>
      <c r="D18" s="728"/>
      <c r="E18" s="728"/>
      <c r="F18" s="384">
        <f>ROUND(F16/20,0)</f>
        <v>3</v>
      </c>
    </row>
  </sheetData>
  <mergeCells count="14">
    <mergeCell ref="A18:E18"/>
    <mergeCell ref="D5:E5"/>
    <mergeCell ref="A11:E11"/>
    <mergeCell ref="A12:E12"/>
    <mergeCell ref="A13:E13"/>
    <mergeCell ref="A14:E14"/>
    <mergeCell ref="A15:E15"/>
    <mergeCell ref="A16:E16"/>
    <mergeCell ref="A17:E17"/>
    <mergeCell ref="A3:F3"/>
    <mergeCell ref="A4:F4"/>
    <mergeCell ref="A9:B9"/>
    <mergeCell ref="D9:E9"/>
    <mergeCell ref="A10:E10"/>
  </mergeCells>
  <pageMargins left="0.98425196850393704" right="0.59055118110236215" top="1.1811023622047243" bottom="0.59055118110236215" header="0.11811023622047244" footer="0.51181102362204722"/>
  <pageSetup paperSize="9" scale="97" fitToHeight="0" orientation="portrait" r:id="rId1"/>
  <headerFooter>
    <oddHeader>&amp;L&amp;G</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7" tint="0.59999389629810485"/>
    <pageSetUpPr fitToPage="1"/>
  </sheetPr>
  <dimension ref="A1:I31"/>
  <sheetViews>
    <sheetView view="pageLayout" zoomScaleNormal="100" zoomScaleSheetLayoutView="100" workbookViewId="0">
      <selection activeCell="D31" sqref="D31"/>
    </sheetView>
  </sheetViews>
  <sheetFormatPr defaultColWidth="9.140625" defaultRowHeight="13.5" x14ac:dyDescent="0.25"/>
  <cols>
    <col min="1" max="1" width="9.5703125" style="93" customWidth="1"/>
    <col min="2" max="2" width="46.140625" style="93" customWidth="1"/>
    <col min="3" max="3" width="15.140625" style="93" customWidth="1"/>
    <col min="4" max="4" width="11" style="93" customWidth="1"/>
    <col min="5" max="6" width="16.85546875" style="93" customWidth="1"/>
    <col min="7" max="7" width="16" style="93" customWidth="1"/>
    <col min="8" max="16384" width="9.140625" style="93"/>
  </cols>
  <sheetData>
    <row r="1" spans="1:9" ht="32.25" customHeight="1" x14ac:dyDescent="0.25">
      <c r="A1" s="715" t="s">
        <v>105</v>
      </c>
      <c r="B1" s="715"/>
      <c r="C1" s="715"/>
      <c r="D1" s="715"/>
      <c r="E1" s="715"/>
      <c r="F1" s="715"/>
    </row>
    <row r="2" spans="1:9" x14ac:dyDescent="0.25">
      <c r="A2" s="738" t="str">
        <f>'ORÇAMENTO GERAL'!B11</f>
        <v>Varrição Mecanizada</v>
      </c>
      <c r="B2" s="738"/>
      <c r="C2" s="738"/>
      <c r="D2" s="738"/>
      <c r="E2" s="738"/>
      <c r="F2" s="738"/>
    </row>
    <row r="3" spans="1:9" ht="14.25" thickBot="1" x14ac:dyDescent="0.3">
      <c r="A3" s="180"/>
      <c r="B3" s="180"/>
      <c r="C3" s="180"/>
      <c r="D3" s="180"/>
      <c r="E3" s="90" t="s">
        <v>104</v>
      </c>
      <c r="F3" s="90" t="s">
        <v>500</v>
      </c>
      <c r="H3" s="93">
        <v>16</v>
      </c>
    </row>
    <row r="4" spans="1:9" ht="14.25" thickBot="1" x14ac:dyDescent="0.3">
      <c r="A4" s="88" t="s">
        <v>54</v>
      </c>
      <c r="B4" s="87" t="s">
        <v>53</v>
      </c>
      <c r="C4" s="86" t="s">
        <v>118</v>
      </c>
      <c r="D4" s="85" t="s">
        <v>49</v>
      </c>
      <c r="E4" s="352" t="s">
        <v>101</v>
      </c>
      <c r="F4" s="353" t="s">
        <v>100</v>
      </c>
      <c r="G4" s="96"/>
      <c r="H4" s="96">
        <v>16</v>
      </c>
      <c r="I4" s="96"/>
    </row>
    <row r="5" spans="1:9" x14ac:dyDescent="0.25">
      <c r="A5" s="153">
        <v>1</v>
      </c>
      <c r="B5" s="152" t="s">
        <v>99</v>
      </c>
      <c r="C5" s="151"/>
      <c r="D5" s="150"/>
      <c r="E5" s="354"/>
      <c r="F5" s="355"/>
      <c r="G5" s="137"/>
      <c r="H5" s="96">
        <v>16</v>
      </c>
      <c r="I5" s="96"/>
    </row>
    <row r="6" spans="1:9" x14ac:dyDescent="0.25">
      <c r="A6" s="143" t="s">
        <v>47</v>
      </c>
      <c r="B6" s="120" t="s">
        <v>117</v>
      </c>
      <c r="C6" s="107" t="s">
        <v>85</v>
      </c>
      <c r="D6" s="376">
        <v>1</v>
      </c>
      <c r="E6" s="377" t="e">
        <f>'5.3 EQUIP VEICULOS '!C40</f>
        <v>#DIV/0!</v>
      </c>
      <c r="F6" s="378" t="e">
        <f>E6*D6</f>
        <v>#DIV/0!</v>
      </c>
      <c r="G6" s="149"/>
      <c r="H6" s="137"/>
      <c r="I6" s="96"/>
    </row>
    <row r="7" spans="1:9" x14ac:dyDescent="0.25">
      <c r="A7" s="142"/>
      <c r="B7" s="98"/>
      <c r="C7" s="111"/>
      <c r="D7" s="148"/>
      <c r="E7" s="379"/>
      <c r="F7" s="378"/>
      <c r="G7" s="139"/>
      <c r="H7" s="147"/>
      <c r="I7" s="96"/>
    </row>
    <row r="8" spans="1:9" x14ac:dyDescent="0.25">
      <c r="A8" s="143"/>
      <c r="B8" s="98"/>
      <c r="C8" s="107"/>
      <c r="D8" s="141"/>
      <c r="E8" s="380" t="s">
        <v>114</v>
      </c>
      <c r="F8" s="381" t="e">
        <f>SUM(F6:F7)</f>
        <v>#DIV/0!</v>
      </c>
      <c r="G8" s="137"/>
      <c r="H8" s="96"/>
      <c r="I8" s="96"/>
    </row>
    <row r="9" spans="1:9" x14ac:dyDescent="0.25">
      <c r="A9" s="146">
        <v>2</v>
      </c>
      <c r="B9" s="117" t="s">
        <v>112</v>
      </c>
      <c r="C9" s="116"/>
      <c r="D9" s="145"/>
      <c r="E9" s="382"/>
      <c r="F9" s="383"/>
      <c r="G9" s="137"/>
      <c r="H9" s="96"/>
      <c r="I9" s="96"/>
    </row>
    <row r="10" spans="1:9" x14ac:dyDescent="0.25">
      <c r="A10" s="143" t="s">
        <v>17</v>
      </c>
      <c r="B10" s="98" t="s">
        <v>390</v>
      </c>
      <c r="C10" s="71" t="s">
        <v>94</v>
      </c>
      <c r="D10" s="141">
        <f>D6</f>
        <v>1</v>
      </c>
      <c r="E10" s="377" t="e">
        <f>'5.2 MAO DE OBRA'!F35</f>
        <v>#DIV/0!</v>
      </c>
      <c r="F10" s="378" t="e">
        <f>E10*D10</f>
        <v>#DIV/0!</v>
      </c>
      <c r="G10" s="137"/>
      <c r="H10" s="96"/>
      <c r="I10" s="96"/>
    </row>
    <row r="11" spans="1:9" x14ac:dyDescent="0.25">
      <c r="A11" s="143" t="s">
        <v>15</v>
      </c>
      <c r="B11" s="98" t="s">
        <v>420</v>
      </c>
      <c r="C11" s="71" t="s">
        <v>94</v>
      </c>
      <c r="D11" s="141">
        <f>D6</f>
        <v>1</v>
      </c>
      <c r="E11" s="377" t="e">
        <f>'5.2 MAO DE OBRA'!F71</f>
        <v>#DIV/0!</v>
      </c>
      <c r="F11" s="378" t="e">
        <f>E11*D11</f>
        <v>#DIV/0!</v>
      </c>
      <c r="G11" s="137"/>
      <c r="H11" s="96"/>
      <c r="I11" s="96"/>
    </row>
    <row r="12" spans="1:9" x14ac:dyDescent="0.25">
      <c r="A12" s="143"/>
      <c r="B12" s="108"/>
      <c r="C12" s="111"/>
      <c r="D12" s="141"/>
      <c r="E12" s="380" t="s">
        <v>114</v>
      </c>
      <c r="F12" s="381" t="e">
        <f>SUM(F10:F11)</f>
        <v>#DIV/0!</v>
      </c>
      <c r="G12" s="137"/>
      <c r="H12" s="96"/>
      <c r="I12" s="96"/>
    </row>
    <row r="13" spans="1:9" x14ac:dyDescent="0.25">
      <c r="A13" s="146">
        <v>3</v>
      </c>
      <c r="B13" s="117" t="s">
        <v>92</v>
      </c>
      <c r="C13" s="116"/>
      <c r="D13" s="145"/>
      <c r="E13" s="382"/>
      <c r="F13" s="383"/>
      <c r="G13" s="137"/>
      <c r="H13" s="96"/>
      <c r="I13" s="96"/>
    </row>
    <row r="14" spans="1:9" x14ac:dyDescent="0.25">
      <c r="A14" s="143" t="s">
        <v>91</v>
      </c>
      <c r="B14" s="144" t="s">
        <v>90</v>
      </c>
      <c r="C14" s="111" t="s">
        <v>85</v>
      </c>
      <c r="D14" s="141">
        <f>D6</f>
        <v>1</v>
      </c>
      <c r="E14" s="69" t="e">
        <f>VLOOKUP(B14,'1.1 CUSTO FERRAME-UNIFORME-EPI'!B:C,2,FALSE)</f>
        <v>#DIV/0!</v>
      </c>
      <c r="F14" s="378" t="e">
        <f>E14*D14</f>
        <v>#DIV/0!</v>
      </c>
      <c r="G14" s="137"/>
      <c r="H14" s="96"/>
      <c r="I14" s="96"/>
    </row>
    <row r="15" spans="1:9" x14ac:dyDescent="0.25">
      <c r="A15" s="143" t="s">
        <v>89</v>
      </c>
      <c r="B15" s="98" t="s">
        <v>88</v>
      </c>
      <c r="C15" s="111" t="s">
        <v>85</v>
      </c>
      <c r="D15" s="141">
        <f>2*D6</f>
        <v>2</v>
      </c>
      <c r="E15" s="69">
        <f>VLOOKUP(B15,'1.1 CUSTO FERRAME-UNIFORME-EPI'!B:C,2,FALSE)</f>
        <v>0</v>
      </c>
      <c r="F15" s="378">
        <f>E15*D15</f>
        <v>0</v>
      </c>
      <c r="G15" s="137"/>
      <c r="H15" s="96"/>
      <c r="I15" s="96"/>
    </row>
    <row r="16" spans="1:9" x14ac:dyDescent="0.25">
      <c r="A16" s="143" t="s">
        <v>87</v>
      </c>
      <c r="B16" s="144" t="s">
        <v>86</v>
      </c>
      <c r="C16" s="111" t="s">
        <v>85</v>
      </c>
      <c r="D16" s="141">
        <f>D6</f>
        <v>1</v>
      </c>
      <c r="E16" s="69">
        <f>VLOOKUP(B16,'1.1 CUSTO FERRAME-UNIFORME-EPI'!B:C,2,FALSE)</f>
        <v>0</v>
      </c>
      <c r="F16" s="378">
        <f>E16*D16</f>
        <v>0</v>
      </c>
      <c r="G16" s="137"/>
      <c r="H16" s="96"/>
      <c r="I16" s="96"/>
    </row>
    <row r="17" spans="1:9" x14ac:dyDescent="0.25">
      <c r="A17" s="143" t="s">
        <v>116</v>
      </c>
      <c r="B17" s="98" t="s">
        <v>115</v>
      </c>
      <c r="C17" s="111" t="s">
        <v>85</v>
      </c>
      <c r="D17" s="141">
        <f>2*D6</f>
        <v>2</v>
      </c>
      <c r="E17" s="69" t="e">
        <f>VLOOKUP(B17,'1.1 CUSTO FERRAME-UNIFORME-EPI'!B:C,2,FALSE)</f>
        <v>#DIV/0!</v>
      </c>
      <c r="F17" s="378" t="e">
        <f>E17*D17</f>
        <v>#DIV/0!</v>
      </c>
      <c r="G17" s="137"/>
      <c r="H17" s="96"/>
      <c r="I17" s="96"/>
    </row>
    <row r="18" spans="1:9" x14ac:dyDescent="0.25">
      <c r="A18" s="142"/>
      <c r="B18" s="108"/>
      <c r="C18" s="111"/>
      <c r="D18" s="141"/>
      <c r="E18" s="380" t="s">
        <v>114</v>
      </c>
      <c r="F18" s="381" t="e">
        <f>SUM(F14:F17)</f>
        <v>#DIV/0!</v>
      </c>
      <c r="G18" s="137"/>
      <c r="H18" s="96"/>
      <c r="I18" s="96"/>
    </row>
    <row r="19" spans="1:9" x14ac:dyDescent="0.25">
      <c r="A19" s="140"/>
      <c r="B19" s="54" t="s">
        <v>83</v>
      </c>
      <c r="C19" s="54"/>
      <c r="D19" s="54"/>
      <c r="E19" s="54"/>
      <c r="F19" s="67"/>
      <c r="G19" s="139"/>
      <c r="H19" s="96"/>
      <c r="I19" s="96"/>
    </row>
    <row r="20" spans="1:9" x14ac:dyDescent="0.25">
      <c r="A20" s="103"/>
      <c r="B20" s="60" t="s">
        <v>82</v>
      </c>
      <c r="C20" s="101" t="s">
        <v>81</v>
      </c>
      <c r="D20" s="60"/>
      <c r="E20" s="98"/>
      <c r="F20" s="66" t="e">
        <f>SUM(F8,F12,F18)</f>
        <v>#DIV/0!</v>
      </c>
      <c r="G20" s="139"/>
      <c r="H20" s="96"/>
      <c r="I20" s="96"/>
    </row>
    <row r="21" spans="1:9" x14ac:dyDescent="0.25">
      <c r="A21" s="103"/>
      <c r="B21" s="65" t="s">
        <v>80</v>
      </c>
      <c r="C21" s="99" t="s">
        <v>108</v>
      </c>
      <c r="D21" s="102"/>
      <c r="E21" s="98"/>
      <c r="F21" s="64">
        <f>'5.4 DIM VARR MEC'!F10</f>
        <v>1695.1999999999998</v>
      </c>
      <c r="G21" s="138"/>
      <c r="H21" s="96"/>
      <c r="I21" s="96"/>
    </row>
    <row r="22" spans="1:9" x14ac:dyDescent="0.25">
      <c r="A22" s="100"/>
      <c r="B22" s="60" t="s">
        <v>78</v>
      </c>
      <c r="C22" s="101" t="s">
        <v>107</v>
      </c>
      <c r="D22" s="60"/>
      <c r="E22" s="98"/>
      <c r="F22" s="61" t="e">
        <f>F20/F21</f>
        <v>#DIV/0!</v>
      </c>
      <c r="G22" s="138"/>
      <c r="H22" s="96"/>
      <c r="I22" s="96"/>
    </row>
    <row r="23" spans="1:9" x14ac:dyDescent="0.25">
      <c r="A23" s="100"/>
      <c r="B23" s="60" t="s">
        <v>77</v>
      </c>
      <c r="C23" s="99" t="s">
        <v>76</v>
      </c>
      <c r="D23" s="58">
        <f>'BDI '!$C$22</f>
        <v>5.2600000000000001E-2</v>
      </c>
      <c r="E23" s="98"/>
      <c r="F23" s="56" t="e">
        <f>F22*D23</f>
        <v>#DIV/0!</v>
      </c>
      <c r="G23" s="137"/>
      <c r="H23" s="96"/>
    </row>
    <row r="24" spans="1:9" x14ac:dyDescent="0.25">
      <c r="A24" s="54"/>
      <c r="B24" s="54" t="s">
        <v>75</v>
      </c>
      <c r="C24" s="55" t="s">
        <v>106</v>
      </c>
      <c r="D24" s="54"/>
      <c r="E24" s="54"/>
      <c r="F24" s="53" t="e">
        <f>ROUND(F23+F22,2)</f>
        <v>#DIV/0!</v>
      </c>
      <c r="G24" s="137"/>
      <c r="H24" s="96"/>
      <c r="I24" s="96"/>
    </row>
    <row r="25" spans="1:9" x14ac:dyDescent="0.25">
      <c r="A25" s="135"/>
      <c r="B25" s="135"/>
      <c r="C25" s="135"/>
      <c r="D25" s="135"/>
      <c r="E25" s="135"/>
      <c r="F25" s="135"/>
      <c r="G25" s="96"/>
      <c r="H25" s="96"/>
    </row>
    <row r="26" spans="1:9" x14ac:dyDescent="0.25">
      <c r="A26" s="135"/>
      <c r="B26" s="135"/>
      <c r="C26" s="136"/>
      <c r="D26" s="135"/>
      <c r="E26" s="135"/>
      <c r="F26" s="135"/>
    </row>
    <row r="28" spans="1:9" x14ac:dyDescent="0.25">
      <c r="F28" s="133"/>
    </row>
    <row r="29" spans="1:9" x14ac:dyDescent="0.25">
      <c r="F29" s="134"/>
      <c r="G29" s="133"/>
    </row>
    <row r="31" spans="1:9" x14ac:dyDescent="0.25">
      <c r="F31" s="132"/>
    </row>
  </sheetData>
  <mergeCells count="2">
    <mergeCell ref="A1:F1"/>
    <mergeCell ref="A2:F2"/>
  </mergeCells>
  <pageMargins left="0.98425196850393704" right="0.59055118110236215" top="1.1811023622047243" bottom="0.59055118110236215" header="0.11811023622047244" footer="0.51181102362204722"/>
  <pageSetup paperSize="9" scale="60" fitToHeight="0" orientation="portrait" r:id="rId1"/>
  <headerFooter>
    <oddHeader>&amp;L&amp;G</oddHeader>
  </headerFooter>
  <colBreaks count="1" manualBreakCount="1">
    <brk id="6" max="1048575" man="1"/>
  </colBreaks>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7" tint="0.59999389629810485"/>
    <pageSetUpPr fitToPage="1"/>
  </sheetPr>
  <dimension ref="B1:F71"/>
  <sheetViews>
    <sheetView view="pageLayout" topLeftCell="A19" zoomScaleNormal="100" zoomScaleSheetLayoutView="85" workbookViewId="0">
      <selection activeCell="C46" sqref="C46"/>
    </sheetView>
  </sheetViews>
  <sheetFormatPr defaultRowHeight="15" x14ac:dyDescent="0.25"/>
  <cols>
    <col min="1" max="1" width="7.28515625" customWidth="1"/>
    <col min="2" max="2" width="12" customWidth="1"/>
    <col min="3" max="3" width="52.28515625" customWidth="1"/>
    <col min="4" max="6" width="18.140625" customWidth="1"/>
    <col min="7" max="7" width="7.28515625" customWidth="1"/>
  </cols>
  <sheetData>
    <row r="1" spans="2:6" ht="15.75" thickBot="1" x14ac:dyDescent="0.3">
      <c r="B1" s="633" t="s">
        <v>55</v>
      </c>
      <c r="C1" s="634"/>
      <c r="D1" s="634"/>
      <c r="E1" s="634"/>
      <c r="F1" s="635"/>
    </row>
    <row r="2" spans="2:6" x14ac:dyDescent="0.25">
      <c r="B2" s="1"/>
      <c r="C2" s="1"/>
      <c r="D2" s="1"/>
      <c r="E2" s="1"/>
      <c r="F2" s="1"/>
    </row>
    <row r="3" spans="2:6" x14ac:dyDescent="0.25">
      <c r="B3" s="27" t="s">
        <v>54</v>
      </c>
      <c r="C3" s="27" t="s">
        <v>53</v>
      </c>
      <c r="D3" s="630" t="s">
        <v>422</v>
      </c>
      <c r="E3" s="631"/>
      <c r="F3" s="632"/>
    </row>
    <row r="4" spans="2:6" x14ac:dyDescent="0.25">
      <c r="B4" s="28"/>
      <c r="C4" s="28"/>
      <c r="D4" s="629"/>
      <c r="E4" s="629"/>
      <c r="F4" s="629"/>
    </row>
    <row r="5" spans="2:6" x14ac:dyDescent="0.25">
      <c r="B5" s="29" t="s">
        <v>52</v>
      </c>
      <c r="C5" s="30" t="s">
        <v>51</v>
      </c>
      <c r="D5" s="8" t="s">
        <v>50</v>
      </c>
      <c r="E5" s="8" t="s">
        <v>49</v>
      </c>
      <c r="F5" s="8" t="s">
        <v>48</v>
      </c>
    </row>
    <row r="6" spans="2:6" x14ac:dyDescent="0.25">
      <c r="B6" s="29" t="s">
        <v>47</v>
      </c>
      <c r="C6" s="30" t="s">
        <v>46</v>
      </c>
      <c r="D6" s="8"/>
      <c r="E6" s="8"/>
      <c r="F6" s="8"/>
    </row>
    <row r="7" spans="2:6" x14ac:dyDescent="0.25">
      <c r="B7" s="31" t="s">
        <v>45</v>
      </c>
      <c r="C7" s="32" t="s">
        <v>44</v>
      </c>
      <c r="D7" s="33">
        <f>'1.1 SALÁRIOS'!$F$26</f>
        <v>0</v>
      </c>
      <c r="E7" s="11">
        <v>1</v>
      </c>
      <c r="F7" s="11">
        <f>E7*D7</f>
        <v>0</v>
      </c>
    </row>
    <row r="8" spans="2:6" x14ac:dyDescent="0.25">
      <c r="B8" s="31" t="s">
        <v>43</v>
      </c>
      <c r="C8" s="32" t="s">
        <v>42</v>
      </c>
      <c r="D8" s="11">
        <f>'1.1 SALÁRIOS'!$F$23</f>
        <v>0</v>
      </c>
      <c r="E8" s="34">
        <v>0.2</v>
      </c>
      <c r="F8" s="11">
        <f>E8*D8</f>
        <v>0</v>
      </c>
    </row>
    <row r="9" spans="2:6" x14ac:dyDescent="0.25">
      <c r="B9" s="31" t="s">
        <v>41</v>
      </c>
      <c r="C9" s="32" t="s">
        <v>56</v>
      </c>
      <c r="D9" s="322">
        <f>F7+F8</f>
        <v>0</v>
      </c>
      <c r="E9" s="34">
        <v>0.2</v>
      </c>
      <c r="F9" s="11">
        <f>E9*D9</f>
        <v>0</v>
      </c>
    </row>
    <row r="10" spans="2:6" x14ac:dyDescent="0.25">
      <c r="B10" s="31" t="s">
        <v>39</v>
      </c>
      <c r="C10" s="32" t="s">
        <v>38</v>
      </c>
      <c r="D10" s="11"/>
      <c r="E10" s="11"/>
      <c r="F10" s="11"/>
    </row>
    <row r="11" spans="2:6" x14ac:dyDescent="0.25">
      <c r="B11" s="31" t="s">
        <v>37</v>
      </c>
      <c r="C11" s="32" t="s">
        <v>36</v>
      </c>
      <c r="D11" s="11"/>
      <c r="E11" s="11"/>
      <c r="F11" s="11"/>
    </row>
    <row r="12" spans="2:6" x14ac:dyDescent="0.25">
      <c r="B12" s="31" t="s">
        <v>35</v>
      </c>
      <c r="C12" s="32" t="s">
        <v>34</v>
      </c>
      <c r="D12" s="11"/>
      <c r="E12" s="11"/>
      <c r="F12" s="11"/>
    </row>
    <row r="13" spans="2:6" x14ac:dyDescent="0.25">
      <c r="B13" s="31" t="s">
        <v>33</v>
      </c>
      <c r="C13" s="30" t="s">
        <v>32</v>
      </c>
      <c r="D13" s="11"/>
      <c r="E13" s="11"/>
      <c r="F13" s="12">
        <f>SUM(F7:F12)</f>
        <v>0</v>
      </c>
    </row>
    <row r="14" spans="2:6" x14ac:dyDescent="0.25">
      <c r="B14" s="29" t="s">
        <v>31</v>
      </c>
      <c r="C14" s="35" t="s">
        <v>30</v>
      </c>
      <c r="D14" s="11">
        <f>F13</f>
        <v>0</v>
      </c>
      <c r="E14" s="14">
        <f>'1.1 SALÁRIOS'!$F$33</f>
        <v>0</v>
      </c>
      <c r="F14" s="12">
        <f>E14*D14</f>
        <v>0</v>
      </c>
    </row>
    <row r="15" spans="2:6" x14ac:dyDescent="0.25">
      <c r="B15" s="29" t="s">
        <v>29</v>
      </c>
      <c r="C15" s="35" t="s">
        <v>28</v>
      </c>
      <c r="D15" s="11"/>
      <c r="E15" s="11"/>
      <c r="F15" s="12">
        <f>SUM(F13:F14)</f>
        <v>0</v>
      </c>
    </row>
    <row r="16" spans="2:6" x14ac:dyDescent="0.25">
      <c r="B16" s="29" t="s">
        <v>27</v>
      </c>
      <c r="C16" s="35" t="s">
        <v>26</v>
      </c>
      <c r="D16" s="11"/>
      <c r="E16" s="11"/>
      <c r="F16" s="11"/>
    </row>
    <row r="17" spans="2:6" x14ac:dyDescent="0.25">
      <c r="B17" s="9" t="s">
        <v>25</v>
      </c>
      <c r="C17" s="15" t="s">
        <v>24</v>
      </c>
      <c r="D17" s="11">
        <f>'1.1 SALÁRIOS'!$F$35</f>
        <v>0</v>
      </c>
      <c r="E17" s="11">
        <v>25.25</v>
      </c>
      <c r="F17" s="11">
        <f>IF(2*E17*D17-0.06*D7&lt;0,0,2*E17*D17-0.06*D7)</f>
        <v>0</v>
      </c>
    </row>
    <row r="18" spans="2:6" x14ac:dyDescent="0.25">
      <c r="B18" s="9" t="s">
        <v>23</v>
      </c>
      <c r="C18" s="15" t="s">
        <v>369</v>
      </c>
      <c r="D18" s="11">
        <f>('1.1 SALÁRIOS'!$F$36+'1.1 SALÁRIOS'!$F$37)/12</f>
        <v>0</v>
      </c>
      <c r="E18" s="11">
        <v>1</v>
      </c>
      <c r="F18" s="11">
        <f>E18*D18</f>
        <v>0</v>
      </c>
    </row>
    <row r="19" spans="2:6" x14ac:dyDescent="0.25">
      <c r="B19" s="9" t="s">
        <v>22</v>
      </c>
      <c r="C19" s="15" t="s">
        <v>370</v>
      </c>
      <c r="D19" s="11">
        <f>'1.1 SALÁRIOS'!$F$38</f>
        <v>0</v>
      </c>
      <c r="E19" s="11">
        <f>E17</f>
        <v>25.25</v>
      </c>
      <c r="F19" s="11">
        <f>E19*D19</f>
        <v>0</v>
      </c>
    </row>
    <row r="20" spans="2:6" x14ac:dyDescent="0.25">
      <c r="B20" s="9" t="s">
        <v>21</v>
      </c>
      <c r="C20" s="15" t="s">
        <v>371</v>
      </c>
      <c r="D20" s="11">
        <f>'1.1 SALÁRIOS'!$F$39</f>
        <v>0</v>
      </c>
      <c r="E20" s="11">
        <v>1</v>
      </c>
      <c r="F20" s="11">
        <f>E20*D20</f>
        <v>0</v>
      </c>
    </row>
    <row r="21" spans="2:6" x14ac:dyDescent="0.25">
      <c r="B21" s="9" t="s">
        <v>374</v>
      </c>
      <c r="C21" s="15" t="s">
        <v>372</v>
      </c>
      <c r="D21" s="11">
        <f>'1.1 SALÁRIOS'!$F$40</f>
        <v>0</v>
      </c>
      <c r="E21" s="11">
        <v>1</v>
      </c>
      <c r="F21" s="11">
        <f>E21*D21</f>
        <v>0</v>
      </c>
    </row>
    <row r="22" spans="2:6" x14ac:dyDescent="0.25">
      <c r="B22" s="9" t="s">
        <v>375</v>
      </c>
      <c r="C22" s="15" t="s">
        <v>373</v>
      </c>
      <c r="D22" s="11">
        <f>'1.1 SALÁRIOS'!$F$41</f>
        <v>0</v>
      </c>
      <c r="E22" s="11">
        <v>1</v>
      </c>
      <c r="F22" s="11">
        <f>E22*D22</f>
        <v>0</v>
      </c>
    </row>
    <row r="23" spans="2:6" x14ac:dyDescent="0.25">
      <c r="B23" s="31" t="s">
        <v>57</v>
      </c>
      <c r="C23" s="35" t="s">
        <v>20</v>
      </c>
      <c r="D23" s="12"/>
      <c r="E23" s="12"/>
      <c r="F23" s="12">
        <f>SUM(F17:F22)</f>
        <v>0</v>
      </c>
    </row>
    <row r="24" spans="2:6" x14ac:dyDescent="0.25">
      <c r="B24" s="29" t="s">
        <v>19</v>
      </c>
      <c r="C24" s="35" t="s">
        <v>18</v>
      </c>
      <c r="D24" s="11"/>
      <c r="E24" s="11"/>
      <c r="F24" s="11"/>
    </row>
    <row r="25" spans="2:6" x14ac:dyDescent="0.25">
      <c r="B25" s="31" t="s">
        <v>17</v>
      </c>
      <c r="C25" s="36" t="str">
        <f>'1.1 CUSTO FERRAME-UNIFORME-EPI'!$B$18</f>
        <v>Boné de brim tipo árabe</v>
      </c>
      <c r="D25" s="11" t="e">
        <f>VLOOKUP(C25,'1.1 CUSTO FERRAME-UNIFORME-EPI'!B:C,2,FALSE)</f>
        <v>#DIV/0!</v>
      </c>
      <c r="E25" s="17">
        <v>0.17</v>
      </c>
      <c r="F25" s="11" t="e">
        <f t="shared" ref="F25:F32" si="0">E25*D25</f>
        <v>#DIV/0!</v>
      </c>
    </row>
    <row r="26" spans="2:6" x14ac:dyDescent="0.25">
      <c r="B26" s="31" t="s">
        <v>15</v>
      </c>
      <c r="C26" s="36" t="str">
        <f>'1.1 CUSTO FERRAME-UNIFORME-EPI'!$B$31</f>
        <v>Calça jeans</v>
      </c>
      <c r="D26" s="11" t="e">
        <f>VLOOKUP(C26,'1.1 CUSTO FERRAME-UNIFORME-EPI'!B:C,2,FALSE)</f>
        <v>#DIV/0!</v>
      </c>
      <c r="E26" s="17">
        <v>0.33</v>
      </c>
      <c r="F26" s="11" t="e">
        <f t="shared" si="0"/>
        <v>#DIV/0!</v>
      </c>
    </row>
    <row r="27" spans="2:6" x14ac:dyDescent="0.25">
      <c r="B27" s="31" t="s">
        <v>13</v>
      </c>
      <c r="C27" s="36" t="s">
        <v>12</v>
      </c>
      <c r="D27" s="11" t="e">
        <f>VLOOKUP(C27,'1.1 CUSTO FERRAME-UNIFORME-EPI'!B:C,2,FALSE)</f>
        <v>#DIV/0!</v>
      </c>
      <c r="E27" s="17">
        <v>0.33</v>
      </c>
      <c r="F27" s="11" t="e">
        <f t="shared" si="0"/>
        <v>#DIV/0!</v>
      </c>
    </row>
    <row r="28" spans="2:6" x14ac:dyDescent="0.25">
      <c r="B28" s="31" t="s">
        <v>11</v>
      </c>
      <c r="C28" s="36" t="str">
        <f>'1.1 CUSTO FERRAME-UNIFORME-EPI'!$B$33</f>
        <v>Bota de couro, antiderrapante</v>
      </c>
      <c r="D28" s="11">
        <f>VLOOKUP(C28,'1.1 CUSTO FERRAME-UNIFORME-EPI'!B:C,2,FALSE)</f>
        <v>0</v>
      </c>
      <c r="E28" s="17">
        <v>0.17</v>
      </c>
      <c r="F28" s="11">
        <f t="shared" si="0"/>
        <v>0</v>
      </c>
    </row>
    <row r="29" spans="2:6" x14ac:dyDescent="0.25">
      <c r="B29" s="31" t="s">
        <v>9</v>
      </c>
      <c r="C29" s="36" t="s">
        <v>8</v>
      </c>
      <c r="D29" s="11">
        <f>VLOOKUP(C29,'1.1 CUSTO FERRAME-UNIFORME-EPI'!B:C,2,FALSE)</f>
        <v>0</v>
      </c>
      <c r="E29" s="17">
        <v>0.17</v>
      </c>
      <c r="F29" s="11">
        <f t="shared" si="0"/>
        <v>0</v>
      </c>
    </row>
    <row r="30" spans="2:6" x14ac:dyDescent="0.25">
      <c r="B30" s="31" t="s">
        <v>7</v>
      </c>
      <c r="C30" s="36" t="str">
        <f>'1.1 CUSTO FERRAME-UNIFORME-EPI'!$B$22</f>
        <v>Protetor solar fator 30 (120ml/Mês)</v>
      </c>
      <c r="D30" s="11">
        <f>VLOOKUP(C30,'1.1 CUSTO FERRAME-UNIFORME-EPI'!B:C,2,FALSE)</f>
        <v>0</v>
      </c>
      <c r="E30" s="17">
        <v>0.3</v>
      </c>
      <c r="F30" s="11">
        <f t="shared" si="0"/>
        <v>0</v>
      </c>
    </row>
    <row r="31" spans="2:6" x14ac:dyDescent="0.25">
      <c r="B31" s="31" t="s">
        <v>5</v>
      </c>
      <c r="C31" s="36" t="s">
        <v>4</v>
      </c>
      <c r="D31" s="11" t="e">
        <f>VLOOKUP(C31,'1.1 CUSTO FERRAME-UNIFORME-EPI'!B:C,2,FALSE)</f>
        <v>#DIV/0!</v>
      </c>
      <c r="E31" s="17">
        <v>0</v>
      </c>
      <c r="F31" s="11" t="e">
        <f t="shared" si="0"/>
        <v>#DIV/0!</v>
      </c>
    </row>
    <row r="32" spans="2:6" x14ac:dyDescent="0.25">
      <c r="B32" s="31" t="s">
        <v>3</v>
      </c>
      <c r="C32" s="37" t="str">
        <f>'1.1 CUSTO FERRAME-UNIFORME-EPI'!$B$34</f>
        <v>Garra Térmica 2L</v>
      </c>
      <c r="D32" s="18" t="e">
        <f>VLOOKUP(C32,'1.1 CUSTO FERRAME-UNIFORME-EPI'!B:C,2,FALSE)</f>
        <v>#DIV/0!</v>
      </c>
      <c r="E32" s="19">
        <v>0.08</v>
      </c>
      <c r="F32" s="11" t="e">
        <f t="shared" si="0"/>
        <v>#DIV/0!</v>
      </c>
    </row>
    <row r="33" spans="2:6" x14ac:dyDescent="0.25">
      <c r="B33" s="31"/>
      <c r="C33" s="38" t="s">
        <v>2</v>
      </c>
      <c r="D33" s="20"/>
      <c r="E33" s="20"/>
      <c r="F33" s="21" t="e">
        <f>SUM(F25:F32)</f>
        <v>#DIV/0!</v>
      </c>
    </row>
    <row r="34" spans="2:6" x14ac:dyDescent="0.25">
      <c r="B34" s="39"/>
      <c r="C34" s="40"/>
      <c r="D34" s="41"/>
      <c r="E34" s="41"/>
      <c r="F34" s="42"/>
    </row>
    <row r="35" spans="2:6" x14ac:dyDescent="0.25">
      <c r="B35" s="43" t="s">
        <v>1</v>
      </c>
      <c r="C35" s="44" t="s">
        <v>0</v>
      </c>
      <c r="D35" s="25"/>
      <c r="E35" s="25"/>
      <c r="F35" s="26" t="e">
        <f>SUM(F33,F23,F15)</f>
        <v>#DIV/0!</v>
      </c>
    </row>
    <row r="36" spans="2:6" x14ac:dyDescent="0.25">
      <c r="B36" s="1"/>
      <c r="C36" s="1"/>
      <c r="D36" s="1"/>
      <c r="E36" s="1"/>
      <c r="F36" s="1"/>
    </row>
    <row r="37" spans="2:6" x14ac:dyDescent="0.25">
      <c r="B37" s="27" t="s">
        <v>54</v>
      </c>
      <c r="C37" s="27" t="s">
        <v>53</v>
      </c>
      <c r="D37" s="628" t="s">
        <v>421</v>
      </c>
      <c r="E37" s="628"/>
      <c r="F37" s="628"/>
    </row>
    <row r="38" spans="2:6" x14ac:dyDescent="0.25">
      <c r="B38" s="28"/>
      <c r="C38" s="28"/>
      <c r="D38" s="629"/>
      <c r="E38" s="629"/>
      <c r="F38" s="629"/>
    </row>
    <row r="39" spans="2:6" x14ac:dyDescent="0.25">
      <c r="B39" s="29" t="s">
        <v>52</v>
      </c>
      <c r="C39" s="30" t="s">
        <v>51</v>
      </c>
      <c r="D39" s="8" t="s">
        <v>50</v>
      </c>
      <c r="E39" s="8" t="s">
        <v>49</v>
      </c>
      <c r="F39" s="8" t="s">
        <v>48</v>
      </c>
    </row>
    <row r="40" spans="2:6" x14ac:dyDescent="0.25">
      <c r="B40" s="29" t="s">
        <v>47</v>
      </c>
      <c r="C40" s="30" t="s">
        <v>46</v>
      </c>
      <c r="D40" s="8"/>
      <c r="E40" s="8"/>
      <c r="F40" s="8"/>
    </row>
    <row r="41" spans="2:6" x14ac:dyDescent="0.25">
      <c r="B41" s="31" t="s">
        <v>45</v>
      </c>
      <c r="C41" s="32" t="s">
        <v>44</v>
      </c>
      <c r="D41" s="33">
        <f>'1.1 SALÁRIOS'!F7</f>
        <v>0</v>
      </c>
      <c r="E41" s="11">
        <v>1</v>
      </c>
      <c r="F41" s="11">
        <f>E41*D41</f>
        <v>0</v>
      </c>
    </row>
    <row r="42" spans="2:6" x14ac:dyDescent="0.25">
      <c r="B42" s="31" t="s">
        <v>43</v>
      </c>
      <c r="C42" s="32" t="s">
        <v>42</v>
      </c>
      <c r="D42" s="11">
        <f>'1.1 SALÁRIOS'!$F$23</f>
        <v>0</v>
      </c>
      <c r="E42" s="34">
        <v>0.2</v>
      </c>
      <c r="F42" s="11">
        <f>E42*D42</f>
        <v>0</v>
      </c>
    </row>
    <row r="43" spans="2:6" x14ac:dyDescent="0.25">
      <c r="B43" s="31" t="s">
        <v>41</v>
      </c>
      <c r="C43" s="32" t="s">
        <v>56</v>
      </c>
      <c r="D43" s="322">
        <f>F41+F42</f>
        <v>0</v>
      </c>
      <c r="E43" s="34">
        <v>0.2</v>
      </c>
      <c r="F43" s="11">
        <f>E43*D43</f>
        <v>0</v>
      </c>
    </row>
    <row r="44" spans="2:6" x14ac:dyDescent="0.25">
      <c r="B44" s="31" t="s">
        <v>39</v>
      </c>
      <c r="C44" s="32" t="s">
        <v>38</v>
      </c>
      <c r="D44" s="11"/>
      <c r="E44" s="11"/>
      <c r="F44" s="11"/>
    </row>
    <row r="45" spans="2:6" x14ac:dyDescent="0.25">
      <c r="B45" s="31" t="s">
        <v>37</v>
      </c>
      <c r="C45" s="32" t="s">
        <v>36</v>
      </c>
      <c r="D45" s="11"/>
      <c r="E45" s="11"/>
      <c r="F45" s="11"/>
    </row>
    <row r="46" spans="2:6" x14ac:dyDescent="0.25">
      <c r="B46" s="31" t="s">
        <v>35</v>
      </c>
      <c r="C46" s="32" t="s">
        <v>34</v>
      </c>
      <c r="D46" s="11"/>
      <c r="E46" s="11"/>
      <c r="F46" s="11"/>
    </row>
    <row r="47" spans="2:6" x14ac:dyDescent="0.25">
      <c r="B47" s="31"/>
      <c r="C47" s="30" t="s">
        <v>32</v>
      </c>
      <c r="D47" s="11"/>
      <c r="E47" s="11"/>
      <c r="F47" s="12">
        <f>SUM(F41:F46)</f>
        <v>0</v>
      </c>
    </row>
    <row r="48" spans="2:6" x14ac:dyDescent="0.25">
      <c r="B48" s="29" t="s">
        <v>31</v>
      </c>
      <c r="C48" s="45" t="s">
        <v>30</v>
      </c>
      <c r="D48" s="46">
        <f>F47</f>
        <v>0</v>
      </c>
      <c r="E48" s="14">
        <f>'1.1 SALÁRIOS'!$F$33</f>
        <v>0</v>
      </c>
      <c r="F48" s="11">
        <f>E48*D48</f>
        <v>0</v>
      </c>
    </row>
    <row r="49" spans="2:6" x14ac:dyDescent="0.25">
      <c r="B49" s="29" t="s">
        <v>29</v>
      </c>
      <c r="C49" s="35" t="s">
        <v>28</v>
      </c>
      <c r="D49" s="11"/>
      <c r="E49" s="11"/>
      <c r="F49" s="12">
        <f>SUM(F47:F48)</f>
        <v>0</v>
      </c>
    </row>
    <row r="50" spans="2:6" x14ac:dyDescent="0.25">
      <c r="B50" s="29" t="s">
        <v>27</v>
      </c>
      <c r="C50" s="35" t="s">
        <v>26</v>
      </c>
      <c r="D50" s="11"/>
      <c r="E50" s="11"/>
      <c r="F50" s="11"/>
    </row>
    <row r="51" spans="2:6" x14ac:dyDescent="0.25">
      <c r="B51" s="9" t="s">
        <v>25</v>
      </c>
      <c r="C51" s="15" t="s">
        <v>24</v>
      </c>
      <c r="D51" s="11">
        <f>'1.1 SALÁRIOS'!$F$35</f>
        <v>0</v>
      </c>
      <c r="E51" s="11">
        <v>25.25</v>
      </c>
      <c r="F51" s="11">
        <f>IF(2*E51*D51-0.06*D41&lt;0,0,2*E51*D51-0.06*D41)</f>
        <v>0</v>
      </c>
    </row>
    <row r="52" spans="2:6" x14ac:dyDescent="0.25">
      <c r="B52" s="9" t="s">
        <v>23</v>
      </c>
      <c r="C52" s="15" t="s">
        <v>369</v>
      </c>
      <c r="D52" s="11">
        <f>('1.1 SALÁRIOS'!$F$36+'1.1 SALÁRIOS'!$F$37)/12</f>
        <v>0</v>
      </c>
      <c r="E52" s="11">
        <v>1</v>
      </c>
      <c r="F52" s="11">
        <f>E52*D52</f>
        <v>0</v>
      </c>
    </row>
    <row r="53" spans="2:6" x14ac:dyDescent="0.25">
      <c r="B53" s="9" t="s">
        <v>22</v>
      </c>
      <c r="C53" s="15" t="s">
        <v>370</v>
      </c>
      <c r="D53" s="11">
        <f>'1.1 SALÁRIOS'!$F$38</f>
        <v>0</v>
      </c>
      <c r="E53" s="11">
        <f>E51</f>
        <v>25.25</v>
      </c>
      <c r="F53" s="11">
        <f>E53*D53</f>
        <v>0</v>
      </c>
    </row>
    <row r="54" spans="2:6" x14ac:dyDescent="0.25">
      <c r="B54" s="9" t="s">
        <v>21</v>
      </c>
      <c r="C54" s="15" t="s">
        <v>371</v>
      </c>
      <c r="D54" s="11">
        <f>'1.1 SALÁRIOS'!$F$39</f>
        <v>0</v>
      </c>
      <c r="E54" s="11">
        <v>1</v>
      </c>
      <c r="F54" s="11">
        <f>E54*D54</f>
        <v>0</v>
      </c>
    </row>
    <row r="55" spans="2:6" x14ac:dyDescent="0.25">
      <c r="B55" s="9" t="s">
        <v>374</v>
      </c>
      <c r="C55" s="15" t="s">
        <v>372</v>
      </c>
      <c r="D55" s="11">
        <f>'1.1 SALÁRIOS'!$F$40</f>
        <v>0</v>
      </c>
      <c r="E55" s="11">
        <v>1</v>
      </c>
      <c r="F55" s="11">
        <f>E55*D55</f>
        <v>0</v>
      </c>
    </row>
    <row r="56" spans="2:6" x14ac:dyDescent="0.25">
      <c r="B56" s="9" t="s">
        <v>375</v>
      </c>
      <c r="C56" s="15" t="s">
        <v>373</v>
      </c>
      <c r="D56" s="11">
        <f>'1.1 SALÁRIOS'!$F$41</f>
        <v>0</v>
      </c>
      <c r="E56" s="11">
        <v>1</v>
      </c>
      <c r="F56" s="11">
        <f>E56*D56</f>
        <v>0</v>
      </c>
    </row>
    <row r="57" spans="2:6" x14ac:dyDescent="0.25">
      <c r="B57" s="31"/>
      <c r="C57" s="35" t="s">
        <v>20</v>
      </c>
      <c r="D57" s="12"/>
      <c r="E57" s="12"/>
      <c r="F57" s="12">
        <f>SUM(F51:F56)</f>
        <v>0</v>
      </c>
    </row>
    <row r="58" spans="2:6" x14ac:dyDescent="0.25">
      <c r="B58" s="29" t="s">
        <v>19</v>
      </c>
      <c r="C58" s="35" t="s">
        <v>18</v>
      </c>
      <c r="D58" s="11"/>
      <c r="E58" s="11"/>
      <c r="F58" s="11"/>
    </row>
    <row r="59" spans="2:6" x14ac:dyDescent="0.25">
      <c r="B59" s="31" t="s">
        <v>17</v>
      </c>
      <c r="C59" s="36" t="s">
        <v>16</v>
      </c>
      <c r="D59" s="11" t="e">
        <f>VLOOKUP(C59,'1.1 CUSTO FERRAME-UNIFORME-EPI'!B:C,2,FALSE)</f>
        <v>#DIV/0!</v>
      </c>
      <c r="E59" s="17">
        <v>0.25</v>
      </c>
      <c r="F59" s="11" t="e">
        <f t="shared" ref="F59:F68" si="1">E59*D59</f>
        <v>#DIV/0!</v>
      </c>
    </row>
    <row r="60" spans="2:6" x14ac:dyDescent="0.25">
      <c r="B60" s="31" t="s">
        <v>15</v>
      </c>
      <c r="C60" s="36" t="str">
        <f>'1.1 CUSTO FERRAME-UNIFORME-EPI'!$B$19</f>
        <v>Calça de brim</v>
      </c>
      <c r="D60" s="11">
        <f>VLOOKUP(C60,'1.1 CUSTO FERRAME-UNIFORME-EPI'!B:C,2,FALSE)</f>
        <v>0</v>
      </c>
      <c r="E60" s="17">
        <v>0.5</v>
      </c>
      <c r="F60" s="11">
        <f t="shared" si="1"/>
        <v>0</v>
      </c>
    </row>
    <row r="61" spans="2:6" x14ac:dyDescent="0.25">
      <c r="B61" s="31" t="s">
        <v>13</v>
      </c>
      <c r="C61" s="36" t="str">
        <f>'1.1 CUSTO FERRAME-UNIFORME-EPI'!$B$20</f>
        <v>Camisa de brim, manga longa</v>
      </c>
      <c r="D61" s="11">
        <f>VLOOKUP(C61,'1.1 CUSTO FERRAME-UNIFORME-EPI'!B:C,2,FALSE)</f>
        <v>0</v>
      </c>
      <c r="E61" s="17">
        <v>0.5</v>
      </c>
      <c r="F61" s="11">
        <f t="shared" si="1"/>
        <v>0</v>
      </c>
    </row>
    <row r="62" spans="2:6" x14ac:dyDescent="0.25">
      <c r="B62" s="31" t="s">
        <v>11</v>
      </c>
      <c r="C62" s="36" t="str">
        <f>'1.1 CUSTO FERRAME-UNIFORME-EPI'!$B$27</f>
        <v xml:space="preserve">Calçado, antiderrapante, tipo tênis </v>
      </c>
      <c r="D62" s="11">
        <f>VLOOKUP(C62,'1.1 CUSTO FERRAME-UNIFORME-EPI'!B:C,2,FALSE)</f>
        <v>0</v>
      </c>
      <c r="E62" s="17">
        <v>0.25</v>
      </c>
      <c r="F62" s="11">
        <f t="shared" si="1"/>
        <v>0</v>
      </c>
    </row>
    <row r="63" spans="2:6" x14ac:dyDescent="0.25">
      <c r="B63" s="31" t="s">
        <v>9</v>
      </c>
      <c r="C63" s="36" t="s">
        <v>58</v>
      </c>
      <c r="D63" s="11" t="e">
        <f>VLOOKUP(C63,'1.1 CUSTO FERRAME-UNIFORME-EPI'!B:C,2,FALSE)</f>
        <v>#DIV/0!</v>
      </c>
      <c r="E63" s="17">
        <v>0.25</v>
      </c>
      <c r="F63" s="11" t="e">
        <f t="shared" si="1"/>
        <v>#DIV/0!</v>
      </c>
    </row>
    <row r="64" spans="2:6" x14ac:dyDescent="0.25">
      <c r="B64" s="31" t="s">
        <v>7</v>
      </c>
      <c r="C64" s="36" t="s">
        <v>8</v>
      </c>
      <c r="D64" s="11">
        <f>VLOOKUP(C64,'1.1 CUSTO FERRAME-UNIFORME-EPI'!B:C,2,FALSE)</f>
        <v>0</v>
      </c>
      <c r="E64" s="17">
        <v>0.17</v>
      </c>
      <c r="F64" s="11">
        <f t="shared" si="1"/>
        <v>0</v>
      </c>
    </row>
    <row r="65" spans="2:6" x14ac:dyDescent="0.25">
      <c r="B65" s="31" t="s">
        <v>5</v>
      </c>
      <c r="C65" s="36" t="str">
        <f>'1.1 CUSTO FERRAME-UNIFORME-EPI'!$B$28</f>
        <v>Luva raspa de couro, cano curto</v>
      </c>
      <c r="D65" s="11">
        <f>VLOOKUP(C65,'1.1 CUSTO FERRAME-UNIFORME-EPI'!B:C,2,FALSE)</f>
        <v>0</v>
      </c>
      <c r="E65" s="17">
        <v>0.5</v>
      </c>
      <c r="F65" s="11">
        <f t="shared" si="1"/>
        <v>0</v>
      </c>
    </row>
    <row r="66" spans="2:6" x14ac:dyDescent="0.25">
      <c r="B66" s="31" t="s">
        <v>3</v>
      </c>
      <c r="C66" s="36" t="str">
        <f>'1.1 CUSTO FERRAME-UNIFORME-EPI'!$B$29</f>
        <v xml:space="preserve">Mascara descartável </v>
      </c>
      <c r="D66" s="11">
        <f>VLOOKUP(C66,'1.1 CUSTO FERRAME-UNIFORME-EPI'!B:C,2,FALSE)</f>
        <v>0</v>
      </c>
      <c r="E66" s="17">
        <v>2.17</v>
      </c>
      <c r="F66" s="11">
        <f t="shared" si="1"/>
        <v>0</v>
      </c>
    </row>
    <row r="67" spans="2:6" x14ac:dyDescent="0.25">
      <c r="B67" s="31" t="s">
        <v>59</v>
      </c>
      <c r="C67" s="36" t="s">
        <v>4</v>
      </c>
      <c r="D67" s="11" t="e">
        <f>VLOOKUP(C67,'1.1 CUSTO FERRAME-UNIFORME-EPI'!B:C,2,FALSE)</f>
        <v>#DIV/0!</v>
      </c>
      <c r="E67" s="17">
        <v>0.17</v>
      </c>
      <c r="F67" s="11" t="e">
        <f t="shared" si="1"/>
        <v>#DIV/0!</v>
      </c>
    </row>
    <row r="68" spans="2:6" x14ac:dyDescent="0.25">
      <c r="B68" s="31" t="s">
        <v>60</v>
      </c>
      <c r="C68" s="36" t="str">
        <f>'1.1 CUSTO FERRAME-UNIFORME-EPI'!$B$22</f>
        <v>Protetor solar fator 30 (120ml/Mês)</v>
      </c>
      <c r="D68" s="11">
        <f>VLOOKUP(C68,'1.1 CUSTO FERRAME-UNIFORME-EPI'!B:C,2,FALSE)</f>
        <v>0</v>
      </c>
      <c r="E68" s="17">
        <v>0.3</v>
      </c>
      <c r="F68" s="11">
        <f t="shared" si="1"/>
        <v>0</v>
      </c>
    </row>
    <row r="69" spans="2:6" x14ac:dyDescent="0.25">
      <c r="B69" s="31"/>
      <c r="C69" s="38" t="s">
        <v>2</v>
      </c>
      <c r="D69" s="20"/>
      <c r="E69" s="20"/>
      <c r="F69" s="21" t="e">
        <f>SUM(F59:F68)</f>
        <v>#DIV/0!</v>
      </c>
    </row>
    <row r="70" spans="2:6" x14ac:dyDescent="0.25">
      <c r="B70" s="39"/>
      <c r="C70" s="40"/>
      <c r="D70" s="41"/>
      <c r="E70" s="41"/>
      <c r="F70" s="42"/>
    </row>
    <row r="71" spans="2:6" x14ac:dyDescent="0.25">
      <c r="B71" s="43" t="s">
        <v>1</v>
      </c>
      <c r="C71" s="44" t="s">
        <v>0</v>
      </c>
      <c r="D71" s="25"/>
      <c r="E71" s="25"/>
      <c r="F71" s="26" t="e">
        <f>F69+F57+F49</f>
        <v>#DIV/0!</v>
      </c>
    </row>
  </sheetData>
  <mergeCells count="5">
    <mergeCell ref="B1:F1"/>
    <mergeCell ref="D3:F3"/>
    <mergeCell ref="D4:F4"/>
    <mergeCell ref="D37:F37"/>
    <mergeCell ref="D38:F38"/>
  </mergeCells>
  <pageMargins left="0.98425196850393704" right="0.59055118110236215" top="1.1811023622047243" bottom="0.59055118110236215" header="0.11811023622047244" footer="0.51181102362204722"/>
  <pageSetup paperSize="9" scale="67" fitToHeight="0" orientation="portrait" r:id="rId1"/>
  <headerFooter>
    <oddHeader>&amp;L&amp;G</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7" tint="0.59999389629810485"/>
    <pageSetUpPr fitToPage="1"/>
  </sheetPr>
  <dimension ref="A1:D44"/>
  <sheetViews>
    <sheetView view="pageLayout" zoomScaleNormal="100" zoomScaleSheetLayoutView="100" workbookViewId="0">
      <selection activeCell="G11" sqref="G11"/>
    </sheetView>
  </sheetViews>
  <sheetFormatPr defaultColWidth="9" defaultRowHeight="13.5" x14ac:dyDescent="0.25"/>
  <cols>
    <col min="1" max="1" width="5.140625" style="181" customWidth="1"/>
    <col min="2" max="2" width="28.85546875" style="181" customWidth="1"/>
    <col min="3" max="3" width="17.85546875" style="181" customWidth="1"/>
    <col min="4" max="4" width="17.28515625" style="181" customWidth="1"/>
    <col min="5" max="16384" width="9" style="181"/>
  </cols>
  <sheetData>
    <row r="1" spans="1:4" ht="11.1" customHeight="1" x14ac:dyDescent="0.25"/>
    <row r="2" spans="1:4" ht="15.75" x14ac:dyDescent="0.25">
      <c r="A2" s="642" t="s">
        <v>187</v>
      </c>
      <c r="B2" s="642"/>
      <c r="C2" s="642"/>
      <c r="D2" s="642"/>
    </row>
    <row r="3" spans="1:4" x14ac:dyDescent="0.25">
      <c r="C3" s="221"/>
    </row>
    <row r="4" spans="1:4" ht="12" customHeight="1" x14ac:dyDescent="0.25">
      <c r="B4" s="220"/>
      <c r="C4" s="220"/>
    </row>
    <row r="5" spans="1:4" ht="12.95" customHeight="1" x14ac:dyDescent="0.25">
      <c r="C5" s="219"/>
    </row>
    <row r="6" spans="1:4" s="193" customFormat="1" ht="36" x14ac:dyDescent="0.25">
      <c r="A6" s="643" t="s">
        <v>54</v>
      </c>
      <c r="B6" s="644" t="s">
        <v>53</v>
      </c>
      <c r="C6" s="217" t="s">
        <v>6694</v>
      </c>
      <c r="D6" s="235"/>
    </row>
    <row r="7" spans="1:4" s="193" customFormat="1" ht="18" customHeight="1" x14ac:dyDescent="0.25">
      <c r="A7" s="643"/>
      <c r="B7" s="644"/>
      <c r="C7" s="217" t="s">
        <v>184</v>
      </c>
      <c r="D7" s="235"/>
    </row>
    <row r="8" spans="1:4" s="193" customFormat="1" ht="14.1" customHeight="1" x14ac:dyDescent="0.25">
      <c r="A8" s="202" t="s">
        <v>183</v>
      </c>
      <c r="B8" s="201" t="s">
        <v>182</v>
      </c>
      <c r="C8" s="200">
        <f>(C9-C11)/C44/12</f>
        <v>0</v>
      </c>
      <c r="D8" s="200"/>
    </row>
    <row r="9" spans="1:4" s="209" customFormat="1" ht="14.1" customHeight="1" x14ac:dyDescent="0.2">
      <c r="A9" s="208" t="s">
        <v>181</v>
      </c>
      <c r="B9" s="187" t="s">
        <v>180</v>
      </c>
      <c r="C9" s="186">
        <f>'1.1 REF EQUIPAMENTOS E DIV'!E4+'1.1 REF EQUIPAMENTOS E DIV'!E8</f>
        <v>0</v>
      </c>
      <c r="D9" s="206"/>
    </row>
    <row r="10" spans="1:4" s="209" customFormat="1" ht="9.9499999999999993" customHeight="1" x14ac:dyDescent="0.2">
      <c r="A10" s="207"/>
      <c r="B10" s="187"/>
      <c r="C10" s="186"/>
      <c r="D10" s="186"/>
    </row>
    <row r="11" spans="1:4" s="209" customFormat="1" ht="14.1" customHeight="1" x14ac:dyDescent="0.2">
      <c r="A11" s="208" t="s">
        <v>179</v>
      </c>
      <c r="B11" s="187" t="s">
        <v>148</v>
      </c>
      <c r="C11" s="186">
        <f>C9*C43</f>
        <v>0</v>
      </c>
      <c r="D11" s="186"/>
    </row>
    <row r="12" spans="1:4" s="209" customFormat="1" ht="9.9499999999999993" customHeight="1" x14ac:dyDescent="0.2">
      <c r="A12" s="213"/>
      <c r="B12" s="204"/>
      <c r="C12" s="203"/>
      <c r="D12" s="233"/>
    </row>
    <row r="13" spans="1:4" s="209" customFormat="1" ht="14.1" customHeight="1" x14ac:dyDescent="0.2">
      <c r="A13" s="212" t="s">
        <v>178</v>
      </c>
      <c r="B13" s="211" t="s">
        <v>177</v>
      </c>
      <c r="C13" s="210">
        <f>C17*C19/12</f>
        <v>0</v>
      </c>
      <c r="D13" s="210"/>
    </row>
    <row r="14" spans="1:4" s="209" customFormat="1" ht="9.9499999999999993" customHeight="1" x14ac:dyDescent="0.2">
      <c r="A14" s="232"/>
      <c r="B14" s="187"/>
      <c r="C14" s="186"/>
      <c r="D14" s="206"/>
    </row>
    <row r="15" spans="1:4" s="209" customFormat="1" ht="14.1" customHeight="1" x14ac:dyDescent="0.2">
      <c r="A15" s="188" t="s">
        <v>176</v>
      </c>
      <c r="B15" s="187" t="s">
        <v>175</v>
      </c>
      <c r="C15" s="186">
        <f>C9</f>
        <v>0</v>
      </c>
      <c r="D15" s="186"/>
    </row>
    <row r="16" spans="1:4" s="209" customFormat="1" ht="9.9499999999999993" customHeight="1" x14ac:dyDescent="0.2">
      <c r="A16" s="232"/>
      <c r="B16" s="187"/>
      <c r="C16" s="186"/>
      <c r="D16" s="206"/>
    </row>
    <row r="17" spans="1:4" s="209" customFormat="1" ht="14.1" customHeight="1" x14ac:dyDescent="0.2">
      <c r="A17" s="188" t="s">
        <v>174</v>
      </c>
      <c r="B17" s="187" t="s">
        <v>173</v>
      </c>
      <c r="C17" s="186">
        <f>(C9-C11)*((1+C44)/(2*C44))/1.25</f>
        <v>0</v>
      </c>
      <c r="D17" s="186"/>
    </row>
    <row r="18" spans="1:4" s="209" customFormat="1" ht="9.9499999999999993" customHeight="1" x14ac:dyDescent="0.2">
      <c r="A18" s="232"/>
      <c r="B18" s="187"/>
      <c r="C18" s="186"/>
      <c r="D18" s="206"/>
    </row>
    <row r="19" spans="1:4" s="209" customFormat="1" ht="14.1" customHeight="1" x14ac:dyDescent="0.2">
      <c r="A19" s="184" t="s">
        <v>146</v>
      </c>
      <c r="B19" s="183" t="s">
        <v>145</v>
      </c>
      <c r="C19" s="182">
        <v>0.13250000000000001</v>
      </c>
      <c r="D19" s="231"/>
    </row>
    <row r="20" spans="1:4" s="209" customFormat="1" ht="11.25" x14ac:dyDescent="0.2">
      <c r="A20" s="230" t="s">
        <v>172</v>
      </c>
      <c r="B20" s="229" t="s">
        <v>171</v>
      </c>
      <c r="C20" s="228">
        <f>C26*7.33*26.08</f>
        <v>0</v>
      </c>
      <c r="D20" s="228"/>
    </row>
    <row r="21" spans="1:4" s="193" customFormat="1" ht="14.1" customHeight="1" x14ac:dyDescent="0.25">
      <c r="A21" s="208" t="s">
        <v>170</v>
      </c>
      <c r="B21" s="187" t="s">
        <v>192</v>
      </c>
      <c r="C21" s="186">
        <f>277*0.735*0.11</f>
        <v>22.39545</v>
      </c>
      <c r="D21" s="206"/>
    </row>
    <row r="22" spans="1:4" s="193" customFormat="1" ht="14.1" customHeight="1" x14ac:dyDescent="0.25">
      <c r="A22" s="208" t="s">
        <v>170</v>
      </c>
      <c r="B22" s="187" t="s">
        <v>191</v>
      </c>
      <c r="C22" s="186">
        <f>277*0.735*0.08</f>
        <v>16.287600000000001</v>
      </c>
      <c r="D22" s="206"/>
    </row>
    <row r="23" spans="1:4" s="193" customFormat="1" ht="14.1" customHeight="1" x14ac:dyDescent="0.25">
      <c r="A23" s="208"/>
      <c r="B23" s="187"/>
      <c r="C23" s="186"/>
      <c r="D23" s="206"/>
    </row>
    <row r="24" spans="1:4" s="193" customFormat="1" ht="14.1" customHeight="1" x14ac:dyDescent="0.25">
      <c r="A24" s="208"/>
      <c r="B24" s="187" t="s">
        <v>168</v>
      </c>
      <c r="C24" s="186">
        <f>'1.1 REF EQUIPAMENTOS E DIV'!E38</f>
        <v>0</v>
      </c>
      <c r="D24" s="186"/>
    </row>
    <row r="25" spans="1:4" s="209" customFormat="1" ht="14.1" customHeight="1" x14ac:dyDescent="0.2">
      <c r="A25" s="207"/>
      <c r="B25" s="187"/>
      <c r="C25" s="186"/>
      <c r="D25" s="206"/>
    </row>
    <row r="26" spans="1:4" s="209" customFormat="1" ht="11.25" x14ac:dyDescent="0.2">
      <c r="A26" s="208" t="s">
        <v>167</v>
      </c>
      <c r="B26" s="187" t="s">
        <v>166</v>
      </c>
      <c r="C26" s="186">
        <f>C24*(C21+C22)</f>
        <v>0</v>
      </c>
      <c r="D26" s="186"/>
    </row>
    <row r="27" spans="1:4" s="193" customFormat="1" ht="14.1" customHeight="1" x14ac:dyDescent="0.25">
      <c r="A27" s="202" t="s">
        <v>165</v>
      </c>
      <c r="B27" s="201" t="s">
        <v>164</v>
      </c>
      <c r="C27" s="200">
        <f>C30</f>
        <v>0</v>
      </c>
      <c r="D27" s="200"/>
    </row>
    <row r="28" spans="1:4" s="209" customFormat="1" ht="14.1" customHeight="1" x14ac:dyDescent="0.2">
      <c r="A28" s="208" t="s">
        <v>163</v>
      </c>
      <c r="B28" s="187" t="s">
        <v>162</v>
      </c>
      <c r="C28" s="186">
        <v>0.1</v>
      </c>
      <c r="D28" s="206"/>
    </row>
    <row r="29" spans="1:4" s="209" customFormat="1" ht="9.9499999999999993" customHeight="1" x14ac:dyDescent="0.2">
      <c r="A29" s="207"/>
      <c r="B29" s="187"/>
      <c r="C29" s="186"/>
      <c r="D29" s="206"/>
    </row>
    <row r="30" spans="1:4" s="209" customFormat="1" ht="14.1" customHeight="1" x14ac:dyDescent="0.2">
      <c r="A30" s="208" t="s">
        <v>161</v>
      </c>
      <c r="B30" s="187" t="s">
        <v>160</v>
      </c>
      <c r="C30" s="186">
        <f>C28*C20</f>
        <v>0</v>
      </c>
      <c r="D30" s="186"/>
    </row>
    <row r="31" spans="1:4" s="209" customFormat="1" ht="9.9499999999999993" customHeight="1" x14ac:dyDescent="0.2">
      <c r="A31" s="207"/>
      <c r="B31" s="187"/>
      <c r="C31" s="186"/>
      <c r="D31" s="206"/>
    </row>
    <row r="32" spans="1:4" s="209" customFormat="1" ht="14.1" customHeight="1" x14ac:dyDescent="0.2">
      <c r="A32" s="202" t="s">
        <v>159</v>
      </c>
      <c r="B32" s="201" t="s">
        <v>158</v>
      </c>
      <c r="C32" s="200">
        <f>C38</f>
        <v>0</v>
      </c>
      <c r="D32" s="200"/>
    </row>
    <row r="33" spans="1:4" s="209" customFormat="1" ht="18" customHeight="1" x14ac:dyDescent="0.2">
      <c r="A33" s="208" t="s">
        <v>157</v>
      </c>
      <c r="B33" s="187" t="s">
        <v>156</v>
      </c>
      <c r="C33" s="186">
        <f>C8</f>
        <v>0</v>
      </c>
      <c r="D33" s="186"/>
    </row>
    <row r="34" spans="1:4" s="193" customFormat="1" ht="21.75" customHeight="1" x14ac:dyDescent="0.25">
      <c r="A34" s="207"/>
      <c r="B34" s="187"/>
      <c r="C34" s="186"/>
      <c r="D34" s="206"/>
    </row>
    <row r="35" spans="1:4" s="193" customFormat="1" x14ac:dyDescent="0.25">
      <c r="A35" s="208" t="s">
        <v>155</v>
      </c>
      <c r="B35" s="187" t="s">
        <v>154</v>
      </c>
      <c r="C35" s="186">
        <v>0.6</v>
      </c>
      <c r="D35" s="206"/>
    </row>
    <row r="36" spans="1:4" s="193" customFormat="1" x14ac:dyDescent="0.25">
      <c r="A36" s="208" t="s">
        <v>153</v>
      </c>
      <c r="B36" s="187" t="s">
        <v>386</v>
      </c>
      <c r="C36" s="310">
        <v>2.5000000000000001E-2</v>
      </c>
      <c r="D36" s="206"/>
    </row>
    <row r="37" spans="1:4" s="193" customFormat="1" x14ac:dyDescent="0.25">
      <c r="A37" s="207"/>
      <c r="B37" s="187"/>
      <c r="C37" s="186"/>
      <c r="D37" s="309"/>
    </row>
    <row r="38" spans="1:4" s="193" customFormat="1" x14ac:dyDescent="0.25">
      <c r="A38" s="208" t="s">
        <v>387</v>
      </c>
      <c r="B38" s="204" t="s">
        <v>152</v>
      </c>
      <c r="C38" s="203">
        <f>(C35+C36)*C33</f>
        <v>0</v>
      </c>
      <c r="D38" s="186"/>
    </row>
    <row r="39" spans="1:4" s="193" customFormat="1" x14ac:dyDescent="0.25">
      <c r="A39" s="202" t="s">
        <v>151</v>
      </c>
      <c r="B39" s="201" t="s">
        <v>150</v>
      </c>
      <c r="C39" s="200" t="e">
        <f>'1.1 REF EQUIPAMENTOS E DIV'!$E$35</f>
        <v>#DIV/0!</v>
      </c>
      <c r="D39" s="226"/>
    </row>
    <row r="40" spans="1:4" x14ac:dyDescent="0.25">
      <c r="A40" s="240"/>
      <c r="B40" s="239" t="s">
        <v>149</v>
      </c>
      <c r="C40" s="223" t="e">
        <f>C32++C27+C20+C13+C8+C39</f>
        <v>#DIV/0!</v>
      </c>
      <c r="D40" s="223"/>
    </row>
    <row r="41" spans="1:4" x14ac:dyDescent="0.25">
      <c r="A41" s="196"/>
      <c r="B41" s="195"/>
      <c r="C41" s="194"/>
    </row>
    <row r="42" spans="1:4" hidden="1" x14ac:dyDescent="0.25"/>
    <row r="43" spans="1:4" hidden="1" x14ac:dyDescent="0.25">
      <c r="A43" s="192"/>
      <c r="B43" s="191" t="s">
        <v>148</v>
      </c>
      <c r="C43" s="190">
        <v>0.2</v>
      </c>
      <c r="D43" s="190"/>
    </row>
    <row r="44" spans="1:4" hidden="1" x14ac:dyDescent="0.25">
      <c r="A44" s="184"/>
      <c r="B44" s="183" t="s">
        <v>147</v>
      </c>
      <c r="C44" s="238">
        <v>4.9999499499499498</v>
      </c>
      <c r="D44" s="237"/>
    </row>
  </sheetData>
  <mergeCells count="3">
    <mergeCell ref="A2:D2"/>
    <mergeCell ref="A6:A7"/>
    <mergeCell ref="B6:B7"/>
  </mergeCells>
  <pageMargins left="0.98425196850393704" right="0.59055118110236215" top="1.1811023622047243" bottom="0.59055118110236215" header="0.11811023622047244" footer="0.51181102362204722"/>
  <pageSetup paperSize="9" fitToHeight="0" orientation="portrait" r:id="rId1"/>
  <headerFooter>
    <oddHeader>&amp;L&amp;G</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7" tint="0.59999389629810485"/>
    <pageSetUpPr fitToPage="1"/>
  </sheetPr>
  <dimension ref="A3:J15"/>
  <sheetViews>
    <sheetView view="pageLayout" zoomScaleNormal="100" zoomScaleSheetLayoutView="100" workbookViewId="0">
      <selection activeCell="I7" sqref="I7"/>
    </sheetView>
  </sheetViews>
  <sheetFormatPr defaultColWidth="9.140625" defaultRowHeight="13.5" x14ac:dyDescent="0.25"/>
  <cols>
    <col min="1" max="1" width="6" style="358" customWidth="1"/>
    <col min="2" max="2" width="34.140625" style="358" customWidth="1"/>
    <col min="3" max="3" width="11.28515625" style="358" bestFit="1" customWidth="1"/>
    <col min="4" max="4" width="10.7109375" style="358" customWidth="1"/>
    <col min="5" max="5" width="11.28515625" style="358" customWidth="1"/>
    <col min="6" max="6" width="13.85546875" style="358" customWidth="1"/>
    <col min="7" max="16384" width="9.140625" style="358"/>
  </cols>
  <sheetData>
    <row r="3" spans="1:10" s="365" customFormat="1" x14ac:dyDescent="0.25">
      <c r="A3" s="718" t="s">
        <v>419</v>
      </c>
      <c r="B3" s="719"/>
      <c r="C3" s="719"/>
      <c r="D3" s="719"/>
      <c r="E3" s="719"/>
      <c r="F3" s="720"/>
    </row>
    <row r="4" spans="1:10" s="365" customFormat="1" ht="14.25" thickBot="1" x14ac:dyDescent="0.3">
      <c r="A4" s="721" t="s">
        <v>418</v>
      </c>
      <c r="B4" s="722"/>
      <c r="C4" s="722"/>
      <c r="D4" s="722"/>
      <c r="E4" s="722"/>
      <c r="F4" s="723"/>
    </row>
    <row r="5" spans="1:10" s="359" customFormat="1" ht="41.25" thickBot="1" x14ac:dyDescent="0.3">
      <c r="A5" s="374" t="s">
        <v>248</v>
      </c>
      <c r="B5" s="375" t="s">
        <v>417</v>
      </c>
      <c r="C5" s="374" t="s">
        <v>416</v>
      </c>
      <c r="D5" s="729"/>
      <c r="E5" s="730"/>
      <c r="F5" s="374" t="s">
        <v>415</v>
      </c>
    </row>
    <row r="6" spans="1:10" s="359" customFormat="1" x14ac:dyDescent="0.25">
      <c r="A6" s="373"/>
      <c r="B6" s="372"/>
      <c r="C6" s="371"/>
      <c r="D6" s="370"/>
      <c r="E6" s="369"/>
      <c r="F6" s="368"/>
    </row>
    <row r="7" spans="1:10" s="359" customFormat="1" x14ac:dyDescent="0.25">
      <c r="A7" s="373">
        <v>1</v>
      </c>
      <c r="B7" s="372" t="s">
        <v>414</v>
      </c>
      <c r="C7" s="371">
        <v>65</v>
      </c>
      <c r="D7" s="370"/>
      <c r="E7" s="369"/>
      <c r="F7" s="368">
        <f>C7*26.08/2</f>
        <v>847.59999999999991</v>
      </c>
      <c r="J7" s="448"/>
    </row>
    <row r="8" spans="1:10" s="359" customFormat="1" ht="14.25" thickBot="1" x14ac:dyDescent="0.3">
      <c r="A8" s="373"/>
      <c r="B8" s="372"/>
      <c r="C8" s="371"/>
      <c r="D8" s="370"/>
      <c r="E8" s="369"/>
      <c r="F8" s="368"/>
    </row>
    <row r="9" spans="1:10" s="365" customFormat="1" ht="14.25" thickBot="1" x14ac:dyDescent="0.3">
      <c r="A9" s="686" t="s">
        <v>413</v>
      </c>
      <c r="B9" s="686"/>
      <c r="C9" s="367">
        <f>SUM(C6:C8)</f>
        <v>65</v>
      </c>
      <c r="D9" s="724" t="s">
        <v>412</v>
      </c>
      <c r="E9" s="724"/>
      <c r="F9" s="366">
        <f>SUM(F6:F8)</f>
        <v>847.59999999999991</v>
      </c>
    </row>
    <row r="10" spans="1:10" s="359" customFormat="1" x14ac:dyDescent="0.25">
      <c r="A10" s="725" t="s">
        <v>411</v>
      </c>
      <c r="B10" s="726"/>
      <c r="C10" s="726"/>
      <c r="D10" s="726"/>
      <c r="E10" s="727"/>
      <c r="F10" s="364">
        <f>F9*2</f>
        <v>1695.1999999999998</v>
      </c>
    </row>
    <row r="11" spans="1:10" s="359" customFormat="1" x14ac:dyDescent="0.25">
      <c r="A11" s="731" t="s">
        <v>410</v>
      </c>
      <c r="B11" s="731"/>
      <c r="C11" s="731"/>
      <c r="D11" s="731"/>
      <c r="E11" s="731"/>
      <c r="F11" s="361">
        <v>26.08</v>
      </c>
    </row>
    <row r="12" spans="1:10" s="359" customFormat="1" ht="14.25" thickBot="1" x14ac:dyDescent="0.3">
      <c r="A12" s="732" t="s">
        <v>409</v>
      </c>
      <c r="B12" s="732"/>
      <c r="C12" s="732"/>
      <c r="D12" s="732"/>
      <c r="E12" s="732"/>
      <c r="F12" s="363">
        <f>F10/F11</f>
        <v>65</v>
      </c>
    </row>
    <row r="13" spans="1:10" s="359" customFormat="1" x14ac:dyDescent="0.25">
      <c r="A13" s="733" t="s">
        <v>408</v>
      </c>
      <c r="B13" s="733"/>
      <c r="C13" s="733"/>
      <c r="D13" s="733"/>
      <c r="E13" s="733"/>
      <c r="F13" s="362">
        <v>40</v>
      </c>
    </row>
    <row r="14" spans="1:10" s="359" customFormat="1" x14ac:dyDescent="0.25">
      <c r="A14" s="731" t="s">
        <v>407</v>
      </c>
      <c r="B14" s="731"/>
      <c r="C14" s="731"/>
      <c r="D14" s="731"/>
      <c r="E14" s="731"/>
      <c r="F14" s="361">
        <v>1</v>
      </c>
    </row>
    <row r="15" spans="1:10" s="359" customFormat="1" x14ac:dyDescent="0.25">
      <c r="A15" s="737" t="s">
        <v>406</v>
      </c>
      <c r="B15" s="737"/>
      <c r="C15" s="737"/>
      <c r="D15" s="737"/>
      <c r="E15" s="737"/>
      <c r="F15" s="360">
        <v>1</v>
      </c>
    </row>
  </sheetData>
  <mergeCells count="11">
    <mergeCell ref="A3:F3"/>
    <mergeCell ref="A4:F4"/>
    <mergeCell ref="D5:E5"/>
    <mergeCell ref="A9:B9"/>
    <mergeCell ref="D9:E9"/>
    <mergeCell ref="A15:E15"/>
    <mergeCell ref="A10:E10"/>
    <mergeCell ref="A11:E11"/>
    <mergeCell ref="A12:E12"/>
    <mergeCell ref="A13:E13"/>
    <mergeCell ref="A14:E14"/>
  </mergeCells>
  <pageMargins left="0.98425196850393704" right="0.59055118110236215" top="1.1811023622047243" bottom="0.59055118110236215" header="0.11811023622047244" footer="0.51181102362204722"/>
  <pageSetup paperSize="9" scale="68" fitToHeight="0" orientation="portrait" r:id="rId1"/>
  <headerFooter>
    <oddHeader>&amp;L&amp;G</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5" tint="0.59999389629810485"/>
    <pageSetUpPr fitToPage="1"/>
  </sheetPr>
  <dimension ref="A1:I27"/>
  <sheetViews>
    <sheetView view="pageLayout" zoomScaleNormal="100" zoomScaleSheetLayoutView="100" workbookViewId="0">
      <selection activeCell="C27" sqref="C27"/>
    </sheetView>
  </sheetViews>
  <sheetFormatPr defaultColWidth="9.140625" defaultRowHeight="13.5" x14ac:dyDescent="0.25"/>
  <cols>
    <col min="1" max="1" width="9.5703125" style="93" customWidth="1"/>
    <col min="2" max="2" width="46.140625" style="93" customWidth="1"/>
    <col min="3" max="3" width="15.140625" style="93" customWidth="1"/>
    <col min="4" max="4" width="11" style="93" customWidth="1"/>
    <col min="5" max="6" width="16.85546875" style="93" customWidth="1"/>
    <col min="7" max="7" width="14.85546875" style="95" customWidth="1"/>
    <col min="8" max="8" width="11.7109375" style="94" customWidth="1"/>
    <col min="9" max="16384" width="9.140625" style="93"/>
  </cols>
  <sheetData>
    <row r="1" spans="1:9" x14ac:dyDescent="0.25">
      <c r="A1" s="715" t="s">
        <v>105</v>
      </c>
      <c r="B1" s="715"/>
      <c r="C1" s="715"/>
      <c r="D1" s="715"/>
      <c r="E1" s="715"/>
      <c r="F1" s="715"/>
    </row>
    <row r="2" spans="1:9" x14ac:dyDescent="0.25">
      <c r="A2" s="739" t="str">
        <f>'ORÇAMENTO GERAL'!B12</f>
        <v>Varrição de Praças</v>
      </c>
      <c r="B2" s="739"/>
      <c r="C2" s="739"/>
      <c r="D2" s="739"/>
      <c r="E2" s="739"/>
      <c r="F2" s="739"/>
    </row>
    <row r="3" spans="1:9" ht="14.25" thickBot="1" x14ac:dyDescent="0.3">
      <c r="A3" s="449"/>
      <c r="B3" s="449"/>
      <c r="C3" s="449"/>
      <c r="D3" s="449"/>
      <c r="E3" s="90" t="s">
        <v>104</v>
      </c>
      <c r="F3" s="90" t="s">
        <v>498</v>
      </c>
    </row>
    <row r="4" spans="1:9" ht="14.25" thickBot="1" x14ac:dyDescent="0.3">
      <c r="A4" s="88" t="s">
        <v>54</v>
      </c>
      <c r="B4" s="87" t="s">
        <v>53</v>
      </c>
      <c r="C4" s="86" t="s">
        <v>102</v>
      </c>
      <c r="D4" s="85" t="s">
        <v>49</v>
      </c>
      <c r="E4" s="85" t="s">
        <v>101</v>
      </c>
      <c r="F4" s="84" t="s">
        <v>100</v>
      </c>
      <c r="H4" s="90"/>
      <c r="I4" s="90"/>
    </row>
    <row r="5" spans="1:9" x14ac:dyDescent="0.25">
      <c r="A5" s="131">
        <v>1</v>
      </c>
      <c r="B5" s="130" t="s">
        <v>99</v>
      </c>
      <c r="C5" s="129"/>
      <c r="D5" s="128"/>
      <c r="E5" s="128"/>
      <c r="F5" s="127"/>
    </row>
    <row r="6" spans="1:9" x14ac:dyDescent="0.25">
      <c r="A6" s="126" t="s">
        <v>31</v>
      </c>
      <c r="B6" s="120" t="s">
        <v>113</v>
      </c>
      <c r="C6" s="125" t="s">
        <v>85</v>
      </c>
      <c r="D6" s="124">
        <v>1</v>
      </c>
      <c r="E6" s="123" t="e">
        <f>'6.3 EQUIP VEICULOS'!C39</f>
        <v>#DIV/0!</v>
      </c>
      <c r="F6" s="109" t="e">
        <f>E6*D6</f>
        <v>#DIV/0!</v>
      </c>
    </row>
    <row r="7" spans="1:9" x14ac:dyDescent="0.25">
      <c r="A7" s="100"/>
      <c r="B7" s="108" t="s">
        <v>109</v>
      </c>
      <c r="C7" s="122"/>
      <c r="D7" s="121"/>
      <c r="E7" s="105" t="s">
        <v>48</v>
      </c>
      <c r="F7" s="104" t="e">
        <f>SUM(F6:F6)</f>
        <v>#DIV/0!</v>
      </c>
    </row>
    <row r="8" spans="1:9" x14ac:dyDescent="0.25">
      <c r="A8" s="118">
        <v>2</v>
      </c>
      <c r="B8" s="117" t="s">
        <v>112</v>
      </c>
      <c r="C8" s="116"/>
      <c r="D8" s="115"/>
      <c r="E8" s="114"/>
      <c r="F8" s="113"/>
    </row>
    <row r="9" spans="1:9" x14ac:dyDescent="0.25">
      <c r="A9" s="112" t="s">
        <v>17</v>
      </c>
      <c r="B9" s="98" t="s">
        <v>460</v>
      </c>
      <c r="C9" s="71" t="s">
        <v>94</v>
      </c>
      <c r="D9" s="110">
        <v>1</v>
      </c>
      <c r="E9" s="119" t="e">
        <f>'6.2 CPU MO'!F37</f>
        <v>#DIV/0!</v>
      </c>
      <c r="F9" s="109" t="e">
        <f t="shared" ref="F9:F11" si="0">E9*D9</f>
        <v>#DIV/0!</v>
      </c>
    </row>
    <row r="10" spans="1:9" x14ac:dyDescent="0.25">
      <c r="A10" s="112" t="s">
        <v>15</v>
      </c>
      <c r="B10" s="98" t="s">
        <v>111</v>
      </c>
      <c r="C10" s="71" t="s">
        <v>94</v>
      </c>
      <c r="D10" s="110">
        <f>D6</f>
        <v>1</v>
      </c>
      <c r="E10" s="119" t="e">
        <f>'6.2 CPU MO'!F72</f>
        <v>#DIV/0!</v>
      </c>
      <c r="F10" s="109" t="e">
        <f t="shared" si="0"/>
        <v>#DIV/0!</v>
      </c>
    </row>
    <row r="11" spans="1:9" x14ac:dyDescent="0.25">
      <c r="A11" s="112" t="s">
        <v>13</v>
      </c>
      <c r="B11" s="98" t="s">
        <v>461</v>
      </c>
      <c r="C11" s="71" t="s">
        <v>94</v>
      </c>
      <c r="D11" s="110">
        <v>20</v>
      </c>
      <c r="E11" s="119" t="e">
        <f>'6.2 CPU MO'!F110</f>
        <v>#DIV/0!</v>
      </c>
      <c r="F11" s="109" t="e">
        <f t="shared" si="0"/>
        <v>#DIV/0!</v>
      </c>
    </row>
    <row r="12" spans="1:9" x14ac:dyDescent="0.25">
      <c r="A12" s="112"/>
      <c r="B12" s="108" t="s">
        <v>109</v>
      </c>
      <c r="C12" s="107"/>
      <c r="D12" s="110"/>
      <c r="E12" s="105" t="s">
        <v>48</v>
      </c>
      <c r="F12" s="104" t="e">
        <f>SUM(F9:F11)</f>
        <v>#DIV/0!</v>
      </c>
    </row>
    <row r="13" spans="1:9" x14ac:dyDescent="0.25">
      <c r="A13" s="118">
        <v>3</v>
      </c>
      <c r="B13" s="117" t="s">
        <v>92</v>
      </c>
      <c r="C13" s="116"/>
      <c r="D13" s="115"/>
      <c r="E13" s="114"/>
      <c r="F13" s="113"/>
    </row>
    <row r="14" spans="1:9" x14ac:dyDescent="0.25">
      <c r="A14" s="112" t="s">
        <v>91</v>
      </c>
      <c r="B14" s="98" t="s">
        <v>88</v>
      </c>
      <c r="C14" s="111" t="s">
        <v>85</v>
      </c>
      <c r="D14" s="106">
        <f>D11</f>
        <v>20</v>
      </c>
      <c r="E14" s="69">
        <f>VLOOKUP(B14,'1.1 CUSTO FERRAME-UNIFORME-EPI'!B:C,2,FALSE)</f>
        <v>0</v>
      </c>
      <c r="F14" s="109">
        <f>E14*D14</f>
        <v>0</v>
      </c>
    </row>
    <row r="15" spans="1:9" x14ac:dyDescent="0.25">
      <c r="A15" s="112" t="s">
        <v>89</v>
      </c>
      <c r="B15" s="98" t="s">
        <v>216</v>
      </c>
      <c r="C15" s="111" t="s">
        <v>85</v>
      </c>
      <c r="D15" s="106">
        <f>D11/2</f>
        <v>10</v>
      </c>
      <c r="E15" s="69" t="e">
        <f>'6.3 EQUIP VEICULOS'!D39</f>
        <v>#DIV/0!</v>
      </c>
      <c r="F15" s="109" t="e">
        <f>E15*D15</f>
        <v>#DIV/0!</v>
      </c>
    </row>
    <row r="16" spans="1:9" x14ac:dyDescent="0.25">
      <c r="A16" s="112" t="s">
        <v>87</v>
      </c>
      <c r="B16" s="98" t="s">
        <v>110</v>
      </c>
      <c r="C16" s="111" t="s">
        <v>85</v>
      </c>
      <c r="D16" s="110">
        <f>26.08*D11</f>
        <v>521.59999999999991</v>
      </c>
      <c r="E16" s="69" t="e">
        <f>VLOOKUP(B16,'1.1 CUSTO FERRAME-UNIFORME-EPI'!B:C,2,FALSE)</f>
        <v>#DIV/0!</v>
      </c>
      <c r="F16" s="109" t="e">
        <f>E16*D16</f>
        <v>#DIV/0!</v>
      </c>
    </row>
    <row r="17" spans="1:8" x14ac:dyDescent="0.25">
      <c r="A17" s="100"/>
      <c r="B17" s="108" t="s">
        <v>109</v>
      </c>
      <c r="C17" s="107"/>
      <c r="D17" s="106"/>
      <c r="E17" s="105" t="s">
        <v>48</v>
      </c>
      <c r="F17" s="104" t="e">
        <f>SUM(F14:F16)</f>
        <v>#DIV/0!</v>
      </c>
    </row>
    <row r="18" spans="1:8" x14ac:dyDescent="0.25">
      <c r="A18" s="54"/>
      <c r="B18" s="54" t="s">
        <v>83</v>
      </c>
      <c r="C18" s="54"/>
      <c r="D18" s="54"/>
      <c r="E18" s="54"/>
      <c r="F18" s="67"/>
    </row>
    <row r="19" spans="1:8" x14ac:dyDescent="0.25">
      <c r="A19" s="103"/>
      <c r="B19" s="60" t="s">
        <v>82</v>
      </c>
      <c r="C19" s="169" t="s">
        <v>81</v>
      </c>
      <c r="D19" s="60"/>
      <c r="E19" s="98"/>
      <c r="F19" s="66" t="e">
        <f>SUM(F17,F12,F7)</f>
        <v>#DIV/0!</v>
      </c>
      <c r="H19" s="96"/>
    </row>
    <row r="20" spans="1:8" x14ac:dyDescent="0.25">
      <c r="A20" s="103"/>
      <c r="B20" s="65" t="s">
        <v>80</v>
      </c>
      <c r="C20" s="166" t="s">
        <v>490</v>
      </c>
      <c r="D20" s="102"/>
      <c r="E20" s="98"/>
      <c r="F20" s="64">
        <v>114688.4</v>
      </c>
      <c r="H20" s="96"/>
    </row>
    <row r="21" spans="1:8" x14ac:dyDescent="0.25">
      <c r="A21" s="100"/>
      <c r="B21" s="60" t="s">
        <v>78</v>
      </c>
      <c r="C21" s="169" t="s">
        <v>489</v>
      </c>
      <c r="D21" s="60"/>
      <c r="E21" s="98"/>
      <c r="F21" s="61" t="e">
        <f>F19/F20</f>
        <v>#DIV/0!</v>
      </c>
      <c r="H21" s="96"/>
    </row>
    <row r="22" spans="1:8" x14ac:dyDescent="0.25">
      <c r="A22" s="100"/>
      <c r="B22" s="60" t="s">
        <v>77</v>
      </c>
      <c r="C22" s="166" t="s">
        <v>76</v>
      </c>
      <c r="D22" s="58">
        <f>'BDI '!$C$22</f>
        <v>5.2600000000000001E-2</v>
      </c>
      <c r="E22" s="98"/>
      <c r="F22" s="56" t="e">
        <f>F21*D22</f>
        <v>#DIV/0!</v>
      </c>
      <c r="H22" s="96"/>
    </row>
    <row r="23" spans="1:8" x14ac:dyDescent="0.25">
      <c r="A23" s="54"/>
      <c r="B23" s="54" t="s">
        <v>75</v>
      </c>
      <c r="C23" s="164" t="s">
        <v>489</v>
      </c>
      <c r="D23" s="54"/>
      <c r="E23" s="54"/>
      <c r="F23" s="53" t="e">
        <f>ROUND(F21+F22,2)</f>
        <v>#DIV/0!</v>
      </c>
      <c r="H23" s="96"/>
    </row>
    <row r="24" spans="1:8" s="96" customFormat="1" ht="16.5" customHeight="1" x14ac:dyDescent="0.25"/>
    <row r="25" spans="1:8" s="96" customFormat="1" ht="16.5" customHeight="1" x14ac:dyDescent="0.25">
      <c r="F25" s="517"/>
    </row>
    <row r="26" spans="1:8" s="96" customFormat="1" ht="16.5" customHeight="1" x14ac:dyDescent="0.25"/>
    <row r="27" spans="1:8" s="96" customFormat="1" ht="16.5" customHeight="1" x14ac:dyDescent="0.25"/>
  </sheetData>
  <mergeCells count="2">
    <mergeCell ref="A1:F1"/>
    <mergeCell ref="A2:F2"/>
  </mergeCells>
  <pageMargins left="0.98425196850393704" right="0.59055118110236215" top="1.1811023622047243" bottom="0.59055118110236215" header="0.11811023622047244" footer="0.51181102362204722"/>
  <pageSetup paperSize="9" scale="56" fitToHeight="0" orientation="portrait" r:id="rId1"/>
  <headerFooter>
    <oddHeader>&amp;L&amp;G</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5" tint="0.59999389629810485"/>
    <pageSetUpPr fitToPage="1"/>
  </sheetPr>
  <dimension ref="B1:I110"/>
  <sheetViews>
    <sheetView view="pageBreakPreview" topLeftCell="A37" zoomScale="85" zoomScaleNormal="100" zoomScaleSheetLayoutView="85" workbookViewId="0">
      <selection activeCell="M69" sqref="M69"/>
    </sheetView>
  </sheetViews>
  <sheetFormatPr defaultColWidth="9" defaultRowHeight="15" x14ac:dyDescent="0.25"/>
  <cols>
    <col min="1" max="1" width="9" style="311"/>
    <col min="2" max="2" width="6.5703125" style="311" customWidth="1"/>
    <col min="3" max="3" width="45.28515625" style="311" customWidth="1"/>
    <col min="4" max="6" width="14" style="311" customWidth="1"/>
    <col min="7" max="9" width="14" style="311" hidden="1" customWidth="1"/>
    <col min="10" max="16384" width="9" style="311"/>
  </cols>
  <sheetData>
    <row r="1" spans="2:9" ht="12" customHeight="1" x14ac:dyDescent="0.25">
      <c r="C1" s="312"/>
    </row>
    <row r="2" spans="2:9" ht="20.25" customHeight="1" x14ac:dyDescent="0.25">
      <c r="B2" s="717" t="s">
        <v>55</v>
      </c>
      <c r="C2" s="717"/>
      <c r="D2" s="717"/>
      <c r="E2" s="717"/>
      <c r="F2" s="717"/>
      <c r="G2" s="717"/>
      <c r="H2" s="717"/>
      <c r="I2" s="717"/>
    </row>
    <row r="3" spans="2:9" ht="9.9499999999999993" customHeight="1" x14ac:dyDescent="0.25"/>
    <row r="5" spans="2:9" x14ac:dyDescent="0.25">
      <c r="B5" s="313" t="s">
        <v>54</v>
      </c>
      <c r="C5" s="314" t="s">
        <v>53</v>
      </c>
      <c r="D5" s="705" t="s">
        <v>63</v>
      </c>
      <c r="E5" s="706"/>
      <c r="F5" s="707"/>
      <c r="G5" s="705" t="s">
        <v>64</v>
      </c>
      <c r="H5" s="706"/>
      <c r="I5" s="707"/>
    </row>
    <row r="6" spans="2:9" x14ac:dyDescent="0.25">
      <c r="B6" s="315"/>
      <c r="C6" s="316"/>
      <c r="D6" s="709"/>
      <c r="E6" s="710"/>
      <c r="F6" s="711"/>
      <c r="G6" s="709"/>
      <c r="H6" s="710"/>
      <c r="I6" s="711"/>
    </row>
    <row r="7" spans="2:9" x14ac:dyDescent="0.25">
      <c r="B7" s="317" t="s">
        <v>52</v>
      </c>
      <c r="C7" s="318" t="s">
        <v>51</v>
      </c>
      <c r="D7" s="319" t="s">
        <v>50</v>
      </c>
      <c r="E7" s="319" t="s">
        <v>49</v>
      </c>
      <c r="F7" s="319" t="s">
        <v>48</v>
      </c>
      <c r="G7" s="319" t="s">
        <v>50</v>
      </c>
      <c r="H7" s="319" t="s">
        <v>49</v>
      </c>
      <c r="I7" s="319" t="s">
        <v>48</v>
      </c>
    </row>
    <row r="8" spans="2:9" x14ac:dyDescent="0.25">
      <c r="B8" s="317" t="s">
        <v>47</v>
      </c>
      <c r="C8" s="318" t="s">
        <v>46</v>
      </c>
      <c r="D8" s="319"/>
      <c r="E8" s="319"/>
      <c r="F8" s="319"/>
      <c r="G8" s="319"/>
      <c r="H8" s="319"/>
      <c r="I8" s="319"/>
    </row>
    <row r="9" spans="2:9" x14ac:dyDescent="0.25">
      <c r="B9" s="320" t="s">
        <v>45</v>
      </c>
      <c r="C9" s="321" t="s">
        <v>44</v>
      </c>
      <c r="D9" s="322">
        <f>'1.1 SALÁRIOS'!$F$10</f>
        <v>0</v>
      </c>
      <c r="E9" s="322">
        <v>1</v>
      </c>
      <c r="F9" s="322">
        <f>E9*D9</f>
        <v>0</v>
      </c>
      <c r="G9" s="322">
        <f>'1.1 SALÁRIOS'!$F$10</f>
        <v>0</v>
      </c>
      <c r="H9" s="322">
        <v>1</v>
      </c>
      <c r="I9" s="322">
        <f>H9*G9</f>
        <v>0</v>
      </c>
    </row>
    <row r="10" spans="2:9" x14ac:dyDescent="0.25">
      <c r="B10" s="320" t="s">
        <v>43</v>
      </c>
      <c r="C10" s="321" t="s">
        <v>42</v>
      </c>
      <c r="D10" s="322">
        <f>'1.1 SALÁRIOS'!$F$24</f>
        <v>0</v>
      </c>
      <c r="E10" s="387">
        <v>0</v>
      </c>
      <c r="F10" s="322">
        <f>E10*D10</f>
        <v>0</v>
      </c>
      <c r="G10" s="322">
        <f>'1.1 SALÁRIOS'!$F$24</f>
        <v>0</v>
      </c>
      <c r="H10" s="387">
        <v>0</v>
      </c>
      <c r="I10" s="322">
        <f>H10*G10</f>
        <v>0</v>
      </c>
    </row>
    <row r="11" spans="2:9" x14ac:dyDescent="0.25">
      <c r="B11" s="320" t="s">
        <v>41</v>
      </c>
      <c r="C11" s="321" t="s">
        <v>40</v>
      </c>
      <c r="D11" s="322"/>
      <c r="E11" s="322"/>
      <c r="F11" s="322"/>
      <c r="G11" s="322">
        <f>I9+I10</f>
        <v>0</v>
      </c>
      <c r="H11" s="387">
        <v>0.2</v>
      </c>
      <c r="I11" s="322">
        <f>H11*G11</f>
        <v>0</v>
      </c>
    </row>
    <row r="12" spans="2:9" x14ac:dyDescent="0.25">
      <c r="B12" s="320" t="s">
        <v>39</v>
      </c>
      <c r="C12" s="321" t="s">
        <v>38</v>
      </c>
      <c r="D12" s="322"/>
      <c r="E12" s="322"/>
      <c r="F12" s="322"/>
      <c r="G12" s="322"/>
      <c r="H12" s="322"/>
      <c r="I12" s="322"/>
    </row>
    <row r="13" spans="2:9" x14ac:dyDescent="0.25">
      <c r="B13" s="320" t="s">
        <v>37</v>
      </c>
      <c r="C13" s="321" t="s">
        <v>36</v>
      </c>
      <c r="D13" s="322"/>
      <c r="E13" s="322"/>
      <c r="F13" s="322"/>
      <c r="G13" s="322"/>
      <c r="H13" s="322"/>
      <c r="I13" s="322"/>
    </row>
    <row r="14" spans="2:9" x14ac:dyDescent="0.25">
      <c r="B14" s="320" t="s">
        <v>35</v>
      </c>
      <c r="C14" s="321" t="s">
        <v>34</v>
      </c>
      <c r="D14" s="322"/>
      <c r="E14" s="322"/>
      <c r="F14" s="322"/>
      <c r="G14" s="322"/>
      <c r="H14" s="322"/>
      <c r="I14" s="322"/>
    </row>
    <row r="15" spans="2:9" x14ac:dyDescent="0.25">
      <c r="B15" s="320"/>
      <c r="C15" s="318" t="s">
        <v>32</v>
      </c>
      <c r="D15" s="322"/>
      <c r="E15" s="322"/>
      <c r="F15" s="323">
        <f>SUM(F9:F14)</f>
        <v>0</v>
      </c>
      <c r="G15" s="322"/>
      <c r="H15" s="322"/>
      <c r="I15" s="323">
        <f>SUM(I9:I14)</f>
        <v>0</v>
      </c>
    </row>
    <row r="16" spans="2:9" x14ac:dyDescent="0.25">
      <c r="B16" s="317" t="s">
        <v>31</v>
      </c>
      <c r="C16" s="324" t="s">
        <v>30</v>
      </c>
      <c r="D16" s="322">
        <f>F15</f>
        <v>0</v>
      </c>
      <c r="E16" s="14">
        <f>'1.1 SALÁRIOS'!$F$33</f>
        <v>0</v>
      </c>
      <c r="F16" s="322">
        <f>E16*D16</f>
        <v>0</v>
      </c>
      <c r="G16" s="322">
        <f>I15</f>
        <v>0</v>
      </c>
      <c r="H16" s="14">
        <f>'1.1 SALÁRIOS'!$F$33</f>
        <v>0</v>
      </c>
      <c r="I16" s="322">
        <f>H16*G16</f>
        <v>0</v>
      </c>
    </row>
    <row r="17" spans="2:9" x14ac:dyDescent="0.25">
      <c r="B17" s="317" t="s">
        <v>29</v>
      </c>
      <c r="C17" s="325" t="s">
        <v>28</v>
      </c>
      <c r="D17" s="322"/>
      <c r="E17" s="322"/>
      <c r="F17" s="323">
        <f>SUM(F15:F16)</f>
        <v>0</v>
      </c>
      <c r="G17" s="322"/>
      <c r="H17" s="322"/>
      <c r="I17" s="323">
        <f>SUM(I15:I16)</f>
        <v>0</v>
      </c>
    </row>
    <row r="18" spans="2:9" x14ac:dyDescent="0.25">
      <c r="B18" s="317" t="s">
        <v>27</v>
      </c>
      <c r="C18" s="325" t="s">
        <v>26</v>
      </c>
      <c r="D18" s="322"/>
      <c r="E18" s="322"/>
      <c r="F18" s="322"/>
      <c r="G18" s="322"/>
      <c r="H18" s="322"/>
      <c r="I18" s="322"/>
    </row>
    <row r="19" spans="2:9" x14ac:dyDescent="0.25">
      <c r="B19" s="9" t="s">
        <v>25</v>
      </c>
      <c r="C19" s="15" t="s">
        <v>24</v>
      </c>
      <c r="D19" s="11">
        <f>'1.1 SALÁRIOS'!$F$35</f>
        <v>0</v>
      </c>
      <c r="E19" s="11">
        <v>25.25</v>
      </c>
      <c r="F19" s="11">
        <f>IF(2*E19*D19-0.06*D9&lt;0,0,2*E19*D19-0.06*D9)</f>
        <v>0</v>
      </c>
      <c r="G19" s="11">
        <f>'1.1 SALÁRIOS'!$F$35</f>
        <v>0</v>
      </c>
      <c r="H19" s="11">
        <v>25.25</v>
      </c>
      <c r="I19" s="11">
        <f>IF(2*H19*G19-0.06*G9&lt;0,0,2*H19*G19-0.06*G9)</f>
        <v>0</v>
      </c>
    </row>
    <row r="20" spans="2:9" x14ac:dyDescent="0.25">
      <c r="B20" s="9" t="s">
        <v>23</v>
      </c>
      <c r="C20" s="15" t="s">
        <v>369</v>
      </c>
      <c r="D20" s="11">
        <f>('1.1 SALÁRIOS'!$F$36+'1.1 SALÁRIOS'!$F$37)/12</f>
        <v>0</v>
      </c>
      <c r="E20" s="11">
        <v>1</v>
      </c>
      <c r="F20" s="11">
        <f>E20*D20</f>
        <v>0</v>
      </c>
      <c r="G20" s="11">
        <f>('1.1 SALÁRIOS'!$F$36+'1.1 SALÁRIOS'!$F$37)/12</f>
        <v>0</v>
      </c>
      <c r="H20" s="11">
        <v>1</v>
      </c>
      <c r="I20" s="11">
        <f>H20*G20</f>
        <v>0</v>
      </c>
    </row>
    <row r="21" spans="2:9" x14ac:dyDescent="0.25">
      <c r="B21" s="9" t="s">
        <v>22</v>
      </c>
      <c r="C21" s="15" t="s">
        <v>370</v>
      </c>
      <c r="D21" s="11">
        <f>'1.1 SALÁRIOS'!$F$38</f>
        <v>0</v>
      </c>
      <c r="E21" s="11">
        <f>E19</f>
        <v>25.25</v>
      </c>
      <c r="F21" s="11">
        <f>E21*D21</f>
        <v>0</v>
      </c>
      <c r="G21" s="11">
        <f>'1.1 SALÁRIOS'!$F$38</f>
        <v>0</v>
      </c>
      <c r="H21" s="11">
        <f>H19</f>
        <v>25.25</v>
      </c>
      <c r="I21" s="11">
        <f>H21*G21</f>
        <v>0</v>
      </c>
    </row>
    <row r="22" spans="2:9" x14ac:dyDescent="0.25">
      <c r="B22" s="9" t="s">
        <v>21</v>
      </c>
      <c r="C22" s="15" t="s">
        <v>371</v>
      </c>
      <c r="D22" s="11">
        <f>'1.1 SALÁRIOS'!$F$39</f>
        <v>0</v>
      </c>
      <c r="E22" s="11">
        <v>1</v>
      </c>
      <c r="F22" s="11">
        <f>E22*D22</f>
        <v>0</v>
      </c>
      <c r="G22" s="11">
        <f>'1.1 SALÁRIOS'!$F$39</f>
        <v>0</v>
      </c>
      <c r="H22" s="11">
        <v>1</v>
      </c>
      <c r="I22" s="11">
        <f>H22*G22</f>
        <v>0</v>
      </c>
    </row>
    <row r="23" spans="2:9" x14ac:dyDescent="0.25">
      <c r="B23" s="9" t="s">
        <v>374</v>
      </c>
      <c r="C23" s="15" t="s">
        <v>372</v>
      </c>
      <c r="D23" s="11">
        <f>'1.1 SALÁRIOS'!$F$40</f>
        <v>0</v>
      </c>
      <c r="E23" s="11">
        <v>1</v>
      </c>
      <c r="F23" s="11">
        <f>E23*D23</f>
        <v>0</v>
      </c>
      <c r="G23" s="11">
        <f>'1.1 SALÁRIOS'!$F$40</f>
        <v>0</v>
      </c>
      <c r="H23" s="11">
        <v>1</v>
      </c>
      <c r="I23" s="11">
        <f>H23*G23</f>
        <v>0</v>
      </c>
    </row>
    <row r="24" spans="2:9" x14ac:dyDescent="0.25">
      <c r="B24" s="9" t="s">
        <v>375</v>
      </c>
      <c r="C24" s="15" t="s">
        <v>373</v>
      </c>
      <c r="D24" s="11">
        <f>'1.1 SALÁRIOS'!$F$41</f>
        <v>0</v>
      </c>
      <c r="E24" s="11">
        <v>1</v>
      </c>
      <c r="F24" s="11">
        <f>E24*D24</f>
        <v>0</v>
      </c>
      <c r="G24" s="11">
        <f>'1.1 SALÁRIOS'!$F$41</f>
        <v>0</v>
      </c>
      <c r="H24" s="11">
        <v>1</v>
      </c>
      <c r="I24" s="11">
        <f>H24*G24</f>
        <v>0</v>
      </c>
    </row>
    <row r="25" spans="2:9" x14ac:dyDescent="0.25">
      <c r="B25" s="320"/>
      <c r="C25" s="325" t="s">
        <v>20</v>
      </c>
      <c r="D25" s="323"/>
      <c r="E25" s="323"/>
      <c r="F25" s="323">
        <f>SUM(F19:F24)</f>
        <v>0</v>
      </c>
      <c r="G25" s="323"/>
      <c r="H25" s="323"/>
      <c r="I25" s="323">
        <f>SUM(I19:I24)</f>
        <v>0</v>
      </c>
    </row>
    <row r="26" spans="2:9" x14ac:dyDescent="0.25">
      <c r="B26" s="317" t="s">
        <v>19</v>
      </c>
      <c r="C26" s="325" t="s">
        <v>18</v>
      </c>
      <c r="D26" s="322"/>
      <c r="E26" s="322"/>
      <c r="F26" s="322"/>
      <c r="G26" s="322"/>
      <c r="H26" s="322"/>
      <c r="I26" s="322"/>
    </row>
    <row r="27" spans="2:9" x14ac:dyDescent="0.25">
      <c r="B27" s="320" t="s">
        <v>17</v>
      </c>
      <c r="C27" s="326" t="s">
        <v>16</v>
      </c>
      <c r="D27" s="11" t="e">
        <f>VLOOKUP(C27,'1.1 CUSTO FERRAME-UNIFORME-EPI'!B:C,2,FALSE)</f>
        <v>#DIV/0!</v>
      </c>
      <c r="E27" s="328">
        <v>0.17</v>
      </c>
      <c r="F27" s="322" t="e">
        <f t="shared" ref="F27:F34" si="0">E27*D27</f>
        <v>#DIV/0!</v>
      </c>
      <c r="G27" s="327" t="e">
        <f>VLOOKUP(C27,'1.1 CUSTO FERRAME-UNIFORME-EPI'!B:C,2,FALSE)</f>
        <v>#DIV/0!</v>
      </c>
      <c r="H27" s="328">
        <v>0.17</v>
      </c>
      <c r="I27" s="322" t="e">
        <f t="shared" ref="I27:I34" si="1">H27*G27</f>
        <v>#DIV/0!</v>
      </c>
    </row>
    <row r="28" spans="2:9" x14ac:dyDescent="0.25">
      <c r="B28" s="320" t="s">
        <v>15</v>
      </c>
      <c r="C28" s="326" t="s">
        <v>14</v>
      </c>
      <c r="D28" s="11" t="e">
        <f>VLOOKUP(C28,'1.1 CUSTO FERRAME-UNIFORME-EPI'!B:C,2,FALSE)</f>
        <v>#DIV/0!</v>
      </c>
      <c r="E28" s="328">
        <v>0.33</v>
      </c>
      <c r="F28" s="322" t="e">
        <f t="shared" si="0"/>
        <v>#DIV/0!</v>
      </c>
      <c r="G28" s="327" t="e">
        <f>VLOOKUP(C28,'1.1 CUSTO FERRAME-UNIFORME-EPI'!B:C,2,FALSE)</f>
        <v>#DIV/0!</v>
      </c>
      <c r="H28" s="328">
        <v>0.33</v>
      </c>
      <c r="I28" s="322" t="e">
        <f t="shared" si="1"/>
        <v>#DIV/0!</v>
      </c>
    </row>
    <row r="29" spans="2:9" x14ac:dyDescent="0.25">
      <c r="B29" s="320" t="s">
        <v>13</v>
      </c>
      <c r="C29" s="326" t="s">
        <v>12</v>
      </c>
      <c r="D29" s="11" t="e">
        <f>VLOOKUP(C29,'1.1 CUSTO FERRAME-UNIFORME-EPI'!B:C,2,FALSE)</f>
        <v>#DIV/0!</v>
      </c>
      <c r="E29" s="328">
        <v>0.33</v>
      </c>
      <c r="F29" s="322" t="e">
        <f t="shared" si="0"/>
        <v>#DIV/0!</v>
      </c>
      <c r="G29" s="327" t="e">
        <f>VLOOKUP(C29,'1.1 CUSTO FERRAME-UNIFORME-EPI'!B:C,2,FALSE)</f>
        <v>#DIV/0!</v>
      </c>
      <c r="H29" s="328">
        <v>0.33</v>
      </c>
      <c r="I29" s="322" t="e">
        <f t="shared" si="1"/>
        <v>#DIV/0!</v>
      </c>
    </row>
    <row r="30" spans="2:9" x14ac:dyDescent="0.25">
      <c r="B30" s="320" t="s">
        <v>11</v>
      </c>
      <c r="C30" s="326" t="s">
        <v>10</v>
      </c>
      <c r="D30" s="11">
        <f>VLOOKUP(C30,'1.1 CUSTO FERRAME-UNIFORME-EPI'!B:C,2,FALSE)</f>
        <v>0</v>
      </c>
      <c r="E30" s="328">
        <v>0.17</v>
      </c>
      <c r="F30" s="322">
        <f t="shared" si="0"/>
        <v>0</v>
      </c>
      <c r="G30" s="327">
        <f>VLOOKUP(C30,'1.1 CUSTO FERRAME-UNIFORME-EPI'!B:C,2,FALSE)</f>
        <v>0</v>
      </c>
      <c r="H30" s="328">
        <v>0.17</v>
      </c>
      <c r="I30" s="322">
        <f t="shared" si="1"/>
        <v>0</v>
      </c>
    </row>
    <row r="31" spans="2:9" x14ac:dyDescent="0.25">
      <c r="B31" s="320" t="s">
        <v>9</v>
      </c>
      <c r="C31" s="326" t="s">
        <v>8</v>
      </c>
      <c r="D31" s="11">
        <f>VLOOKUP(C31,'1.1 CUSTO FERRAME-UNIFORME-EPI'!B:C,2,FALSE)</f>
        <v>0</v>
      </c>
      <c r="E31" s="328">
        <v>0.17</v>
      </c>
      <c r="F31" s="322">
        <f t="shared" si="0"/>
        <v>0</v>
      </c>
      <c r="G31" s="327">
        <f>VLOOKUP(C31,'1.1 CUSTO FERRAME-UNIFORME-EPI'!B:C,2,FALSE)</f>
        <v>0</v>
      </c>
      <c r="H31" s="328">
        <v>0.17</v>
      </c>
      <c r="I31" s="322">
        <f t="shared" si="1"/>
        <v>0</v>
      </c>
    </row>
    <row r="32" spans="2:9" x14ac:dyDescent="0.25">
      <c r="B32" s="320" t="s">
        <v>7</v>
      </c>
      <c r="C32" s="326" t="s">
        <v>6</v>
      </c>
      <c r="D32" s="11">
        <f>VLOOKUP(C32,'1.1 CUSTO FERRAME-UNIFORME-EPI'!B:C,2,FALSE)</f>
        <v>0</v>
      </c>
      <c r="E32" s="328">
        <v>0.3</v>
      </c>
      <c r="F32" s="322">
        <f t="shared" si="0"/>
        <v>0</v>
      </c>
      <c r="G32" s="327">
        <f>VLOOKUP(C32,'1.1 CUSTO FERRAME-UNIFORME-EPI'!B:C,2,FALSE)</f>
        <v>0</v>
      </c>
      <c r="H32" s="328">
        <v>0</v>
      </c>
      <c r="I32" s="322">
        <f t="shared" si="1"/>
        <v>0</v>
      </c>
    </row>
    <row r="33" spans="2:9" x14ac:dyDescent="0.25">
      <c r="B33" s="320" t="s">
        <v>5</v>
      </c>
      <c r="C33" s="326" t="s">
        <v>4</v>
      </c>
      <c r="D33" s="11" t="e">
        <f>VLOOKUP(C33,'1.1 CUSTO FERRAME-UNIFORME-EPI'!B:C,2,FALSE)</f>
        <v>#DIV/0!</v>
      </c>
      <c r="E33" s="328">
        <v>0</v>
      </c>
      <c r="F33" s="322" t="e">
        <f t="shared" si="0"/>
        <v>#DIV/0!</v>
      </c>
      <c r="G33" s="327" t="e">
        <f>VLOOKUP(C33,'1.1 CUSTO FERRAME-UNIFORME-EPI'!B:C,2,FALSE)</f>
        <v>#DIV/0!</v>
      </c>
      <c r="H33" s="328">
        <v>0.17</v>
      </c>
      <c r="I33" s="322" t="e">
        <f t="shared" si="1"/>
        <v>#DIV/0!</v>
      </c>
    </row>
    <row r="34" spans="2:9" x14ac:dyDescent="0.25">
      <c r="B34" s="320" t="s">
        <v>3</v>
      </c>
      <c r="C34" s="326" t="s">
        <v>202</v>
      </c>
      <c r="D34" s="11" t="e">
        <f>VLOOKUP(C34,'1.1 CUSTO FERRAME-UNIFORME-EPI'!B:C,2,FALSE)</f>
        <v>#DIV/0!</v>
      </c>
      <c r="E34" s="329">
        <v>0.08</v>
      </c>
      <c r="F34" s="322" t="e">
        <f t="shared" si="0"/>
        <v>#DIV/0!</v>
      </c>
      <c r="G34" s="327" t="e">
        <f>VLOOKUP(C34,'1.1 CUSTO FERRAME-UNIFORME-EPI'!B:C,2,FALSE)</f>
        <v>#DIV/0!</v>
      </c>
      <c r="H34" s="386">
        <v>0.08</v>
      </c>
      <c r="I34" s="322" t="e">
        <f t="shared" si="1"/>
        <v>#DIV/0!</v>
      </c>
    </row>
    <row r="35" spans="2:9" x14ac:dyDescent="0.25">
      <c r="B35" s="320"/>
      <c r="C35" s="325" t="s">
        <v>2</v>
      </c>
      <c r="D35" s="330"/>
      <c r="E35" s="330"/>
      <c r="F35" s="331" t="e">
        <f>SUM(F27:F34)</f>
        <v>#DIV/0!</v>
      </c>
      <c r="G35" s="330"/>
      <c r="H35" s="330"/>
      <c r="I35" s="331" t="e">
        <f>SUM(I27:I34)</f>
        <v>#DIV/0!</v>
      </c>
    </row>
    <row r="36" spans="2:9" x14ac:dyDescent="0.25">
      <c r="B36" s="320"/>
      <c r="C36" s="332"/>
      <c r="D36" s="330"/>
      <c r="E36" s="330"/>
      <c r="F36" s="331"/>
      <c r="G36" s="330"/>
      <c r="H36" s="330"/>
      <c r="I36" s="331"/>
    </row>
    <row r="37" spans="2:9" x14ac:dyDescent="0.25">
      <c r="B37" s="333" t="s">
        <v>1</v>
      </c>
      <c r="C37" s="334" t="s">
        <v>0</v>
      </c>
      <c r="D37" s="335"/>
      <c r="E37" s="335"/>
      <c r="F37" s="336" t="e">
        <f>SUM(F17,F25,F35)</f>
        <v>#DIV/0!</v>
      </c>
      <c r="G37" s="335"/>
      <c r="H37" s="335"/>
      <c r="I37" s="336" t="e">
        <f>SUM(I17,I25,I35)</f>
        <v>#DIV/0!</v>
      </c>
    </row>
    <row r="40" spans="2:9" x14ac:dyDescent="0.25">
      <c r="B40" s="313" t="s">
        <v>54</v>
      </c>
      <c r="C40" s="313" t="s">
        <v>53</v>
      </c>
      <c r="D40" s="714" t="s">
        <v>401</v>
      </c>
      <c r="E40" s="714"/>
      <c r="F40" s="714"/>
      <c r="G40" s="714" t="s">
        <v>426</v>
      </c>
      <c r="H40" s="714"/>
      <c r="I40" s="714"/>
    </row>
    <row r="41" spans="2:9" x14ac:dyDescent="0.25">
      <c r="B41" s="315"/>
      <c r="C41" s="315"/>
      <c r="D41" s="713"/>
      <c r="E41" s="713"/>
      <c r="F41" s="713"/>
      <c r="G41" s="713"/>
      <c r="H41" s="713"/>
      <c r="I41" s="713"/>
    </row>
    <row r="42" spans="2:9" x14ac:dyDescent="0.25">
      <c r="B42" s="317" t="s">
        <v>52</v>
      </c>
      <c r="C42" s="337" t="s">
        <v>51</v>
      </c>
      <c r="D42" s="319" t="s">
        <v>50</v>
      </c>
      <c r="E42" s="319" t="s">
        <v>49</v>
      </c>
      <c r="F42" s="319" t="s">
        <v>48</v>
      </c>
      <c r="G42" s="319" t="s">
        <v>50</v>
      </c>
      <c r="H42" s="319" t="s">
        <v>49</v>
      </c>
      <c r="I42" s="319" t="s">
        <v>48</v>
      </c>
    </row>
    <row r="43" spans="2:9" x14ac:dyDescent="0.25">
      <c r="B43" s="317" t="s">
        <v>47</v>
      </c>
      <c r="C43" s="337" t="s">
        <v>46</v>
      </c>
      <c r="D43" s="319"/>
      <c r="E43" s="319"/>
      <c r="F43" s="319"/>
      <c r="G43" s="319"/>
      <c r="H43" s="319"/>
      <c r="I43" s="319"/>
    </row>
    <row r="44" spans="2:9" x14ac:dyDescent="0.25">
      <c r="B44" s="320" t="s">
        <v>45</v>
      </c>
      <c r="C44" s="338" t="s">
        <v>44</v>
      </c>
      <c r="D44" s="339">
        <f>'1.1 SALÁRIOS'!$F$26</f>
        <v>0</v>
      </c>
      <c r="E44" s="322">
        <v>1</v>
      </c>
      <c r="F44" s="322">
        <f>E44*D44</f>
        <v>0</v>
      </c>
      <c r="G44" s="339">
        <f>'1.1 SALÁRIOS'!$F$26</f>
        <v>0</v>
      </c>
      <c r="H44" s="322">
        <v>1</v>
      </c>
      <c r="I44" s="322">
        <f>H44*G44</f>
        <v>0</v>
      </c>
    </row>
    <row r="45" spans="2:9" x14ac:dyDescent="0.25">
      <c r="B45" s="320" t="s">
        <v>43</v>
      </c>
      <c r="C45" s="338" t="s">
        <v>42</v>
      </c>
      <c r="D45" s="322">
        <f>'1.1 SALÁRIOS'!$F$24</f>
        <v>0</v>
      </c>
      <c r="E45" s="387">
        <v>0.2</v>
      </c>
      <c r="F45" s="322">
        <f>E45*D45</f>
        <v>0</v>
      </c>
      <c r="G45" s="322">
        <f>'1.1 SALÁRIOS'!$F$24</f>
        <v>0</v>
      </c>
      <c r="H45" s="387">
        <v>0.2</v>
      </c>
      <c r="I45" s="322">
        <f>H45*G45</f>
        <v>0</v>
      </c>
    </row>
    <row r="46" spans="2:9" x14ac:dyDescent="0.25">
      <c r="B46" s="320" t="s">
        <v>41</v>
      </c>
      <c r="C46" s="338" t="s">
        <v>56</v>
      </c>
      <c r="D46" s="322"/>
      <c r="E46" s="322"/>
      <c r="F46" s="322"/>
      <c r="G46" s="322">
        <f>I44+I45</f>
        <v>0</v>
      </c>
      <c r="H46" s="387">
        <v>0.2</v>
      </c>
      <c r="I46" s="322">
        <f>H46*G46</f>
        <v>0</v>
      </c>
    </row>
    <row r="47" spans="2:9" x14ac:dyDescent="0.25">
      <c r="B47" s="320" t="s">
        <v>39</v>
      </c>
      <c r="C47" s="338" t="s">
        <v>38</v>
      </c>
      <c r="D47" s="322"/>
      <c r="E47" s="322"/>
      <c r="F47" s="322"/>
      <c r="G47" s="322"/>
      <c r="H47" s="322"/>
      <c r="I47" s="322"/>
    </row>
    <row r="48" spans="2:9" x14ac:dyDescent="0.25">
      <c r="B48" s="320" t="s">
        <v>37</v>
      </c>
      <c r="C48" s="338" t="s">
        <v>36</v>
      </c>
      <c r="D48" s="322"/>
      <c r="E48" s="322"/>
      <c r="F48" s="322"/>
      <c r="G48" s="322"/>
      <c r="H48" s="322"/>
      <c r="I48" s="322"/>
    </row>
    <row r="49" spans="2:9" x14ac:dyDescent="0.25">
      <c r="B49" s="320" t="s">
        <v>35</v>
      </c>
      <c r="C49" s="338" t="s">
        <v>34</v>
      </c>
      <c r="D49" s="322"/>
      <c r="E49" s="322"/>
      <c r="F49" s="322"/>
      <c r="G49" s="322"/>
      <c r="H49" s="322"/>
      <c r="I49" s="322"/>
    </row>
    <row r="50" spans="2:9" x14ac:dyDescent="0.25">
      <c r="B50" s="320" t="s">
        <v>33</v>
      </c>
      <c r="C50" s="337" t="s">
        <v>32</v>
      </c>
      <c r="D50" s="322"/>
      <c r="E50" s="322"/>
      <c r="F50" s="323">
        <f>SUM(F44:F49)</f>
        <v>0</v>
      </c>
      <c r="G50" s="322"/>
      <c r="H50" s="322"/>
      <c r="I50" s="323">
        <f>SUM(I44:I49)</f>
        <v>0</v>
      </c>
    </row>
    <row r="51" spans="2:9" x14ac:dyDescent="0.25">
      <c r="B51" s="317" t="s">
        <v>31</v>
      </c>
      <c r="C51" s="324" t="s">
        <v>30</v>
      </c>
      <c r="D51" s="322">
        <f>F50</f>
        <v>0</v>
      </c>
      <c r="E51" s="14">
        <f>'1.1 SALÁRIOS'!$F$33</f>
        <v>0</v>
      </c>
      <c r="F51" s="323">
        <f>E51*D51</f>
        <v>0</v>
      </c>
      <c r="G51" s="322">
        <f>I50</f>
        <v>0</v>
      </c>
      <c r="H51" s="14">
        <f>'1.1 SALÁRIOS'!$F$33</f>
        <v>0</v>
      </c>
      <c r="I51" s="323">
        <f>H51*G51</f>
        <v>0</v>
      </c>
    </row>
    <row r="52" spans="2:9" x14ac:dyDescent="0.25">
      <c r="B52" s="317" t="s">
        <v>29</v>
      </c>
      <c r="C52" s="324" t="s">
        <v>28</v>
      </c>
      <c r="D52" s="322"/>
      <c r="E52" s="322"/>
      <c r="F52" s="323">
        <f>SUM(F50:F51)</f>
        <v>0</v>
      </c>
      <c r="G52" s="322"/>
      <c r="H52" s="322"/>
      <c r="I52" s="323">
        <f>SUM(I50:I51)</f>
        <v>0</v>
      </c>
    </row>
    <row r="53" spans="2:9" x14ac:dyDescent="0.25">
      <c r="B53" s="317" t="s">
        <v>27</v>
      </c>
      <c r="C53" s="324" t="s">
        <v>26</v>
      </c>
      <c r="D53" s="322"/>
      <c r="E53" s="322"/>
      <c r="F53" s="322"/>
      <c r="G53" s="322"/>
      <c r="H53" s="322"/>
      <c r="I53" s="322"/>
    </row>
    <row r="54" spans="2:9" x14ac:dyDescent="0.25">
      <c r="B54" s="9" t="s">
        <v>25</v>
      </c>
      <c r="C54" s="15" t="s">
        <v>24</v>
      </c>
      <c r="D54" s="11">
        <f>'1.1 SALÁRIOS'!$F$35</f>
        <v>0</v>
      </c>
      <c r="E54" s="11">
        <v>25.25</v>
      </c>
      <c r="F54" s="11">
        <f>IF(2*E54*D54-0.06*D44&lt;0,0,2*E54*D54-0.06*D44)</f>
        <v>0</v>
      </c>
      <c r="G54" s="11">
        <f>'1.1 SALÁRIOS'!$F$35</f>
        <v>0</v>
      </c>
      <c r="H54" s="11">
        <v>25.25</v>
      </c>
      <c r="I54" s="11">
        <f>IF(2*H54*G54-0.06*G44&lt;0,0,2*H54*G54-0.06*G44)</f>
        <v>0</v>
      </c>
    </row>
    <row r="55" spans="2:9" x14ac:dyDescent="0.25">
      <c r="B55" s="9" t="s">
        <v>23</v>
      </c>
      <c r="C55" s="15" t="s">
        <v>369</v>
      </c>
      <c r="D55" s="11">
        <f>('1.1 SALÁRIOS'!$F$36+'1.1 SALÁRIOS'!$F$37)/12</f>
        <v>0</v>
      </c>
      <c r="E55" s="11">
        <v>1</v>
      </c>
      <c r="F55" s="11">
        <f>E55*D55</f>
        <v>0</v>
      </c>
      <c r="G55" s="11">
        <f>('1.1 SALÁRIOS'!$F$36+'1.1 SALÁRIOS'!$F$37)/12</f>
        <v>0</v>
      </c>
      <c r="H55" s="11">
        <v>1</v>
      </c>
      <c r="I55" s="11">
        <f>H55*G55</f>
        <v>0</v>
      </c>
    </row>
    <row r="56" spans="2:9" x14ac:dyDescent="0.25">
      <c r="B56" s="9" t="s">
        <v>22</v>
      </c>
      <c r="C56" s="15" t="s">
        <v>370</v>
      </c>
      <c r="D56" s="11">
        <f>'1.1 SALÁRIOS'!$F$38</f>
        <v>0</v>
      </c>
      <c r="E56" s="11">
        <f>E54</f>
        <v>25.25</v>
      </c>
      <c r="F56" s="11">
        <f>E56*D56</f>
        <v>0</v>
      </c>
      <c r="G56" s="11">
        <f>'1.1 SALÁRIOS'!$F$38</f>
        <v>0</v>
      </c>
      <c r="H56" s="11">
        <f>H54</f>
        <v>25.25</v>
      </c>
      <c r="I56" s="11">
        <f>H56*G56</f>
        <v>0</v>
      </c>
    </row>
    <row r="57" spans="2:9" x14ac:dyDescent="0.25">
      <c r="B57" s="9" t="s">
        <v>21</v>
      </c>
      <c r="C57" s="15" t="s">
        <v>371</v>
      </c>
      <c r="D57" s="11">
        <f>'1.1 SALÁRIOS'!$F$39</f>
        <v>0</v>
      </c>
      <c r="E57" s="11">
        <v>1</v>
      </c>
      <c r="F57" s="11">
        <f>E57*D57</f>
        <v>0</v>
      </c>
      <c r="G57" s="11">
        <f>'1.1 SALÁRIOS'!$F$39</f>
        <v>0</v>
      </c>
      <c r="H57" s="11">
        <v>1</v>
      </c>
      <c r="I57" s="11">
        <f>H57*G57</f>
        <v>0</v>
      </c>
    </row>
    <row r="58" spans="2:9" x14ac:dyDescent="0.25">
      <c r="B58" s="9" t="s">
        <v>374</v>
      </c>
      <c r="C58" s="15" t="s">
        <v>372</v>
      </c>
      <c r="D58" s="11">
        <f>'1.1 SALÁRIOS'!$F$40</f>
        <v>0</v>
      </c>
      <c r="E58" s="11">
        <v>1</v>
      </c>
      <c r="F58" s="11">
        <f>E58*D58</f>
        <v>0</v>
      </c>
      <c r="G58" s="11">
        <f>'1.1 SALÁRIOS'!$F$40</f>
        <v>0</v>
      </c>
      <c r="H58" s="11">
        <v>1</v>
      </c>
      <c r="I58" s="11">
        <f>H58*G58</f>
        <v>0</v>
      </c>
    </row>
    <row r="59" spans="2:9" x14ac:dyDescent="0.25">
      <c r="B59" s="9" t="s">
        <v>375</v>
      </c>
      <c r="C59" s="15" t="s">
        <v>373</v>
      </c>
      <c r="D59" s="11">
        <f>'1.1 SALÁRIOS'!$F$41</f>
        <v>0</v>
      </c>
      <c r="E59" s="11">
        <v>1</v>
      </c>
      <c r="F59" s="11">
        <f>E59*D59</f>
        <v>0</v>
      </c>
      <c r="G59" s="11">
        <f>'1.1 SALÁRIOS'!$F$41</f>
        <v>0</v>
      </c>
      <c r="H59" s="11">
        <v>1</v>
      </c>
      <c r="I59" s="11">
        <f>H59*G59</f>
        <v>0</v>
      </c>
    </row>
    <row r="60" spans="2:9" x14ac:dyDescent="0.25">
      <c r="B60" s="320" t="s">
        <v>57</v>
      </c>
      <c r="C60" s="324" t="s">
        <v>20</v>
      </c>
      <c r="D60" s="323"/>
      <c r="E60" s="323"/>
      <c r="F60" s="323">
        <f>SUM(F54:F59)</f>
        <v>0</v>
      </c>
      <c r="G60" s="323"/>
      <c r="H60" s="323"/>
      <c r="I60" s="323">
        <f>SUM(I54:I59)</f>
        <v>0</v>
      </c>
    </row>
    <row r="61" spans="2:9" x14ac:dyDescent="0.25">
      <c r="B61" s="317" t="s">
        <v>19</v>
      </c>
      <c r="C61" s="324" t="s">
        <v>18</v>
      </c>
      <c r="D61" s="322"/>
      <c r="E61" s="322"/>
      <c r="F61" s="322"/>
      <c r="G61" s="322"/>
      <c r="H61" s="322"/>
      <c r="I61" s="322"/>
    </row>
    <row r="62" spans="2:9" x14ac:dyDescent="0.25">
      <c r="B62" s="320" t="s">
        <v>17</v>
      </c>
      <c r="C62" s="340" t="s">
        <v>16</v>
      </c>
      <c r="D62" s="11" t="e">
        <f>VLOOKUP(C62,'1.1 CUSTO FERRAME-UNIFORME-EPI'!B:C,2,FALSE)</f>
        <v>#DIV/0!</v>
      </c>
      <c r="E62" s="328">
        <v>0.17</v>
      </c>
      <c r="F62" s="322" t="e">
        <f t="shared" ref="F62:F69" si="2">E62*D62</f>
        <v>#DIV/0!</v>
      </c>
      <c r="G62" s="327" t="e">
        <f>VLOOKUP(C62,'1.1 CUSTO FERRAME-UNIFORME-EPI'!B:C,2,FALSE)</f>
        <v>#DIV/0!</v>
      </c>
      <c r="H62" s="328">
        <v>0.17</v>
      </c>
      <c r="I62" s="322" t="e">
        <f t="shared" ref="I62:I69" si="3">H62*G62</f>
        <v>#DIV/0!</v>
      </c>
    </row>
    <row r="63" spans="2:9" x14ac:dyDescent="0.25">
      <c r="B63" s="320" t="s">
        <v>15</v>
      </c>
      <c r="C63" s="340" t="s">
        <v>14</v>
      </c>
      <c r="D63" s="11" t="e">
        <f>VLOOKUP(C63,'1.1 CUSTO FERRAME-UNIFORME-EPI'!B:C,2,FALSE)</f>
        <v>#DIV/0!</v>
      </c>
      <c r="E63" s="328">
        <v>0.33</v>
      </c>
      <c r="F63" s="322" t="e">
        <f t="shared" si="2"/>
        <v>#DIV/0!</v>
      </c>
      <c r="G63" s="327" t="e">
        <f>VLOOKUP(C63,'1.1 CUSTO FERRAME-UNIFORME-EPI'!B:C,2,FALSE)</f>
        <v>#DIV/0!</v>
      </c>
      <c r="H63" s="328">
        <v>0.33</v>
      </c>
      <c r="I63" s="322" t="e">
        <f t="shared" si="3"/>
        <v>#DIV/0!</v>
      </c>
    </row>
    <row r="64" spans="2:9" x14ac:dyDescent="0.25">
      <c r="B64" s="320" t="s">
        <v>13</v>
      </c>
      <c r="C64" s="340" t="s">
        <v>12</v>
      </c>
      <c r="D64" s="11" t="e">
        <f>VLOOKUP(C64,'1.1 CUSTO FERRAME-UNIFORME-EPI'!B:C,2,FALSE)</f>
        <v>#DIV/0!</v>
      </c>
      <c r="E64" s="328">
        <v>0.33</v>
      </c>
      <c r="F64" s="322" t="e">
        <f t="shared" si="2"/>
        <v>#DIV/0!</v>
      </c>
      <c r="G64" s="327" t="e">
        <f>VLOOKUP(C64,'1.1 CUSTO FERRAME-UNIFORME-EPI'!B:C,2,FALSE)</f>
        <v>#DIV/0!</v>
      </c>
      <c r="H64" s="328">
        <v>0.33</v>
      </c>
      <c r="I64" s="322" t="e">
        <f t="shared" si="3"/>
        <v>#DIV/0!</v>
      </c>
    </row>
    <row r="65" spans="2:9" x14ac:dyDescent="0.25">
      <c r="B65" s="320" t="s">
        <v>11</v>
      </c>
      <c r="C65" s="340" t="s">
        <v>10</v>
      </c>
      <c r="D65" s="11">
        <f>VLOOKUP(C65,'1.1 CUSTO FERRAME-UNIFORME-EPI'!B:C,2,FALSE)</f>
        <v>0</v>
      </c>
      <c r="E65" s="328">
        <v>0.17</v>
      </c>
      <c r="F65" s="322">
        <f t="shared" si="2"/>
        <v>0</v>
      </c>
      <c r="G65" s="327">
        <f>VLOOKUP(C65,'1.1 CUSTO FERRAME-UNIFORME-EPI'!B:C,2,FALSE)</f>
        <v>0</v>
      </c>
      <c r="H65" s="328">
        <v>0.17</v>
      </c>
      <c r="I65" s="322">
        <f t="shared" si="3"/>
        <v>0</v>
      </c>
    </row>
    <row r="66" spans="2:9" x14ac:dyDescent="0.25">
      <c r="B66" s="320" t="s">
        <v>9</v>
      </c>
      <c r="C66" s="340" t="s">
        <v>8</v>
      </c>
      <c r="D66" s="11">
        <f>VLOOKUP(C66,'1.1 CUSTO FERRAME-UNIFORME-EPI'!B:C,2,FALSE)</f>
        <v>0</v>
      </c>
      <c r="E66" s="328">
        <v>0.17</v>
      </c>
      <c r="F66" s="322">
        <f t="shared" si="2"/>
        <v>0</v>
      </c>
      <c r="G66" s="327">
        <f>VLOOKUP(C66,'1.1 CUSTO FERRAME-UNIFORME-EPI'!B:C,2,FALSE)</f>
        <v>0</v>
      </c>
      <c r="H66" s="328">
        <v>0.17</v>
      </c>
      <c r="I66" s="322">
        <f t="shared" si="3"/>
        <v>0</v>
      </c>
    </row>
    <row r="67" spans="2:9" x14ac:dyDescent="0.25">
      <c r="B67" s="320" t="s">
        <v>7</v>
      </c>
      <c r="C67" s="340" t="s">
        <v>6</v>
      </c>
      <c r="D67" s="11">
        <f>VLOOKUP(C67,'1.1 CUSTO FERRAME-UNIFORME-EPI'!B:C,2,FALSE)</f>
        <v>0</v>
      </c>
      <c r="E67" s="328">
        <v>0.3</v>
      </c>
      <c r="F67" s="322">
        <f t="shared" si="2"/>
        <v>0</v>
      </c>
      <c r="G67" s="327">
        <f>VLOOKUP(C67,'1.1 CUSTO FERRAME-UNIFORME-EPI'!B:C,2,FALSE)</f>
        <v>0</v>
      </c>
      <c r="H67" s="328">
        <v>0</v>
      </c>
      <c r="I67" s="322">
        <f t="shared" si="3"/>
        <v>0</v>
      </c>
    </row>
    <row r="68" spans="2:9" x14ac:dyDescent="0.25">
      <c r="B68" s="320" t="s">
        <v>5</v>
      </c>
      <c r="C68" s="340" t="s">
        <v>4</v>
      </c>
      <c r="D68" s="11" t="e">
        <f>VLOOKUP(C68,'1.1 CUSTO FERRAME-UNIFORME-EPI'!B:C,2,FALSE)</f>
        <v>#DIV/0!</v>
      </c>
      <c r="E68" s="328">
        <v>0</v>
      </c>
      <c r="F68" s="322" t="e">
        <f t="shared" si="2"/>
        <v>#DIV/0!</v>
      </c>
      <c r="G68" s="327" t="e">
        <f>VLOOKUP(C68,'1.1 CUSTO FERRAME-UNIFORME-EPI'!B:C,2,FALSE)</f>
        <v>#DIV/0!</v>
      </c>
      <c r="H68" s="328">
        <v>0.17</v>
      </c>
      <c r="I68" s="322" t="e">
        <f t="shared" si="3"/>
        <v>#DIV/0!</v>
      </c>
    </row>
    <row r="69" spans="2:9" x14ac:dyDescent="0.25">
      <c r="B69" s="320" t="s">
        <v>3</v>
      </c>
      <c r="C69" s="326" t="s">
        <v>202</v>
      </c>
      <c r="D69" s="11" t="e">
        <f>VLOOKUP(C69,'1.1 CUSTO FERRAME-UNIFORME-EPI'!B:C,2,FALSE)</f>
        <v>#DIV/0!</v>
      </c>
      <c r="E69" s="329">
        <v>0.08</v>
      </c>
      <c r="F69" s="322" t="e">
        <f t="shared" si="2"/>
        <v>#DIV/0!</v>
      </c>
      <c r="G69" s="327" t="e">
        <f>VLOOKUP(C69,'1.1 CUSTO FERRAME-UNIFORME-EPI'!B:C,2,FALSE)</f>
        <v>#DIV/0!</v>
      </c>
      <c r="H69" s="386">
        <v>0.08</v>
      </c>
      <c r="I69" s="322" t="e">
        <f t="shared" si="3"/>
        <v>#DIV/0!</v>
      </c>
    </row>
    <row r="70" spans="2:9" x14ac:dyDescent="0.25">
      <c r="B70" s="320"/>
      <c r="C70" s="341" t="s">
        <v>2</v>
      </c>
      <c r="D70" s="330"/>
      <c r="E70" s="330"/>
      <c r="F70" s="331" t="e">
        <f>SUM(F62:F69)</f>
        <v>#DIV/0!</v>
      </c>
      <c r="G70" s="330"/>
      <c r="H70" s="330"/>
      <c r="I70" s="331" t="e">
        <f>SUM(I62:I69)</f>
        <v>#DIV/0!</v>
      </c>
    </row>
    <row r="71" spans="2:9" x14ac:dyDescent="0.25">
      <c r="B71" s="342"/>
      <c r="C71" s="343"/>
      <c r="D71" s="344"/>
      <c r="E71" s="344"/>
      <c r="F71" s="345"/>
      <c r="G71" s="330"/>
      <c r="H71" s="330"/>
      <c r="I71" s="331"/>
    </row>
    <row r="72" spans="2:9" x14ac:dyDescent="0.25">
      <c r="B72" s="333" t="s">
        <v>1</v>
      </c>
      <c r="C72" s="346" t="s">
        <v>0</v>
      </c>
      <c r="D72" s="335"/>
      <c r="E72" s="335"/>
      <c r="F72" s="336" t="e">
        <f>SUM(F70,F60,F52)</f>
        <v>#DIV/0!</v>
      </c>
      <c r="G72" s="335"/>
      <c r="H72" s="335"/>
      <c r="I72" s="336" t="e">
        <f>SUM(I70,I60,I52)</f>
        <v>#DIV/0!</v>
      </c>
    </row>
    <row r="75" spans="2:9" x14ac:dyDescent="0.25">
      <c r="B75" s="313" t="s">
        <v>54</v>
      </c>
      <c r="C75" s="313" t="s">
        <v>53</v>
      </c>
      <c r="D75" s="708" t="s">
        <v>433</v>
      </c>
      <c r="E75" s="708"/>
      <c r="F75" s="708"/>
      <c r="G75" s="708" t="s">
        <v>434</v>
      </c>
      <c r="H75" s="708"/>
      <c r="I75" s="708"/>
    </row>
    <row r="76" spans="2:9" x14ac:dyDescent="0.25">
      <c r="B76" s="315"/>
      <c r="C76" s="315"/>
      <c r="D76" s="713"/>
      <c r="E76" s="713"/>
      <c r="F76" s="713"/>
      <c r="G76" s="713"/>
      <c r="H76" s="713"/>
      <c r="I76" s="713"/>
    </row>
    <row r="77" spans="2:9" x14ac:dyDescent="0.25">
      <c r="B77" s="317" t="s">
        <v>52</v>
      </c>
      <c r="C77" s="337" t="s">
        <v>51</v>
      </c>
      <c r="D77" s="319" t="s">
        <v>50</v>
      </c>
      <c r="E77" s="319" t="s">
        <v>49</v>
      </c>
      <c r="F77" s="319" t="s">
        <v>48</v>
      </c>
      <c r="G77" s="319" t="s">
        <v>50</v>
      </c>
      <c r="H77" s="319" t="s">
        <v>49</v>
      </c>
      <c r="I77" s="319" t="s">
        <v>48</v>
      </c>
    </row>
    <row r="78" spans="2:9" x14ac:dyDescent="0.25">
      <c r="B78" s="317" t="s">
        <v>47</v>
      </c>
      <c r="C78" s="337" t="s">
        <v>46</v>
      </c>
      <c r="D78" s="319"/>
      <c r="E78" s="319"/>
      <c r="F78" s="319"/>
      <c r="G78" s="319"/>
      <c r="H78" s="319"/>
      <c r="I78" s="319"/>
    </row>
    <row r="79" spans="2:9" x14ac:dyDescent="0.25">
      <c r="B79" s="320" t="s">
        <v>45</v>
      </c>
      <c r="C79" s="338" t="s">
        <v>44</v>
      </c>
      <c r="D79" s="339">
        <f>'1.1 SALÁRIOS'!$F$5</f>
        <v>0</v>
      </c>
      <c r="E79" s="322">
        <v>1</v>
      </c>
      <c r="F79" s="322">
        <f>E79*D79</f>
        <v>0</v>
      </c>
      <c r="G79" s="339">
        <f>'1.1 SALÁRIOS'!$F$5</f>
        <v>0</v>
      </c>
      <c r="H79" s="322">
        <v>1</v>
      </c>
      <c r="I79" s="322">
        <f>H79*G79</f>
        <v>0</v>
      </c>
    </row>
    <row r="80" spans="2:9" x14ac:dyDescent="0.25">
      <c r="B80" s="320" t="s">
        <v>43</v>
      </c>
      <c r="C80" s="338" t="s">
        <v>42</v>
      </c>
      <c r="D80" s="322">
        <f>'1.1 SALÁRIOS'!$F$24</f>
        <v>0</v>
      </c>
      <c r="E80" s="387">
        <v>0.4</v>
      </c>
      <c r="F80" s="322">
        <f>E80*D80</f>
        <v>0</v>
      </c>
      <c r="G80" s="322">
        <f>'1.1 SALÁRIOS'!$F$24</f>
        <v>0</v>
      </c>
      <c r="H80" s="387">
        <v>0.4</v>
      </c>
      <c r="I80" s="322">
        <f>H80*G80</f>
        <v>0</v>
      </c>
    </row>
    <row r="81" spans="2:9" x14ac:dyDescent="0.25">
      <c r="B81" s="320" t="s">
        <v>41</v>
      </c>
      <c r="C81" s="338" t="s">
        <v>56</v>
      </c>
      <c r="D81" s="322"/>
      <c r="E81" s="322"/>
      <c r="F81" s="322"/>
      <c r="G81" s="322">
        <f>I79+I80</f>
        <v>0</v>
      </c>
      <c r="H81" s="387">
        <v>0.2</v>
      </c>
      <c r="I81" s="322">
        <f>H81*G81</f>
        <v>0</v>
      </c>
    </row>
    <row r="82" spans="2:9" x14ac:dyDescent="0.25">
      <c r="B82" s="320" t="s">
        <v>39</v>
      </c>
      <c r="C82" s="338" t="s">
        <v>38</v>
      </c>
      <c r="D82" s="322"/>
      <c r="E82" s="322"/>
      <c r="F82" s="322"/>
      <c r="G82" s="322"/>
      <c r="H82" s="322"/>
      <c r="I82" s="322"/>
    </row>
    <row r="83" spans="2:9" x14ac:dyDescent="0.25">
      <c r="B83" s="320" t="s">
        <v>37</v>
      </c>
      <c r="C83" s="338" t="s">
        <v>36</v>
      </c>
      <c r="D83" s="322"/>
      <c r="E83" s="322"/>
      <c r="F83" s="322"/>
      <c r="G83" s="322"/>
      <c r="H83" s="322"/>
      <c r="I83" s="322"/>
    </row>
    <row r="84" spans="2:9" x14ac:dyDescent="0.25">
      <c r="B84" s="320" t="s">
        <v>35</v>
      </c>
      <c r="C84" s="338" t="s">
        <v>34</v>
      </c>
      <c r="D84" s="322"/>
      <c r="E84" s="322"/>
      <c r="F84" s="322"/>
      <c r="G84" s="322"/>
      <c r="H84" s="322"/>
      <c r="I84" s="322"/>
    </row>
    <row r="85" spans="2:9" x14ac:dyDescent="0.25">
      <c r="B85" s="320"/>
      <c r="C85" s="337" t="s">
        <v>32</v>
      </c>
      <c r="D85" s="322"/>
      <c r="E85" s="322"/>
      <c r="F85" s="323">
        <f>SUM(F79:F84)</f>
        <v>0</v>
      </c>
      <c r="G85" s="322"/>
      <c r="H85" s="322"/>
      <c r="I85" s="323">
        <f>SUM(I79:I84)</f>
        <v>0</v>
      </c>
    </row>
    <row r="86" spans="2:9" x14ac:dyDescent="0.25">
      <c r="B86" s="317" t="s">
        <v>31</v>
      </c>
      <c r="C86" s="347" t="s">
        <v>30</v>
      </c>
      <c r="D86" s="348">
        <f>F85</f>
        <v>0</v>
      </c>
      <c r="E86" s="14">
        <f>'1.1 SALÁRIOS'!$F$33</f>
        <v>0</v>
      </c>
      <c r="F86" s="322">
        <f>E86*D86</f>
        <v>0</v>
      </c>
      <c r="G86" s="322">
        <f>I85</f>
        <v>0</v>
      </c>
      <c r="H86" s="14">
        <f>'1.1 SALÁRIOS'!$F$33</f>
        <v>0</v>
      </c>
      <c r="I86" s="322">
        <f>H86*G86</f>
        <v>0</v>
      </c>
    </row>
    <row r="87" spans="2:9" x14ac:dyDescent="0.25">
      <c r="B87" s="317" t="s">
        <v>29</v>
      </c>
      <c r="C87" s="324" t="s">
        <v>28</v>
      </c>
      <c r="D87" s="322"/>
      <c r="E87" s="322"/>
      <c r="F87" s="323">
        <f>SUM(F85:F86)</f>
        <v>0</v>
      </c>
      <c r="G87" s="322"/>
      <c r="H87" s="322"/>
      <c r="I87" s="323">
        <f>SUM(I85:I86)</f>
        <v>0</v>
      </c>
    </row>
    <row r="88" spans="2:9" x14ac:dyDescent="0.25">
      <c r="B88" s="317" t="s">
        <v>27</v>
      </c>
      <c r="C88" s="324" t="s">
        <v>26</v>
      </c>
      <c r="D88" s="322"/>
      <c r="E88" s="322"/>
      <c r="F88" s="322"/>
      <c r="G88" s="322"/>
      <c r="H88" s="322"/>
      <c r="I88" s="322"/>
    </row>
    <row r="89" spans="2:9" x14ac:dyDescent="0.25">
      <c r="B89" s="9" t="s">
        <v>25</v>
      </c>
      <c r="C89" s="15" t="s">
        <v>24</v>
      </c>
      <c r="D89" s="11">
        <f>'1.1 SALÁRIOS'!$F$35</f>
        <v>0</v>
      </c>
      <c r="E89" s="11">
        <v>25.25</v>
      </c>
      <c r="F89" s="11">
        <f>IF(2*E89*D89-0.06*D79&lt;0,0,2*E89*D89-0.06*D79)</f>
        <v>0</v>
      </c>
      <c r="G89" s="11">
        <f>'1.1 SALÁRIOS'!$F$35</f>
        <v>0</v>
      </c>
      <c r="H89" s="11">
        <v>25.25</v>
      </c>
      <c r="I89" s="11">
        <f>IF(2*H89*G89-0.06*G79&lt;0,0,2*H89*G89-0.06*G79)</f>
        <v>0</v>
      </c>
    </row>
    <row r="90" spans="2:9" x14ac:dyDescent="0.25">
      <c r="B90" s="9" t="s">
        <v>23</v>
      </c>
      <c r="C90" s="15" t="s">
        <v>369</v>
      </c>
      <c r="D90" s="11">
        <f>('1.1 SALÁRIOS'!$F$36+'1.1 SALÁRIOS'!$F$37)/12</f>
        <v>0</v>
      </c>
      <c r="E90" s="11">
        <v>1</v>
      </c>
      <c r="F90" s="11">
        <f>E90*D90</f>
        <v>0</v>
      </c>
      <c r="G90" s="11">
        <f>('1.1 SALÁRIOS'!$F$36+'1.1 SALÁRIOS'!$F$37)/12</f>
        <v>0</v>
      </c>
      <c r="H90" s="11">
        <v>1</v>
      </c>
      <c r="I90" s="11">
        <f>H90*G90</f>
        <v>0</v>
      </c>
    </row>
    <row r="91" spans="2:9" x14ac:dyDescent="0.25">
      <c r="B91" s="9" t="s">
        <v>22</v>
      </c>
      <c r="C91" s="15" t="s">
        <v>370</v>
      </c>
      <c r="D91" s="11">
        <f>'1.1 SALÁRIOS'!$F$38</f>
        <v>0</v>
      </c>
      <c r="E91" s="11">
        <f>E89</f>
        <v>25.25</v>
      </c>
      <c r="F91" s="11">
        <f>E91*D91</f>
        <v>0</v>
      </c>
      <c r="G91" s="11">
        <f>'1.1 SALÁRIOS'!$F$38</f>
        <v>0</v>
      </c>
      <c r="H91" s="11">
        <f>H89</f>
        <v>25.25</v>
      </c>
      <c r="I91" s="11">
        <f>H91*G91</f>
        <v>0</v>
      </c>
    </row>
    <row r="92" spans="2:9" x14ac:dyDescent="0.25">
      <c r="B92" s="9" t="s">
        <v>21</v>
      </c>
      <c r="C92" s="15" t="s">
        <v>371</v>
      </c>
      <c r="D92" s="11">
        <f>'1.1 SALÁRIOS'!$F$39</f>
        <v>0</v>
      </c>
      <c r="E92" s="11">
        <v>1</v>
      </c>
      <c r="F92" s="11">
        <f>E92*D92</f>
        <v>0</v>
      </c>
      <c r="G92" s="11">
        <f>'1.1 SALÁRIOS'!$F$39</f>
        <v>0</v>
      </c>
      <c r="H92" s="11">
        <v>1</v>
      </c>
      <c r="I92" s="11">
        <f>H92*G92</f>
        <v>0</v>
      </c>
    </row>
    <row r="93" spans="2:9" x14ac:dyDescent="0.25">
      <c r="B93" s="9" t="s">
        <v>374</v>
      </c>
      <c r="C93" s="15" t="s">
        <v>372</v>
      </c>
      <c r="D93" s="11">
        <f>'1.1 SALÁRIOS'!$F$40</f>
        <v>0</v>
      </c>
      <c r="E93" s="11">
        <v>1</v>
      </c>
      <c r="F93" s="11">
        <f>E93*D93</f>
        <v>0</v>
      </c>
      <c r="G93" s="11">
        <f>'1.1 SALÁRIOS'!$F$40</f>
        <v>0</v>
      </c>
      <c r="H93" s="11">
        <v>1</v>
      </c>
      <c r="I93" s="11">
        <f>H93*G93</f>
        <v>0</v>
      </c>
    </row>
    <row r="94" spans="2:9" x14ac:dyDescent="0.25">
      <c r="B94" s="9" t="s">
        <v>375</v>
      </c>
      <c r="C94" s="15" t="s">
        <v>373</v>
      </c>
      <c r="D94" s="11">
        <f>'1.1 SALÁRIOS'!$F$41</f>
        <v>0</v>
      </c>
      <c r="E94" s="11">
        <v>1</v>
      </c>
      <c r="F94" s="11">
        <f>E94*D94</f>
        <v>0</v>
      </c>
      <c r="G94" s="11">
        <f>'1.1 SALÁRIOS'!$F$41</f>
        <v>0</v>
      </c>
      <c r="H94" s="11">
        <v>1</v>
      </c>
      <c r="I94" s="11">
        <f>H94*G94</f>
        <v>0</v>
      </c>
    </row>
    <row r="95" spans="2:9" x14ac:dyDescent="0.25">
      <c r="B95" s="320"/>
      <c r="C95" s="324" t="s">
        <v>20</v>
      </c>
      <c r="D95" s="323"/>
      <c r="E95" s="323"/>
      <c r="F95" s="323">
        <f>SUM(F89:F94)</f>
        <v>0</v>
      </c>
      <c r="G95" s="323"/>
      <c r="H95" s="323"/>
      <c r="I95" s="323">
        <f>SUM(I89:I94)</f>
        <v>0</v>
      </c>
    </row>
    <row r="96" spans="2:9" x14ac:dyDescent="0.25">
      <c r="B96" s="317" t="s">
        <v>19</v>
      </c>
      <c r="C96" s="324" t="s">
        <v>18</v>
      </c>
      <c r="D96" s="322"/>
      <c r="E96" s="322"/>
      <c r="F96" s="322"/>
      <c r="G96" s="322"/>
      <c r="H96" s="322"/>
      <c r="I96" s="322"/>
    </row>
    <row r="97" spans="2:9" x14ac:dyDescent="0.25">
      <c r="B97" s="320" t="s">
        <v>17</v>
      </c>
      <c r="C97" s="340" t="s">
        <v>16</v>
      </c>
      <c r="D97" s="11" t="e">
        <f>VLOOKUP(C97,'1.1 CUSTO FERRAME-UNIFORME-EPI'!B:C,2,FALSE)</f>
        <v>#DIV/0!</v>
      </c>
      <c r="E97" s="328">
        <v>0.25</v>
      </c>
      <c r="F97" s="322" t="e">
        <f t="shared" ref="F97:F104" si="4">E97*D97</f>
        <v>#DIV/0!</v>
      </c>
      <c r="G97" s="327" t="e">
        <f>VLOOKUP(C97,'1.1 CUSTO FERRAME-UNIFORME-EPI'!B:C,2,FALSE)</f>
        <v>#DIV/0!</v>
      </c>
      <c r="H97" s="328">
        <v>0.25</v>
      </c>
      <c r="I97" s="322" t="e">
        <f t="shared" ref="I97:I105" si="5">H97*G97</f>
        <v>#DIV/0!</v>
      </c>
    </row>
    <row r="98" spans="2:9" x14ac:dyDescent="0.25">
      <c r="B98" s="320" t="s">
        <v>15</v>
      </c>
      <c r="C98" s="340" t="s">
        <v>210</v>
      </c>
      <c r="D98" s="11">
        <f>VLOOKUP(C98,'1.1 CUSTO FERRAME-UNIFORME-EPI'!B:C,2,FALSE)</f>
        <v>0</v>
      </c>
      <c r="E98" s="328">
        <v>0.5</v>
      </c>
      <c r="F98" s="322">
        <f t="shared" si="4"/>
        <v>0</v>
      </c>
      <c r="G98" s="327">
        <f>VLOOKUP(C98,'1.1 CUSTO FERRAME-UNIFORME-EPI'!B:C,2,FALSE)</f>
        <v>0</v>
      </c>
      <c r="H98" s="328">
        <v>0.5</v>
      </c>
      <c r="I98" s="322">
        <f t="shared" si="5"/>
        <v>0</v>
      </c>
    </row>
    <row r="99" spans="2:9" x14ac:dyDescent="0.25">
      <c r="B99" s="320" t="s">
        <v>13</v>
      </c>
      <c r="C99" s="340" t="s">
        <v>209</v>
      </c>
      <c r="D99" s="11">
        <f>VLOOKUP(C99,'1.1 CUSTO FERRAME-UNIFORME-EPI'!B:C,2,FALSE)</f>
        <v>0</v>
      </c>
      <c r="E99" s="328">
        <v>0.5</v>
      </c>
      <c r="F99" s="322">
        <f t="shared" si="4"/>
        <v>0</v>
      </c>
      <c r="G99" s="327">
        <f>VLOOKUP(C99,'1.1 CUSTO FERRAME-UNIFORME-EPI'!B:C,2,FALSE)</f>
        <v>0</v>
      </c>
      <c r="H99" s="328">
        <v>0.5</v>
      </c>
      <c r="I99" s="322">
        <f t="shared" si="5"/>
        <v>0</v>
      </c>
    </row>
    <row r="100" spans="2:9" x14ac:dyDescent="0.25">
      <c r="B100" s="320" t="s">
        <v>11</v>
      </c>
      <c r="C100" s="340" t="s">
        <v>205</v>
      </c>
      <c r="D100" s="11">
        <f>VLOOKUP(C100,'1.1 CUSTO FERRAME-UNIFORME-EPI'!B:C,2,FALSE)</f>
        <v>0</v>
      </c>
      <c r="E100" s="328">
        <v>0.25</v>
      </c>
      <c r="F100" s="322">
        <f t="shared" si="4"/>
        <v>0</v>
      </c>
      <c r="G100" s="327">
        <f>VLOOKUP(C100,'1.1 CUSTO FERRAME-UNIFORME-EPI'!B:C,2,FALSE)</f>
        <v>0</v>
      </c>
      <c r="H100" s="328">
        <v>0.25</v>
      </c>
      <c r="I100" s="322">
        <f t="shared" si="5"/>
        <v>0</v>
      </c>
    </row>
    <row r="101" spans="2:9" x14ac:dyDescent="0.25">
      <c r="B101" s="320" t="s">
        <v>9</v>
      </c>
      <c r="C101" s="340" t="s">
        <v>58</v>
      </c>
      <c r="D101" s="11" t="e">
        <f>VLOOKUP(C101,'1.1 CUSTO FERRAME-UNIFORME-EPI'!B:C,2,FALSE)</f>
        <v>#DIV/0!</v>
      </c>
      <c r="E101" s="328">
        <v>0.25</v>
      </c>
      <c r="F101" s="322" t="e">
        <f t="shared" si="4"/>
        <v>#DIV/0!</v>
      </c>
      <c r="G101" s="327" t="e">
        <f>VLOOKUP(C101,'1.1 CUSTO FERRAME-UNIFORME-EPI'!B:C,2,FALSE)</f>
        <v>#DIV/0!</v>
      </c>
      <c r="H101" s="328">
        <v>0.25</v>
      </c>
      <c r="I101" s="322" t="e">
        <f t="shared" si="5"/>
        <v>#DIV/0!</v>
      </c>
    </row>
    <row r="102" spans="2:9" x14ac:dyDescent="0.25">
      <c r="B102" s="320" t="s">
        <v>7</v>
      </c>
      <c r="C102" s="340" t="s">
        <v>8</v>
      </c>
      <c r="D102" s="11">
        <f>VLOOKUP(C102,'1.1 CUSTO FERRAME-UNIFORME-EPI'!B:C,2,FALSE)</f>
        <v>0</v>
      </c>
      <c r="E102" s="328">
        <v>0.17</v>
      </c>
      <c r="F102" s="322">
        <f t="shared" si="4"/>
        <v>0</v>
      </c>
      <c r="G102" s="327">
        <f>VLOOKUP(C102,'1.1 CUSTO FERRAME-UNIFORME-EPI'!B:C,2,FALSE)</f>
        <v>0</v>
      </c>
      <c r="H102" s="328">
        <v>0.17</v>
      </c>
      <c r="I102" s="322">
        <f t="shared" si="5"/>
        <v>0</v>
      </c>
    </row>
    <row r="103" spans="2:9" x14ac:dyDescent="0.25">
      <c r="B103" s="320" t="s">
        <v>5</v>
      </c>
      <c r="C103" s="340" t="s">
        <v>204</v>
      </c>
      <c r="D103" s="11">
        <f>VLOOKUP(C103,'1.1 CUSTO FERRAME-UNIFORME-EPI'!B:C,2,FALSE)</f>
        <v>0</v>
      </c>
      <c r="E103" s="328">
        <v>0.5</v>
      </c>
      <c r="F103" s="322">
        <f t="shared" si="4"/>
        <v>0</v>
      </c>
      <c r="G103" s="327">
        <f>VLOOKUP(C103,'1.1 CUSTO FERRAME-UNIFORME-EPI'!B:C,2,FALSE)</f>
        <v>0</v>
      </c>
      <c r="H103" s="328">
        <v>0.5</v>
      </c>
      <c r="I103" s="322">
        <f t="shared" si="5"/>
        <v>0</v>
      </c>
    </row>
    <row r="104" spans="2:9" x14ac:dyDescent="0.25">
      <c r="B104" s="320" t="s">
        <v>3</v>
      </c>
      <c r="C104" s="340" t="s">
        <v>203</v>
      </c>
      <c r="D104" s="11">
        <f>VLOOKUP(C104,'1.1 CUSTO FERRAME-UNIFORME-EPI'!B:C,2,FALSE)</f>
        <v>0</v>
      </c>
      <c r="E104" s="328">
        <v>2.17</v>
      </c>
      <c r="F104" s="322">
        <f t="shared" si="4"/>
        <v>0</v>
      </c>
      <c r="G104" s="327">
        <f>VLOOKUP(C104,'1.1 CUSTO FERRAME-UNIFORME-EPI'!B:C,2,FALSE)</f>
        <v>0</v>
      </c>
      <c r="H104" s="328">
        <v>2.17</v>
      </c>
      <c r="I104" s="322">
        <f t="shared" si="5"/>
        <v>0</v>
      </c>
    </row>
    <row r="105" spans="2:9" x14ac:dyDescent="0.25">
      <c r="B105" s="320" t="s">
        <v>59</v>
      </c>
      <c r="C105" s="340" t="s">
        <v>4</v>
      </c>
      <c r="D105" s="322"/>
      <c r="E105" s="328"/>
      <c r="F105" s="322"/>
      <c r="G105" s="327" t="e">
        <f>VLOOKUP(C105,'1.1 CUSTO FERRAME-UNIFORME-EPI'!B:C,2,FALSE)</f>
        <v>#DIV/0!</v>
      </c>
      <c r="H105" s="328">
        <v>0.17</v>
      </c>
      <c r="I105" s="322" t="e">
        <f t="shared" si="5"/>
        <v>#DIV/0!</v>
      </c>
    </row>
    <row r="106" spans="2:9" x14ac:dyDescent="0.25">
      <c r="B106" s="320" t="s">
        <v>60</v>
      </c>
      <c r="C106" s="340" t="s">
        <v>6</v>
      </c>
      <c r="D106" s="11">
        <f>VLOOKUP(C106,'1.1 CUSTO FERRAME-UNIFORME-EPI'!B:C,2,FALSE)</f>
        <v>0</v>
      </c>
      <c r="E106" s="328">
        <v>0.3</v>
      </c>
      <c r="F106" s="322">
        <f>E106*D106</f>
        <v>0</v>
      </c>
      <c r="G106" s="322"/>
      <c r="H106" s="328"/>
      <c r="I106" s="322"/>
    </row>
    <row r="107" spans="2:9" x14ac:dyDescent="0.25">
      <c r="B107" s="320" t="s">
        <v>400</v>
      </c>
      <c r="C107" s="326" t="s">
        <v>202</v>
      </c>
      <c r="D107" s="11" t="e">
        <f>VLOOKUP(C107,'1.1 CUSTO FERRAME-UNIFORME-EPI'!B:C,2,FALSE)</f>
        <v>#DIV/0!</v>
      </c>
      <c r="E107" s="329">
        <v>0.08</v>
      </c>
      <c r="F107" s="322" t="e">
        <f>E107*D107</f>
        <v>#DIV/0!</v>
      </c>
      <c r="G107" s="327" t="e">
        <f>VLOOKUP(C107,'1.1 CUSTO FERRAME-UNIFORME-EPI'!B:C,2,FALSE)</f>
        <v>#DIV/0!</v>
      </c>
      <c r="H107" s="386">
        <v>0.08</v>
      </c>
      <c r="I107" s="322" t="e">
        <f>H107*G107</f>
        <v>#DIV/0!</v>
      </c>
    </row>
    <row r="108" spans="2:9" x14ac:dyDescent="0.25">
      <c r="B108" s="320"/>
      <c r="C108" s="341" t="s">
        <v>2</v>
      </c>
      <c r="D108" s="330"/>
      <c r="E108" s="330"/>
      <c r="F108" s="331" t="e">
        <f>SUM(F97:F107)</f>
        <v>#DIV/0!</v>
      </c>
      <c r="G108" s="330"/>
      <c r="H108" s="330"/>
      <c r="I108" s="331" t="e">
        <f>SUM(I97:I107)</f>
        <v>#DIV/0!</v>
      </c>
    </row>
    <row r="109" spans="2:9" x14ac:dyDescent="0.25">
      <c r="B109" s="342"/>
      <c r="C109" s="343"/>
      <c r="D109" s="344"/>
      <c r="E109" s="344"/>
      <c r="F109" s="345"/>
      <c r="G109" s="344"/>
      <c r="H109" s="344"/>
      <c r="I109" s="345"/>
    </row>
    <row r="110" spans="2:9" x14ac:dyDescent="0.25">
      <c r="B110" s="333" t="s">
        <v>1</v>
      </c>
      <c r="C110" s="346" t="s">
        <v>0</v>
      </c>
      <c r="D110" s="335"/>
      <c r="E110" s="335"/>
      <c r="F110" s="336" t="e">
        <f>F108+F95+F87</f>
        <v>#DIV/0!</v>
      </c>
      <c r="G110" s="335"/>
      <c r="H110" s="335"/>
      <c r="I110" s="336" t="e">
        <f>I108+I95+I87</f>
        <v>#DIV/0!</v>
      </c>
    </row>
  </sheetData>
  <mergeCells count="13">
    <mergeCell ref="D41:F41"/>
    <mergeCell ref="G41:I41"/>
    <mergeCell ref="D75:F75"/>
    <mergeCell ref="G75:I75"/>
    <mergeCell ref="D76:F76"/>
    <mergeCell ref="G76:I76"/>
    <mergeCell ref="D40:F40"/>
    <mergeCell ref="G40:I40"/>
    <mergeCell ref="B2:I2"/>
    <mergeCell ref="D5:F5"/>
    <mergeCell ref="G5:I5"/>
    <mergeCell ref="D6:F6"/>
    <mergeCell ref="G6:I6"/>
  </mergeCells>
  <pageMargins left="0.98425196850393704" right="0.59055118110236215" top="1.1811023622047243" bottom="0.59055118110236215" header="0.11811023622047244" footer="0.51181102362204722"/>
  <pageSetup paperSize="9" scale="76" fitToHeight="0" orientation="portrait" r:id="rId1"/>
  <headerFooter>
    <oddHeader>&amp;L&amp;G</oddHeader>
  </headerFooter>
  <rowBreaks count="1" manualBreakCount="1">
    <brk id="61" max="9" man="1"/>
  </rowBreaks>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5" tint="0.59999389629810485"/>
    <pageSetUpPr fitToPage="1"/>
  </sheetPr>
  <dimension ref="A1:E43"/>
  <sheetViews>
    <sheetView view="pageLayout" zoomScaleNormal="100" zoomScaleSheetLayoutView="100" workbookViewId="0">
      <selection activeCell="L15" sqref="L15"/>
    </sheetView>
  </sheetViews>
  <sheetFormatPr defaultColWidth="9" defaultRowHeight="13.5" x14ac:dyDescent="0.25"/>
  <cols>
    <col min="1" max="1" width="5.140625" style="181" customWidth="1"/>
    <col min="2" max="2" width="28.85546875" style="181" customWidth="1"/>
    <col min="3" max="5" width="17.28515625" style="181" customWidth="1"/>
    <col min="6" max="16384" width="9" style="181"/>
  </cols>
  <sheetData>
    <row r="1" spans="1:5" ht="11.1" customHeight="1" x14ac:dyDescent="0.25"/>
    <row r="2" spans="1:5" ht="15.75" x14ac:dyDescent="0.25">
      <c r="A2" s="642" t="s">
        <v>187</v>
      </c>
      <c r="B2" s="642"/>
      <c r="C2" s="642"/>
      <c r="D2" s="642"/>
      <c r="E2" s="642"/>
    </row>
    <row r="4" spans="1:5" ht="12" customHeight="1" x14ac:dyDescent="0.25">
      <c r="B4" s="220"/>
      <c r="C4" s="220"/>
      <c r="D4" s="220"/>
    </row>
    <row r="5" spans="1:5" ht="12.95" customHeight="1" x14ac:dyDescent="0.25"/>
    <row r="6" spans="1:5" s="193" customFormat="1" ht="52.5" customHeight="1" x14ac:dyDescent="0.25">
      <c r="A6" s="643" t="s">
        <v>54</v>
      </c>
      <c r="B6" s="644" t="s">
        <v>53</v>
      </c>
      <c r="C6" s="236" t="s">
        <v>189</v>
      </c>
      <c r="D6" s="236" t="s">
        <v>619</v>
      </c>
      <c r="E6" s="235"/>
    </row>
    <row r="7" spans="1:5" s="193" customFormat="1" ht="18" customHeight="1" x14ac:dyDescent="0.25">
      <c r="A7" s="643"/>
      <c r="B7" s="644"/>
      <c r="C7" s="236" t="s">
        <v>184</v>
      </c>
      <c r="D7" s="236" t="s">
        <v>184</v>
      </c>
      <c r="E7" s="235"/>
    </row>
    <row r="8" spans="1:5" s="193" customFormat="1" ht="14.1" customHeight="1" x14ac:dyDescent="0.25">
      <c r="A8" s="202" t="s">
        <v>183</v>
      </c>
      <c r="B8" s="201" t="s">
        <v>182</v>
      </c>
      <c r="C8" s="200">
        <f>(C9-C11)/C43/12</f>
        <v>0</v>
      </c>
      <c r="D8" s="200" t="e">
        <f>(D9-D11)/D43/12</f>
        <v>#DIV/0!</v>
      </c>
      <c r="E8" s="200"/>
    </row>
    <row r="9" spans="1:5" s="209" customFormat="1" ht="14.1" customHeight="1" x14ac:dyDescent="0.2">
      <c r="A9" s="208" t="s">
        <v>181</v>
      </c>
      <c r="B9" s="187" t="s">
        <v>180</v>
      </c>
      <c r="C9" s="227">
        <f>'1.1 REF EQUIPAMENTOS E DIV'!E18</f>
        <v>0</v>
      </c>
      <c r="D9" s="227" t="e">
        <f>'1.1 CUSTO FERRAME-UNIFORME-EPI'!C7</f>
        <v>#DIV/0!</v>
      </c>
      <c r="E9" s="206"/>
    </row>
    <row r="10" spans="1:5" s="209" customFormat="1" ht="9.9499999999999993" customHeight="1" x14ac:dyDescent="0.2">
      <c r="A10" s="207"/>
      <c r="B10" s="187"/>
      <c r="C10" s="186"/>
      <c r="D10" s="186"/>
      <c r="E10" s="186"/>
    </row>
    <row r="11" spans="1:5" s="209" customFormat="1" ht="14.1" customHeight="1" x14ac:dyDescent="0.2">
      <c r="A11" s="208" t="s">
        <v>179</v>
      </c>
      <c r="B11" s="187" t="s">
        <v>148</v>
      </c>
      <c r="C11" s="186">
        <f>C9*C42</f>
        <v>0</v>
      </c>
      <c r="D11" s="186" t="e">
        <f>D9*D42</f>
        <v>#DIV/0!</v>
      </c>
      <c r="E11" s="186"/>
    </row>
    <row r="12" spans="1:5" s="209" customFormat="1" ht="9.9499999999999993" customHeight="1" x14ac:dyDescent="0.2">
      <c r="A12" s="213"/>
      <c r="B12" s="204"/>
      <c r="C12" s="234"/>
      <c r="D12" s="234"/>
      <c r="E12" s="233"/>
    </row>
    <row r="13" spans="1:5" s="209" customFormat="1" ht="14.1" customHeight="1" x14ac:dyDescent="0.2">
      <c r="A13" s="212" t="s">
        <v>178</v>
      </c>
      <c r="B13" s="211" t="s">
        <v>177</v>
      </c>
      <c r="C13" s="210">
        <f>C17*C19/12</f>
        <v>0</v>
      </c>
      <c r="D13" s="210" t="e">
        <f>D17*D19/12</f>
        <v>#DIV/0!</v>
      </c>
      <c r="E13" s="210"/>
    </row>
    <row r="14" spans="1:5" s="209" customFormat="1" ht="9.9499999999999993" customHeight="1" x14ac:dyDescent="0.2">
      <c r="A14" s="232"/>
      <c r="B14" s="187"/>
      <c r="C14" s="227"/>
      <c r="D14" s="227"/>
      <c r="E14" s="206"/>
    </row>
    <row r="15" spans="1:5" s="209" customFormat="1" ht="14.1" customHeight="1" x14ac:dyDescent="0.2">
      <c r="A15" s="188" t="s">
        <v>176</v>
      </c>
      <c r="B15" s="187" t="s">
        <v>175</v>
      </c>
      <c r="C15" s="186">
        <f>C9</f>
        <v>0</v>
      </c>
      <c r="D15" s="186" t="e">
        <f>D9</f>
        <v>#DIV/0!</v>
      </c>
      <c r="E15" s="186"/>
    </row>
    <row r="16" spans="1:5" s="209" customFormat="1" ht="9.9499999999999993" customHeight="1" x14ac:dyDescent="0.2">
      <c r="A16" s="232"/>
      <c r="B16" s="187"/>
      <c r="C16" s="227"/>
      <c r="D16" s="227"/>
      <c r="E16" s="206"/>
    </row>
    <row r="17" spans="1:5" s="209" customFormat="1" ht="14.1" customHeight="1" x14ac:dyDescent="0.2">
      <c r="A17" s="188" t="s">
        <v>174</v>
      </c>
      <c r="B17" s="187" t="s">
        <v>173</v>
      </c>
      <c r="C17" s="186">
        <f>(C9-C11)*((1+C43)/(2*C43))/1.25</f>
        <v>0</v>
      </c>
      <c r="D17" s="186" t="e">
        <f>(D9-D11)*((1+D43)/(2*D43))/1.25</f>
        <v>#DIV/0!</v>
      </c>
      <c r="E17" s="186"/>
    </row>
    <row r="18" spans="1:5" s="209" customFormat="1" ht="9.9499999999999993" customHeight="1" x14ac:dyDescent="0.2">
      <c r="A18" s="232"/>
      <c r="B18" s="187"/>
      <c r="C18" s="227"/>
      <c r="D18" s="227"/>
      <c r="E18" s="206"/>
    </row>
    <row r="19" spans="1:5" s="209" customFormat="1" ht="14.1" customHeight="1" x14ac:dyDescent="0.2">
      <c r="A19" s="184" t="s">
        <v>146</v>
      </c>
      <c r="B19" s="183" t="s">
        <v>145</v>
      </c>
      <c r="C19" s="182">
        <v>0.13250000000000001</v>
      </c>
      <c r="D19" s="182">
        <v>0.13250000000000001</v>
      </c>
      <c r="E19" s="231"/>
    </row>
    <row r="20" spans="1:5" s="209" customFormat="1" ht="11.25" x14ac:dyDescent="0.2">
      <c r="A20" s="230" t="s">
        <v>172</v>
      </c>
      <c r="B20" s="229" t="s">
        <v>171</v>
      </c>
      <c r="C20" s="228">
        <f>C25*7.33*25.25</f>
        <v>0</v>
      </c>
      <c r="D20" s="228"/>
      <c r="E20" s="228"/>
    </row>
    <row r="21" spans="1:5" s="193" customFormat="1" ht="14.1" customHeight="1" x14ac:dyDescent="0.25">
      <c r="A21" s="208" t="s">
        <v>170</v>
      </c>
      <c r="B21" s="187" t="s">
        <v>169</v>
      </c>
      <c r="C21" s="227">
        <f>130*0.735*0.07</f>
        <v>6.6885000000000003</v>
      </c>
      <c r="D21" s="227"/>
      <c r="E21" s="206"/>
    </row>
    <row r="22" spans="1:5" s="193" customFormat="1" ht="14.1" customHeight="1" x14ac:dyDescent="0.25">
      <c r="A22" s="208"/>
      <c r="B22" s="187"/>
      <c r="C22" s="227"/>
      <c r="D22" s="227"/>
      <c r="E22" s="206"/>
    </row>
    <row r="23" spans="1:5" s="193" customFormat="1" ht="14.1" customHeight="1" x14ac:dyDescent="0.25">
      <c r="A23" s="208"/>
      <c r="B23" s="187" t="s">
        <v>168</v>
      </c>
      <c r="C23" s="186">
        <f>'1.1 REF EQUIPAMENTOS E DIV'!E38</f>
        <v>0</v>
      </c>
      <c r="D23" s="186"/>
      <c r="E23" s="186"/>
    </row>
    <row r="24" spans="1:5" s="209" customFormat="1" ht="14.1" customHeight="1" x14ac:dyDescent="0.2">
      <c r="A24" s="207"/>
      <c r="B24" s="187"/>
      <c r="C24" s="227"/>
      <c r="D24" s="227"/>
      <c r="E24" s="206"/>
    </row>
    <row r="25" spans="1:5" s="209" customFormat="1" ht="11.25" x14ac:dyDescent="0.2">
      <c r="A25" s="208" t="s">
        <v>167</v>
      </c>
      <c r="B25" s="187" t="s">
        <v>166</v>
      </c>
      <c r="C25" s="186">
        <f>C23*C21</f>
        <v>0</v>
      </c>
      <c r="D25" s="186"/>
      <c r="E25" s="186"/>
    </row>
    <row r="26" spans="1:5" s="193" customFormat="1" ht="14.1" customHeight="1" x14ac:dyDescent="0.25">
      <c r="A26" s="202" t="s">
        <v>165</v>
      </c>
      <c r="B26" s="201" t="s">
        <v>164</v>
      </c>
      <c r="C26" s="200">
        <f>C29</f>
        <v>0</v>
      </c>
      <c r="D26" s="200"/>
      <c r="E26" s="200"/>
    </row>
    <row r="27" spans="1:5" s="209" customFormat="1" ht="14.1" customHeight="1" x14ac:dyDescent="0.2">
      <c r="A27" s="208" t="s">
        <v>163</v>
      </c>
      <c r="B27" s="187" t="s">
        <v>162</v>
      </c>
      <c r="C27" s="227">
        <v>0.27</v>
      </c>
      <c r="D27" s="227"/>
      <c r="E27" s="206"/>
    </row>
    <row r="28" spans="1:5" s="209" customFormat="1" ht="9.9499999999999993" customHeight="1" x14ac:dyDescent="0.2">
      <c r="A28" s="207"/>
      <c r="B28" s="187"/>
      <c r="C28" s="227"/>
      <c r="D28" s="227"/>
      <c r="E28" s="206"/>
    </row>
    <row r="29" spans="1:5" s="209" customFormat="1" ht="14.1" customHeight="1" x14ac:dyDescent="0.2">
      <c r="A29" s="208" t="s">
        <v>161</v>
      </c>
      <c r="B29" s="187" t="s">
        <v>160</v>
      </c>
      <c r="C29" s="186">
        <f>C27*C20</f>
        <v>0</v>
      </c>
      <c r="D29" s="186"/>
      <c r="E29" s="186"/>
    </row>
    <row r="30" spans="1:5" s="209" customFormat="1" ht="9.9499999999999993" customHeight="1" x14ac:dyDescent="0.2">
      <c r="A30" s="207"/>
      <c r="B30" s="187"/>
      <c r="C30" s="227"/>
      <c r="D30" s="227"/>
      <c r="E30" s="206"/>
    </row>
    <row r="31" spans="1:5" s="209" customFormat="1" ht="14.1" customHeight="1" x14ac:dyDescent="0.2">
      <c r="A31" s="202" t="s">
        <v>159</v>
      </c>
      <c r="B31" s="201" t="s">
        <v>158</v>
      </c>
      <c r="C31" s="200">
        <f>C37</f>
        <v>0</v>
      </c>
      <c r="D31" s="200" t="e">
        <f>D37</f>
        <v>#DIV/0!</v>
      </c>
      <c r="E31" s="200"/>
    </row>
    <row r="32" spans="1:5" s="209" customFormat="1" ht="18" customHeight="1" x14ac:dyDescent="0.2">
      <c r="A32" s="208" t="s">
        <v>157</v>
      </c>
      <c r="B32" s="187" t="s">
        <v>156</v>
      </c>
      <c r="C32" s="186">
        <f>C8</f>
        <v>0</v>
      </c>
      <c r="D32" s="186" t="e">
        <f>D8</f>
        <v>#DIV/0!</v>
      </c>
      <c r="E32" s="186"/>
    </row>
    <row r="33" spans="1:5" s="193" customFormat="1" ht="21.75" customHeight="1" x14ac:dyDescent="0.25">
      <c r="A33" s="207"/>
      <c r="B33" s="187"/>
      <c r="C33" s="227"/>
      <c r="D33" s="227"/>
      <c r="E33" s="206"/>
    </row>
    <row r="34" spans="1:5" s="193" customFormat="1" x14ac:dyDescent="0.25">
      <c r="A34" s="208" t="s">
        <v>155</v>
      </c>
      <c r="B34" s="187" t="s">
        <v>154</v>
      </c>
      <c r="C34" s="227">
        <v>0.6</v>
      </c>
      <c r="D34" s="227">
        <v>1</v>
      </c>
      <c r="E34" s="206"/>
    </row>
    <row r="35" spans="1:5" s="193" customFormat="1" x14ac:dyDescent="0.25">
      <c r="A35" s="208" t="s">
        <v>153</v>
      </c>
      <c r="B35" s="187" t="s">
        <v>386</v>
      </c>
      <c r="C35" s="310">
        <v>2.5000000000000001E-2</v>
      </c>
      <c r="D35" s="227"/>
      <c r="E35" s="206"/>
    </row>
    <row r="36" spans="1:5" s="193" customFormat="1" x14ac:dyDescent="0.25">
      <c r="A36" s="207"/>
      <c r="B36" s="187"/>
      <c r="C36" s="186"/>
      <c r="D36" s="227"/>
      <c r="E36" s="206"/>
    </row>
    <row r="37" spans="1:5" s="193" customFormat="1" x14ac:dyDescent="0.25">
      <c r="A37" s="208" t="s">
        <v>387</v>
      </c>
      <c r="B37" s="204" t="s">
        <v>152</v>
      </c>
      <c r="C37" s="203">
        <f>(C34+C35)*C32</f>
        <v>0</v>
      </c>
      <c r="D37" s="186" t="e">
        <f>D34*D32</f>
        <v>#DIV/0!</v>
      </c>
      <c r="E37" s="186"/>
    </row>
    <row r="38" spans="1:5" s="193" customFormat="1" x14ac:dyDescent="0.25">
      <c r="A38" s="202" t="s">
        <v>151</v>
      </c>
      <c r="B38" s="201" t="s">
        <v>150</v>
      </c>
      <c r="C38" s="200" t="e">
        <f>'1.1 REF EQUIPAMENTOS E DIV'!$E$35</f>
        <v>#DIV/0!</v>
      </c>
      <c r="D38" s="226"/>
      <c r="E38" s="226"/>
    </row>
    <row r="39" spans="1:5" x14ac:dyDescent="0.25">
      <c r="A39" s="225"/>
      <c r="B39" s="224" t="s">
        <v>149</v>
      </c>
      <c r="C39" s="223" t="e">
        <f>C31++C26+C20+C13+C8+C38</f>
        <v>#DIV/0!</v>
      </c>
      <c r="D39" s="223" t="e">
        <f>D31++D26+D20+D13+D8</f>
        <v>#DIV/0!</v>
      </c>
      <c r="E39" s="223"/>
    </row>
    <row r="40" spans="1:5" x14ac:dyDescent="0.25">
      <c r="A40" s="196"/>
      <c r="B40" s="195"/>
      <c r="C40" s="222"/>
      <c r="D40" s="222"/>
    </row>
    <row r="42" spans="1:5" x14ac:dyDescent="0.25">
      <c r="A42" s="192"/>
      <c r="B42" s="191" t="s">
        <v>148</v>
      </c>
      <c r="C42" s="190">
        <v>0.4</v>
      </c>
      <c r="D42" s="190">
        <v>0</v>
      </c>
      <c r="E42" s="190"/>
    </row>
    <row r="43" spans="1:5" x14ac:dyDescent="0.25">
      <c r="A43" s="188"/>
      <c r="B43" s="187" t="s">
        <v>147</v>
      </c>
      <c r="C43" s="185">
        <v>5</v>
      </c>
      <c r="D43" s="185">
        <v>1</v>
      </c>
      <c r="E43" s="185"/>
    </row>
  </sheetData>
  <mergeCells count="3">
    <mergeCell ref="A2:E2"/>
    <mergeCell ref="A6:A7"/>
    <mergeCell ref="B6:B7"/>
  </mergeCells>
  <pageMargins left="0.98425196850393704" right="0.59055118110236215" top="1.1811023622047243" bottom="0.59055118110236215" header="0.11811023622047244" footer="0.51181102362204722"/>
  <pageSetup paperSize="9" scale="99" fitToHeight="0" orientation="portrait" r:id="rId1"/>
  <headerFooter>
    <oddHeader>&amp;L&amp;G</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5" tint="0.59999389629810485"/>
    <pageSetUpPr fitToPage="1"/>
  </sheetPr>
  <dimension ref="A1:N18"/>
  <sheetViews>
    <sheetView view="pageLayout" zoomScaleNormal="100" workbookViewId="0">
      <selection activeCell="E25" sqref="E25"/>
    </sheetView>
  </sheetViews>
  <sheetFormatPr defaultColWidth="9.140625" defaultRowHeight="13.5" x14ac:dyDescent="0.25"/>
  <cols>
    <col min="1" max="1" width="6" style="358" customWidth="1"/>
    <col min="2" max="2" width="9.7109375" style="358" customWidth="1"/>
    <col min="3" max="3" width="28.85546875" style="358" customWidth="1"/>
    <col min="4" max="4" width="21.28515625" style="358" customWidth="1"/>
    <col min="5" max="5" width="11.28515625" style="358" customWidth="1"/>
    <col min="6" max="6" width="13.85546875" style="358" customWidth="1"/>
    <col min="7" max="7" width="13.42578125" style="358" customWidth="1"/>
    <col min="8" max="16384" width="9.140625" style="358"/>
  </cols>
  <sheetData>
    <row r="1" spans="1:14" s="365" customFormat="1" x14ac:dyDescent="0.25">
      <c r="A1" s="358"/>
      <c r="B1" s="358"/>
      <c r="C1" s="358"/>
      <c r="D1" s="358"/>
      <c r="E1" s="358"/>
      <c r="F1" s="358"/>
      <c r="G1" s="358"/>
      <c r="H1" s="358"/>
      <c r="I1" s="358"/>
      <c r="J1" s="358"/>
      <c r="K1" s="358"/>
      <c r="L1" s="358"/>
      <c r="M1" s="358"/>
      <c r="N1" s="358"/>
    </row>
    <row r="2" spans="1:14" s="365" customFormat="1" x14ac:dyDescent="0.25">
      <c r="B2" s="586" t="s">
        <v>419</v>
      </c>
      <c r="C2" s="586"/>
      <c r="D2" s="586"/>
      <c r="E2" s="586"/>
      <c r="F2" s="586"/>
      <c r="G2" s="586"/>
    </row>
    <row r="3" spans="1:14" s="359" customFormat="1" x14ac:dyDescent="0.25">
      <c r="A3" s="365"/>
      <c r="B3" s="587" t="s">
        <v>6698</v>
      </c>
      <c r="C3" s="587"/>
      <c r="D3" s="587"/>
      <c r="E3" s="587"/>
      <c r="F3" s="587"/>
      <c r="G3" s="587"/>
      <c r="H3" s="365"/>
      <c r="I3" s="365"/>
      <c r="J3" s="365"/>
      <c r="K3" s="365"/>
      <c r="L3" s="365"/>
      <c r="M3" s="365"/>
      <c r="N3" s="365"/>
    </row>
    <row r="4" spans="1:14" s="359" customFormat="1" ht="27" x14ac:dyDescent="0.25">
      <c r="B4" s="505" t="s">
        <v>248</v>
      </c>
      <c r="C4" s="506" t="s">
        <v>417</v>
      </c>
      <c r="D4" s="505" t="s">
        <v>611</v>
      </c>
      <c r="E4" s="588"/>
      <c r="F4" s="588"/>
      <c r="G4" s="505" t="s">
        <v>611</v>
      </c>
      <c r="M4" s="359">
        <f>4000</f>
        <v>4000</v>
      </c>
    </row>
    <row r="5" spans="1:14" s="359" customFormat="1" x14ac:dyDescent="0.25">
      <c r="B5" s="480">
        <v>1</v>
      </c>
      <c r="C5" s="507" t="s">
        <v>609</v>
      </c>
      <c r="D5" s="493">
        <v>28672.1</v>
      </c>
      <c r="E5" s="589"/>
      <c r="F5" s="589"/>
      <c r="G5" s="493">
        <f>D5</f>
        <v>28672.1</v>
      </c>
      <c r="M5" s="359">
        <f>M4*2</f>
        <v>8000</v>
      </c>
    </row>
    <row r="6" spans="1:14" s="359" customFormat="1" x14ac:dyDescent="0.25">
      <c r="B6" s="480"/>
      <c r="C6" s="507"/>
      <c r="D6" s="508"/>
      <c r="E6" s="589"/>
      <c r="F6" s="589"/>
      <c r="G6" s="493"/>
    </row>
    <row r="7" spans="1:14" s="365" customFormat="1" x14ac:dyDescent="0.25">
      <c r="B7" s="480"/>
      <c r="C7" s="507"/>
      <c r="D7" s="510"/>
      <c r="E7" s="585" t="str">
        <f>G4</f>
        <v>ÁREA DE VARRIÇÃO (M2)</v>
      </c>
      <c r="F7" s="585"/>
      <c r="G7" s="512">
        <f>SUM(G5:G6)</f>
        <v>28672.1</v>
      </c>
    </row>
    <row r="8" spans="1:14" s="359" customFormat="1" x14ac:dyDescent="0.25">
      <c r="B8" s="584"/>
      <c r="C8" s="584"/>
      <c r="D8" s="584"/>
      <c r="E8" s="584"/>
      <c r="F8" s="584"/>
      <c r="G8" s="493"/>
    </row>
    <row r="9" spans="1:14" s="359" customFormat="1" x14ac:dyDescent="0.25">
      <c r="B9" s="584" t="s">
        <v>410</v>
      </c>
      <c r="C9" s="584"/>
      <c r="D9" s="584"/>
      <c r="E9" s="584"/>
      <c r="F9" s="584"/>
      <c r="G9" s="493">
        <v>25.25</v>
      </c>
    </row>
    <row r="10" spans="1:14" s="359" customFormat="1" x14ac:dyDescent="0.25">
      <c r="B10" s="584" t="s">
        <v>618</v>
      </c>
      <c r="C10" s="584"/>
      <c r="D10" s="584"/>
      <c r="E10" s="584"/>
      <c r="F10" s="584"/>
      <c r="G10" s="493">
        <f>2*4.33</f>
        <v>8.66</v>
      </c>
    </row>
    <row r="11" spans="1:14" s="359" customFormat="1" x14ac:dyDescent="0.25">
      <c r="B11" s="584" t="s">
        <v>612</v>
      </c>
      <c r="C11" s="584"/>
      <c r="D11" s="584"/>
      <c r="E11" s="584"/>
      <c r="F11" s="584"/>
      <c r="G11" s="493">
        <f>G7*G10</f>
        <v>248300.386</v>
      </c>
    </row>
    <row r="12" spans="1:14" s="359" customFormat="1" x14ac:dyDescent="0.25">
      <c r="B12" s="584" t="s">
        <v>613</v>
      </c>
      <c r="C12" s="584"/>
      <c r="D12" s="584"/>
      <c r="E12" s="584"/>
      <c r="F12" s="584"/>
      <c r="G12" s="493">
        <f>G11/G9</f>
        <v>9833.6786534653456</v>
      </c>
    </row>
    <row r="13" spans="1:14" s="359" customFormat="1" x14ac:dyDescent="0.25">
      <c r="B13" s="584" t="s">
        <v>610</v>
      </c>
      <c r="C13" s="584"/>
      <c r="D13" s="584"/>
      <c r="E13" s="584"/>
      <c r="F13" s="584"/>
      <c r="G13" s="493">
        <v>500</v>
      </c>
    </row>
    <row r="14" spans="1:14" s="359" customFormat="1" x14ac:dyDescent="0.25">
      <c r="B14" s="584"/>
      <c r="C14" s="584"/>
      <c r="D14" s="584"/>
      <c r="E14" s="584"/>
      <c r="F14" s="584"/>
      <c r="G14" s="493"/>
    </row>
    <row r="15" spans="1:14" s="359" customFormat="1" x14ac:dyDescent="0.25">
      <c r="B15" s="584" t="s">
        <v>428</v>
      </c>
      <c r="C15" s="584"/>
      <c r="D15" s="584"/>
      <c r="E15" s="584"/>
      <c r="F15" s="584"/>
      <c r="G15" s="493">
        <f>G12/G13</f>
        <v>19.66735730693069</v>
      </c>
    </row>
    <row r="16" spans="1:14" x14ac:dyDescent="0.25">
      <c r="A16" s="359"/>
      <c r="B16" s="590" t="s">
        <v>614</v>
      </c>
      <c r="C16" s="590"/>
      <c r="D16" s="590"/>
      <c r="E16" s="590"/>
      <c r="F16" s="590"/>
      <c r="G16" s="515">
        <f>_xlfn.CEILING.MATH(G15,2)</f>
        <v>20</v>
      </c>
      <c r="H16" s="359"/>
      <c r="I16" s="359"/>
      <c r="J16" s="359"/>
      <c r="K16" s="359"/>
      <c r="L16" s="359"/>
      <c r="M16" s="359"/>
      <c r="N16" s="359"/>
    </row>
    <row r="17" spans="1:14" x14ac:dyDescent="0.25">
      <c r="A17" s="359"/>
      <c r="B17" s="584"/>
      <c r="C17" s="584"/>
      <c r="D17" s="584"/>
      <c r="E17" s="584"/>
      <c r="F17" s="584"/>
      <c r="G17" s="516"/>
      <c r="H17" s="359"/>
      <c r="I17" s="359"/>
      <c r="J17" s="359"/>
      <c r="K17" s="359"/>
      <c r="L17" s="359"/>
      <c r="M17" s="359"/>
      <c r="N17" s="359"/>
    </row>
    <row r="18" spans="1:14" x14ac:dyDescent="0.25">
      <c r="B18" s="590" t="s">
        <v>615</v>
      </c>
      <c r="C18" s="590"/>
      <c r="D18" s="590"/>
      <c r="E18" s="590"/>
      <c r="F18" s="590"/>
      <c r="G18" s="515">
        <f>ROUND(G16/20,0)</f>
        <v>1</v>
      </c>
    </row>
  </sheetData>
  <mergeCells count="17">
    <mergeCell ref="B14:F14"/>
    <mergeCell ref="B15:F15"/>
    <mergeCell ref="B16:F16"/>
    <mergeCell ref="B17:F17"/>
    <mergeCell ref="B18:F18"/>
    <mergeCell ref="B2:G2"/>
    <mergeCell ref="B3:G3"/>
    <mergeCell ref="E4:F4"/>
    <mergeCell ref="E5:F5"/>
    <mergeCell ref="E6:F6"/>
    <mergeCell ref="B12:F12"/>
    <mergeCell ref="B13:F13"/>
    <mergeCell ref="E7:F7"/>
    <mergeCell ref="B8:F8"/>
    <mergeCell ref="B9:F9"/>
    <mergeCell ref="B10:F10"/>
    <mergeCell ref="B11:F11"/>
  </mergeCells>
  <pageMargins left="0.98425196850393704" right="0.59055118110236215" top="1.1811023622047243" bottom="0.59055118110236215" header="0.11811023622047244" footer="0.51181102362204722"/>
  <pageSetup paperSize="9" scale="50" fitToHeight="0" orientation="portrait" r:id="rId1"/>
  <headerFooter>
    <oddHeader>&amp;L&amp;G</oddHeader>
  </headerFooter>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8" tint="0.39997558519241921"/>
    <pageSetUpPr fitToPage="1"/>
  </sheetPr>
  <dimension ref="A1:H52"/>
  <sheetViews>
    <sheetView view="pageLayout" zoomScaleNormal="89" zoomScaleSheetLayoutView="85" workbookViewId="0">
      <selection activeCell="G9" sqref="G9"/>
    </sheetView>
  </sheetViews>
  <sheetFormatPr defaultColWidth="9.140625" defaultRowHeight="13.5" x14ac:dyDescent="0.25"/>
  <cols>
    <col min="1" max="1" width="7.5703125" style="47" customWidth="1"/>
    <col min="2" max="2" width="63.140625" style="47" customWidth="1"/>
    <col min="3" max="3" width="17.28515625" style="47" customWidth="1"/>
    <col min="4" max="4" width="19.42578125" style="52" customWidth="1"/>
    <col min="5" max="5" width="19.28515625" style="47" customWidth="1"/>
    <col min="6" max="6" width="22.7109375" style="47" customWidth="1"/>
    <col min="7" max="7" width="3.28515625" style="47" customWidth="1"/>
    <col min="8" max="16384" width="9.140625" style="47"/>
  </cols>
  <sheetData>
    <row r="1" spans="1:7" ht="20.25" customHeight="1" x14ac:dyDescent="0.25">
      <c r="G1" s="179"/>
    </row>
    <row r="2" spans="1:7" x14ac:dyDescent="0.25">
      <c r="A2" s="89"/>
      <c r="B2" s="89"/>
      <c r="D2" s="47"/>
      <c r="G2" s="179"/>
    </row>
    <row r="3" spans="1:7" ht="22.15" customHeight="1" x14ac:dyDescent="0.25">
      <c r="A3" s="704" t="s">
        <v>105</v>
      </c>
      <c r="B3" s="704"/>
      <c r="C3" s="704"/>
      <c r="D3" s="704"/>
      <c r="E3" s="704"/>
      <c r="F3" s="704"/>
      <c r="G3" s="179"/>
    </row>
    <row r="4" spans="1:7" ht="11.25" customHeight="1" x14ac:dyDescent="0.25">
      <c r="A4" s="703" t="str">
        <f>'ORÇAMENTO GERAL'!B13</f>
        <v>Capina</v>
      </c>
      <c r="B4" s="703"/>
      <c r="C4" s="703"/>
      <c r="D4" s="703"/>
      <c r="E4" s="703"/>
      <c r="F4" s="703"/>
    </row>
    <row r="5" spans="1:7" ht="15" customHeight="1" thickBot="1" x14ac:dyDescent="0.3">
      <c r="A5" s="179"/>
      <c r="B5" s="179"/>
      <c r="C5" s="179"/>
      <c r="D5" s="179"/>
      <c r="E5" s="90" t="s">
        <v>104</v>
      </c>
      <c r="F5" s="90" t="s">
        <v>498</v>
      </c>
      <c r="G5" s="51"/>
    </row>
    <row r="6" spans="1:7" ht="15.6" customHeight="1" thickBot="1" x14ac:dyDescent="0.3">
      <c r="A6" s="88" t="s">
        <v>54</v>
      </c>
      <c r="B6" s="87" t="s">
        <v>53</v>
      </c>
      <c r="C6" s="86" t="s">
        <v>102</v>
      </c>
      <c r="D6" s="85" t="s">
        <v>49</v>
      </c>
      <c r="E6" s="352" t="s">
        <v>101</v>
      </c>
      <c r="F6" s="353" t="s">
        <v>100</v>
      </c>
      <c r="G6" s="82"/>
    </row>
    <row r="7" spans="1:7" ht="16.149999999999999" customHeight="1" x14ac:dyDescent="0.25">
      <c r="A7" s="153">
        <v>1</v>
      </c>
      <c r="B7" s="152" t="s">
        <v>99</v>
      </c>
      <c r="C7" s="151"/>
      <c r="D7" s="150"/>
      <c r="E7" s="354"/>
      <c r="F7" s="355"/>
    </row>
    <row r="8" spans="1:7" ht="16.149999999999999" customHeight="1" x14ac:dyDescent="0.25">
      <c r="A8" s="59" t="s">
        <v>47</v>
      </c>
      <c r="B8" s="175" t="s">
        <v>113</v>
      </c>
      <c r="C8" s="59" t="s">
        <v>85</v>
      </c>
      <c r="D8" s="176">
        <f>'7.4 DIM CAPINA'!E21</f>
        <v>2</v>
      </c>
      <c r="E8" s="356" t="e">
        <f>'7.3 EQUIP. VEICULOS'!C39</f>
        <v>#DIV/0!</v>
      </c>
      <c r="F8" s="356" t="e">
        <f>E8*D8</f>
        <v>#DIV/0!</v>
      </c>
    </row>
    <row r="9" spans="1:7" ht="16.149999999999999" customHeight="1" x14ac:dyDescent="0.25">
      <c r="A9" s="59" t="s">
        <v>29</v>
      </c>
      <c r="B9" s="175" t="s">
        <v>485</v>
      </c>
      <c r="C9" s="59" t="s">
        <v>85</v>
      </c>
      <c r="D9" s="176">
        <f>'7.4 DIM CAPINA'!E22</f>
        <v>2</v>
      </c>
      <c r="E9" s="356" t="e">
        <f>'7.3 EQUIP. VEICULOS'!D39</f>
        <v>#DIV/0!</v>
      </c>
      <c r="F9" s="356" t="e">
        <f>E9*D9</f>
        <v>#DIV/0!</v>
      </c>
      <c r="G9" s="82"/>
    </row>
    <row r="10" spans="1:7" ht="16.149999999999999" customHeight="1" x14ac:dyDescent="0.25">
      <c r="A10" s="175"/>
      <c r="B10" s="175" t="s">
        <v>122</v>
      </c>
      <c r="C10" s="57" t="s">
        <v>121</v>
      </c>
      <c r="D10" s="63"/>
      <c r="E10" s="357" t="s">
        <v>96</v>
      </c>
      <c r="F10" s="357" t="e">
        <f>SUM(F8:F9)</f>
        <v>#DIV/0!</v>
      </c>
      <c r="G10" s="82"/>
    </row>
    <row r="11" spans="1:7" ht="16.149999999999999" customHeight="1" x14ac:dyDescent="0.25">
      <c r="A11" s="153">
        <v>2</v>
      </c>
      <c r="B11" s="152" t="s">
        <v>95</v>
      </c>
      <c r="C11" s="151"/>
      <c r="D11" s="150"/>
      <c r="E11" s="354"/>
      <c r="F11" s="355"/>
      <c r="G11" s="51"/>
    </row>
    <row r="12" spans="1:7" ht="16.149999999999999" customHeight="1" x14ac:dyDescent="0.25">
      <c r="A12" s="59" t="s">
        <v>17</v>
      </c>
      <c r="B12" s="175" t="s">
        <v>468</v>
      </c>
      <c r="C12" s="59" t="s">
        <v>94</v>
      </c>
      <c r="D12" s="176">
        <f>'7.4 DIM CAPINA'!E25</f>
        <v>3</v>
      </c>
      <c r="E12" s="356" t="e">
        <f>'7.2 MAO DE OBRA'!F37</f>
        <v>#DIV/0!</v>
      </c>
      <c r="F12" s="356" t="e">
        <f t="shared" ref="F12:F16" si="0">E12*D12</f>
        <v>#DIV/0!</v>
      </c>
      <c r="G12" s="178"/>
    </row>
    <row r="13" spans="1:7" ht="16.149999999999999" customHeight="1" x14ac:dyDescent="0.25">
      <c r="A13" s="59" t="s">
        <v>15</v>
      </c>
      <c r="B13" s="175" t="s">
        <v>477</v>
      </c>
      <c r="C13" s="59" t="s">
        <v>94</v>
      </c>
      <c r="D13" s="176">
        <f>'7.4 DIM CAPINA'!E26</f>
        <v>32</v>
      </c>
      <c r="E13" s="356" t="e">
        <f>'7.2 MAO DE OBRA'!F143</f>
        <v>#DIV/0!</v>
      </c>
      <c r="F13" s="356" t="e">
        <f t="shared" si="0"/>
        <v>#DIV/0!</v>
      </c>
      <c r="G13" s="178"/>
    </row>
    <row r="14" spans="1:7" ht="16.149999999999999" customHeight="1" x14ac:dyDescent="0.25">
      <c r="A14" s="59" t="s">
        <v>13</v>
      </c>
      <c r="B14" s="175" t="s">
        <v>472</v>
      </c>
      <c r="C14" s="59" t="s">
        <v>94</v>
      </c>
      <c r="D14" s="176">
        <f>'7.4 DIM CAPINA'!E27</f>
        <v>2</v>
      </c>
      <c r="E14" s="356" t="e">
        <f>'7.2 MAO DE OBRA'!F72</f>
        <v>#DIV/0!</v>
      </c>
      <c r="F14" s="356" t="e">
        <f t="shared" si="0"/>
        <v>#DIV/0!</v>
      </c>
      <c r="G14" s="178"/>
    </row>
    <row r="15" spans="1:7" ht="16.149999999999999" customHeight="1" x14ac:dyDescent="0.25">
      <c r="A15" s="59" t="s">
        <v>11</v>
      </c>
      <c r="B15" s="175" t="s">
        <v>111</v>
      </c>
      <c r="C15" s="59" t="s">
        <v>94</v>
      </c>
      <c r="D15" s="176">
        <f>'7.4 DIM CAPINA'!E28</f>
        <v>2</v>
      </c>
      <c r="E15" s="356" t="e">
        <f>'7.2 MAO DE OBRA'!F176</f>
        <v>#DIV/0!</v>
      </c>
      <c r="F15" s="356" t="e">
        <f t="shared" ref="F15" si="1">E15*D15</f>
        <v>#DIV/0!</v>
      </c>
      <c r="G15" s="178"/>
    </row>
    <row r="16" spans="1:7" ht="16.149999999999999" customHeight="1" x14ac:dyDescent="0.25">
      <c r="A16" s="59" t="s">
        <v>9</v>
      </c>
      <c r="B16" s="175" t="s">
        <v>471</v>
      </c>
      <c r="C16" s="59" t="s">
        <v>94</v>
      </c>
      <c r="D16" s="176">
        <f>'7.4 DIM CAPINA'!E29</f>
        <v>4</v>
      </c>
      <c r="E16" s="356" t="e">
        <f>'7.2 MAO DE OBRA'!F109</f>
        <v>#DIV/0!</v>
      </c>
      <c r="F16" s="356" t="e">
        <f t="shared" si="0"/>
        <v>#DIV/0!</v>
      </c>
      <c r="G16" s="178"/>
    </row>
    <row r="17" spans="1:8" ht="16.149999999999999" customHeight="1" x14ac:dyDescent="0.25">
      <c r="A17" s="59"/>
      <c r="B17" s="175" t="s">
        <v>122</v>
      </c>
      <c r="C17" s="57" t="s">
        <v>121</v>
      </c>
      <c r="D17" s="63"/>
      <c r="E17" s="357" t="s">
        <v>93</v>
      </c>
      <c r="F17" s="357" t="e">
        <f>SUM(F12:F16)</f>
        <v>#DIV/0!</v>
      </c>
      <c r="G17" s="51"/>
    </row>
    <row r="18" spans="1:8" ht="16.149999999999999" customHeight="1" x14ac:dyDescent="0.25">
      <c r="A18" s="153">
        <v>3</v>
      </c>
      <c r="B18" s="152" t="s">
        <v>92</v>
      </c>
      <c r="C18" s="151"/>
      <c r="D18" s="150"/>
      <c r="E18" s="354"/>
      <c r="F18" s="355"/>
      <c r="G18" s="82"/>
    </row>
    <row r="19" spans="1:8" ht="16.149999999999999" customHeight="1" x14ac:dyDescent="0.25">
      <c r="B19" s="177" t="s">
        <v>123</v>
      </c>
      <c r="C19" s="59"/>
      <c r="D19" s="63"/>
      <c r="E19" s="356"/>
      <c r="F19" s="357"/>
      <c r="G19" s="51"/>
    </row>
    <row r="20" spans="1:8" ht="16.149999999999999" customHeight="1" x14ac:dyDescent="0.25">
      <c r="A20" s="59" t="s">
        <v>91</v>
      </c>
      <c r="B20" s="177" t="s">
        <v>90</v>
      </c>
      <c r="C20" s="59" t="s">
        <v>85</v>
      </c>
      <c r="D20" s="63">
        <f>(8/12)*D13</f>
        <v>21.333333333333332</v>
      </c>
      <c r="E20" s="69" t="e">
        <f>VLOOKUP(B20,'1.1 CUSTO FERRAME-UNIFORME-EPI'!B:C,2,FALSE)</f>
        <v>#DIV/0!</v>
      </c>
      <c r="F20" s="356" t="e">
        <f>E20*D20</f>
        <v>#DIV/0!</v>
      </c>
      <c r="G20" s="82"/>
    </row>
    <row r="21" spans="1:8" ht="16.149999999999999" customHeight="1" x14ac:dyDescent="0.25">
      <c r="A21" s="59" t="s">
        <v>89</v>
      </c>
      <c r="B21" s="177" t="s">
        <v>115</v>
      </c>
      <c r="C21" s="59" t="s">
        <v>85</v>
      </c>
      <c r="D21" s="63">
        <f>(6/12)*D13</f>
        <v>16</v>
      </c>
      <c r="E21" s="69" t="e">
        <f>VLOOKUP(B21,'1.1 CUSTO FERRAME-UNIFORME-EPI'!B:C,2,FALSE)</f>
        <v>#DIV/0!</v>
      </c>
      <c r="F21" s="356" t="e">
        <f t="shared" ref="F21:F25" si="2">E21*D21</f>
        <v>#DIV/0!</v>
      </c>
      <c r="G21" s="51"/>
    </row>
    <row r="22" spans="1:8" ht="16.149999999999999" customHeight="1" x14ac:dyDescent="0.25">
      <c r="A22" s="59" t="s">
        <v>87</v>
      </c>
      <c r="B22" s="177" t="s">
        <v>88</v>
      </c>
      <c r="C22" s="59" t="s">
        <v>85</v>
      </c>
      <c r="D22" s="63">
        <f>(4/12)*D13</f>
        <v>10.666666666666666</v>
      </c>
      <c r="E22" s="69">
        <f>VLOOKUP(B22,'1.1 CUSTO FERRAME-UNIFORME-EPI'!B:C,2,FALSE)</f>
        <v>0</v>
      </c>
      <c r="F22" s="356">
        <f t="shared" si="2"/>
        <v>0</v>
      </c>
      <c r="G22" s="82"/>
    </row>
    <row r="23" spans="1:8" ht="16.149999999999999" customHeight="1" x14ac:dyDescent="0.25">
      <c r="A23" s="59" t="s">
        <v>116</v>
      </c>
      <c r="B23" s="177" t="s">
        <v>86</v>
      </c>
      <c r="C23" s="59" t="s">
        <v>85</v>
      </c>
      <c r="D23" s="63">
        <f>D14*2</f>
        <v>4</v>
      </c>
      <c r="E23" s="69">
        <f>VLOOKUP(B23,'1.1 CUSTO FERRAME-UNIFORME-EPI'!B:C,2,FALSE)</f>
        <v>0</v>
      </c>
      <c r="F23" s="356">
        <f t="shared" si="2"/>
        <v>0</v>
      </c>
      <c r="G23" s="51"/>
    </row>
    <row r="24" spans="1:8" ht="16.149999999999999" customHeight="1" x14ac:dyDescent="0.25">
      <c r="A24" s="59" t="s">
        <v>487</v>
      </c>
      <c r="B24" s="177" t="s">
        <v>215</v>
      </c>
      <c r="C24" s="59" t="s">
        <v>85</v>
      </c>
      <c r="D24" s="63">
        <f>(9/12)*D13</f>
        <v>24</v>
      </c>
      <c r="E24" s="69">
        <f>VLOOKUP(B24,'1.1 CUSTO FERRAME-UNIFORME-EPI'!B:C,2,FALSE)</f>
        <v>0</v>
      </c>
      <c r="F24" s="356">
        <f t="shared" si="2"/>
        <v>0</v>
      </c>
      <c r="G24" s="51"/>
    </row>
    <row r="25" spans="1:8" ht="16.149999999999999" customHeight="1" x14ac:dyDescent="0.25">
      <c r="A25" s="59" t="s">
        <v>488</v>
      </c>
      <c r="B25" s="177" t="s">
        <v>214</v>
      </c>
      <c r="C25" s="59" t="s">
        <v>85</v>
      </c>
      <c r="D25" s="63">
        <f>(3/12)*D13</f>
        <v>8</v>
      </c>
      <c r="E25" s="69" t="e">
        <f>VLOOKUP(B25,'1.1 CUSTO FERRAME-UNIFORME-EPI'!B:C,2,FALSE)</f>
        <v>#DIV/0!</v>
      </c>
      <c r="F25" s="356" t="e">
        <f t="shared" si="2"/>
        <v>#DIV/0!</v>
      </c>
      <c r="G25" s="51"/>
    </row>
    <row r="26" spans="1:8" ht="16.149999999999999" customHeight="1" x14ac:dyDescent="0.25">
      <c r="A26" s="59"/>
      <c r="B26" s="175" t="s">
        <v>122</v>
      </c>
      <c r="C26" s="57" t="s">
        <v>121</v>
      </c>
      <c r="D26" s="63"/>
      <c r="E26" s="357" t="s">
        <v>84</v>
      </c>
      <c r="F26" s="357" t="e">
        <f>SUM(F20:F25)</f>
        <v>#DIV/0!</v>
      </c>
      <c r="G26" s="82"/>
      <c r="H26" s="48"/>
    </row>
    <row r="27" spans="1:8" ht="16.149999999999999" customHeight="1" x14ac:dyDescent="0.25">
      <c r="A27" s="174"/>
      <c r="B27" s="163" t="s">
        <v>83</v>
      </c>
      <c r="C27" s="163"/>
      <c r="D27" s="163"/>
      <c r="E27" s="163"/>
      <c r="F27" s="173"/>
      <c r="G27" s="82"/>
    </row>
    <row r="28" spans="1:8" ht="16.149999999999999" customHeight="1" x14ac:dyDescent="0.25">
      <c r="A28" s="172"/>
      <c r="B28" s="167" t="s">
        <v>82</v>
      </c>
      <c r="C28" s="169" t="s">
        <v>81</v>
      </c>
      <c r="D28" s="167"/>
      <c r="E28" s="165"/>
      <c r="F28" s="66" t="e">
        <f>SUM(F17,F26,F10)</f>
        <v>#DIV/0!</v>
      </c>
      <c r="G28" s="82"/>
    </row>
    <row r="29" spans="1:8" ht="16.149999999999999" customHeight="1" x14ac:dyDescent="0.25">
      <c r="A29" s="172"/>
      <c r="B29" s="171" t="s">
        <v>80</v>
      </c>
      <c r="C29" s="166" t="s">
        <v>490</v>
      </c>
      <c r="D29" s="170"/>
      <c r="E29" s="165"/>
      <c r="F29" s="576">
        <f>'7.4 DIM CAPINA'!H11</f>
        <v>118663.125</v>
      </c>
      <c r="G29" s="82"/>
    </row>
    <row r="30" spans="1:8" ht="16.149999999999999" customHeight="1" x14ac:dyDescent="0.25">
      <c r="A30" s="168"/>
      <c r="B30" s="167" t="s">
        <v>78</v>
      </c>
      <c r="C30" s="169" t="s">
        <v>489</v>
      </c>
      <c r="D30" s="167"/>
      <c r="E30" s="165"/>
      <c r="F30" s="61" t="e">
        <f>F28/F29</f>
        <v>#DIV/0!</v>
      </c>
      <c r="G30" s="82"/>
    </row>
    <row r="31" spans="1:8" ht="16.149999999999999" customHeight="1" x14ac:dyDescent="0.25">
      <c r="A31" s="168"/>
      <c r="B31" s="167" t="s">
        <v>77</v>
      </c>
      <c r="C31" s="166" t="s">
        <v>76</v>
      </c>
      <c r="D31" s="58">
        <f>'BDI '!$C$22</f>
        <v>5.2600000000000001E-2</v>
      </c>
      <c r="E31" s="165"/>
      <c r="F31" s="56" t="e">
        <f>F30*D31</f>
        <v>#DIV/0!</v>
      </c>
      <c r="G31" s="82"/>
    </row>
    <row r="32" spans="1:8" x14ac:dyDescent="0.25">
      <c r="A32" s="163"/>
      <c r="B32" s="163" t="s">
        <v>75</v>
      </c>
      <c r="C32" s="164" t="s">
        <v>489</v>
      </c>
      <c r="D32" s="163"/>
      <c r="E32" s="163"/>
      <c r="F32" s="162" t="e">
        <f>ROUND(F31+F30,2)</f>
        <v>#DIV/0!</v>
      </c>
      <c r="G32" s="82"/>
    </row>
    <row r="33" spans="5:7" ht="19.149999999999999" customHeight="1" x14ac:dyDescent="0.25">
      <c r="E33" s="89"/>
      <c r="F33" s="161"/>
      <c r="G33" s="82"/>
    </row>
    <row r="34" spans="5:7" x14ac:dyDescent="0.25">
      <c r="G34" s="159"/>
    </row>
    <row r="35" spans="5:7" x14ac:dyDescent="0.25">
      <c r="G35" s="159"/>
    </row>
    <row r="36" spans="5:7" x14ac:dyDescent="0.25">
      <c r="G36" s="159"/>
    </row>
    <row r="37" spans="5:7" x14ac:dyDescent="0.25">
      <c r="G37" s="159"/>
    </row>
    <row r="38" spans="5:7" x14ac:dyDescent="0.25">
      <c r="G38" s="51"/>
    </row>
    <row r="39" spans="5:7" x14ac:dyDescent="0.25">
      <c r="G39" s="160"/>
    </row>
    <row r="40" spans="5:7" x14ac:dyDescent="0.25">
      <c r="G40" s="51"/>
    </row>
    <row r="41" spans="5:7" x14ac:dyDescent="0.25">
      <c r="G41" s="82"/>
    </row>
    <row r="42" spans="5:7" x14ac:dyDescent="0.25">
      <c r="G42" s="82"/>
    </row>
    <row r="43" spans="5:7" x14ac:dyDescent="0.25">
      <c r="G43" s="82"/>
    </row>
    <row r="44" spans="5:7" x14ac:dyDescent="0.25">
      <c r="G44" s="159"/>
    </row>
    <row r="45" spans="5:7" x14ac:dyDescent="0.25">
      <c r="G45" s="159"/>
    </row>
    <row r="46" spans="5:7" x14ac:dyDescent="0.25">
      <c r="G46" s="158"/>
    </row>
    <row r="47" spans="5:7" x14ac:dyDescent="0.25">
      <c r="G47" s="157"/>
    </row>
    <row r="48" spans="5:7" x14ac:dyDescent="0.25">
      <c r="G48" s="156"/>
    </row>
    <row r="49" spans="7:7" x14ac:dyDescent="0.25">
      <c r="G49" s="155"/>
    </row>
    <row r="50" spans="7:7" x14ac:dyDescent="0.25">
      <c r="G50" s="154"/>
    </row>
    <row r="51" spans="7:7" x14ac:dyDescent="0.25">
      <c r="G51" s="155"/>
    </row>
    <row r="52" spans="7:7" x14ac:dyDescent="0.25">
      <c r="G52" s="154"/>
    </row>
  </sheetData>
  <sheetProtection selectLockedCells="1" selectUnlockedCells="1"/>
  <mergeCells count="2">
    <mergeCell ref="A3:F3"/>
    <mergeCell ref="A4:F4"/>
  </mergeCells>
  <phoneticPr fontId="10" type="noConversion"/>
  <pageMargins left="0.98425196850393704" right="0.59055118110236215" top="1.1811023622047243" bottom="0.59055118110236215" header="0.11811023622047244" footer="0.51181102362204722"/>
  <pageSetup paperSize="9" scale="58" firstPageNumber="0" fitToHeight="0" orientation="portrait" horizontalDpi="300" verticalDpi="300" r:id="rId1"/>
  <headerFooter alignWithMargins="0">
    <oddHeader>&amp;L&amp;G</oddHeader>
  </headerFooter>
  <legacyDrawingHF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8" tint="0.39997558519241921"/>
    <pageSetUpPr fitToPage="1"/>
  </sheetPr>
  <dimension ref="B1:F176"/>
  <sheetViews>
    <sheetView view="pageBreakPreview" topLeftCell="A148" zoomScale="85" zoomScaleNormal="100" zoomScaleSheetLayoutView="85" workbookViewId="0">
      <selection activeCell="F180" sqref="F180"/>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5" spans="2:6" x14ac:dyDescent="0.25">
      <c r="B5" s="313" t="s">
        <v>54</v>
      </c>
      <c r="C5" s="314" t="s">
        <v>53</v>
      </c>
      <c r="D5" s="705" t="s">
        <v>63</v>
      </c>
      <c r="E5" s="706"/>
      <c r="F5" s="707"/>
    </row>
    <row r="6" spans="2:6" x14ac:dyDescent="0.25">
      <c r="B6" s="315"/>
      <c r="C6" s="316"/>
      <c r="D6" s="709"/>
      <c r="E6" s="710"/>
      <c r="F6" s="711"/>
    </row>
    <row r="7" spans="2:6" x14ac:dyDescent="0.25">
      <c r="B7" s="317" t="s">
        <v>52</v>
      </c>
      <c r="C7" s="318" t="s">
        <v>51</v>
      </c>
      <c r="D7" s="319" t="s">
        <v>50</v>
      </c>
      <c r="E7" s="319" t="s">
        <v>49</v>
      </c>
      <c r="F7" s="319" t="s">
        <v>48</v>
      </c>
    </row>
    <row r="8" spans="2:6" x14ac:dyDescent="0.25">
      <c r="B8" s="317" t="s">
        <v>47</v>
      </c>
      <c r="C8" s="318" t="s">
        <v>46</v>
      </c>
      <c r="D8" s="319"/>
      <c r="E8" s="319"/>
      <c r="F8" s="319"/>
    </row>
    <row r="9" spans="2:6" x14ac:dyDescent="0.25">
      <c r="B9" s="31" t="s">
        <v>45</v>
      </c>
      <c r="C9" s="36" t="s">
        <v>44</v>
      </c>
      <c r="D9" s="11">
        <f>'1.1 SALÁRIOS'!F10</f>
        <v>0</v>
      </c>
      <c r="E9" s="17">
        <v>1</v>
      </c>
      <c r="F9" s="11">
        <f>E9*D9</f>
        <v>0</v>
      </c>
    </row>
    <row r="10" spans="2:6" x14ac:dyDescent="0.25">
      <c r="B10" s="31" t="s">
        <v>43</v>
      </c>
      <c r="C10" s="36" t="s">
        <v>42</v>
      </c>
      <c r="D10" s="11">
        <f>'1.1 SALÁRIOS'!$F$23</f>
        <v>0</v>
      </c>
      <c r="E10" s="34">
        <v>0</v>
      </c>
      <c r="F10" s="11">
        <f>E10*D10</f>
        <v>0</v>
      </c>
    </row>
    <row r="11" spans="2:6" x14ac:dyDescent="0.25">
      <c r="B11" s="31" t="s">
        <v>41</v>
      </c>
      <c r="C11" s="36" t="s">
        <v>40</v>
      </c>
      <c r="D11" s="11"/>
      <c r="E11" s="17"/>
      <c r="F11" s="11"/>
    </row>
    <row r="12" spans="2:6" x14ac:dyDescent="0.25">
      <c r="B12" s="31" t="s">
        <v>39</v>
      </c>
      <c r="C12" s="36" t="s">
        <v>38</v>
      </c>
      <c r="D12" s="11"/>
      <c r="E12" s="17"/>
      <c r="F12" s="11"/>
    </row>
    <row r="13" spans="2:6" x14ac:dyDescent="0.25">
      <c r="B13" s="31" t="s">
        <v>37</v>
      </c>
      <c r="C13" s="36" t="s">
        <v>36</v>
      </c>
      <c r="D13" s="11"/>
      <c r="E13" s="17"/>
      <c r="F13" s="11"/>
    </row>
    <row r="14" spans="2:6" x14ac:dyDescent="0.25">
      <c r="B14" s="31" t="s">
        <v>35</v>
      </c>
      <c r="C14" s="36" t="s">
        <v>34</v>
      </c>
      <c r="D14" s="11"/>
      <c r="E14" s="17"/>
      <c r="F14" s="11"/>
    </row>
    <row r="15" spans="2:6" x14ac:dyDescent="0.25">
      <c r="B15" s="320"/>
      <c r="C15" s="318" t="s">
        <v>32</v>
      </c>
      <c r="D15" s="322"/>
      <c r="E15" s="322"/>
      <c r="F15" s="323">
        <f>SUM(F9:F14)</f>
        <v>0</v>
      </c>
    </row>
    <row r="16" spans="2:6" x14ac:dyDescent="0.25">
      <c r="B16" s="317" t="s">
        <v>31</v>
      </c>
      <c r="C16" s="324" t="s">
        <v>30</v>
      </c>
      <c r="D16" s="322">
        <f>F15</f>
        <v>0</v>
      </c>
      <c r="E16" s="14">
        <f>'1.1 SALÁRIOS'!$F$33</f>
        <v>0</v>
      </c>
      <c r="F16" s="322">
        <f>E16*D16</f>
        <v>0</v>
      </c>
    </row>
    <row r="17" spans="2:6" x14ac:dyDescent="0.25">
      <c r="B17" s="317" t="s">
        <v>29</v>
      </c>
      <c r="C17" s="325" t="s">
        <v>28</v>
      </c>
      <c r="D17" s="322"/>
      <c r="E17" s="322"/>
      <c r="F17" s="323">
        <f>SUM(F15:F16)</f>
        <v>0</v>
      </c>
    </row>
    <row r="18" spans="2:6" x14ac:dyDescent="0.25">
      <c r="B18" s="317" t="s">
        <v>27</v>
      </c>
      <c r="C18" s="325" t="s">
        <v>26</v>
      </c>
      <c r="D18" s="322"/>
      <c r="E18" s="322"/>
      <c r="F18" s="322"/>
    </row>
    <row r="19" spans="2:6" x14ac:dyDescent="0.25">
      <c r="B19" s="9" t="s">
        <v>25</v>
      </c>
      <c r="C19" s="15" t="s">
        <v>24</v>
      </c>
      <c r="D19" s="11">
        <f>'1.1 SALÁRIOS'!$F$35</f>
        <v>0</v>
      </c>
      <c r="E19" s="11">
        <v>25.25</v>
      </c>
      <c r="F19" s="11">
        <f>IF(2*E19*D19-0.06*D9&lt;0,0,2*E19*D19-0.06*D9)</f>
        <v>0</v>
      </c>
    </row>
    <row r="20" spans="2:6" x14ac:dyDescent="0.25">
      <c r="B20" s="9" t="s">
        <v>23</v>
      </c>
      <c r="C20" s="15" t="s">
        <v>369</v>
      </c>
      <c r="D20" s="11">
        <f>('1.1 SALÁRIOS'!$F$36+'1.1 SALÁRIOS'!$F$37)/12</f>
        <v>0</v>
      </c>
      <c r="E20" s="11">
        <v>1</v>
      </c>
      <c r="F20" s="11">
        <f>E20*D20</f>
        <v>0</v>
      </c>
    </row>
    <row r="21" spans="2:6" x14ac:dyDescent="0.25">
      <c r="B21" s="9" t="s">
        <v>22</v>
      </c>
      <c r="C21" s="15" t="s">
        <v>370</v>
      </c>
      <c r="D21" s="11">
        <f>'1.1 SALÁRIOS'!$F$38</f>
        <v>0</v>
      </c>
      <c r="E21" s="11">
        <f>E19</f>
        <v>25.25</v>
      </c>
      <c r="F21" s="11">
        <f>E21*D21</f>
        <v>0</v>
      </c>
    </row>
    <row r="22" spans="2:6" x14ac:dyDescent="0.25">
      <c r="B22" s="9" t="s">
        <v>21</v>
      </c>
      <c r="C22" s="15" t="s">
        <v>371</v>
      </c>
      <c r="D22" s="11">
        <f>'1.1 SALÁRIOS'!$F$39</f>
        <v>0</v>
      </c>
      <c r="E22" s="11">
        <v>1</v>
      </c>
      <c r="F22" s="11">
        <f>E22*D22</f>
        <v>0</v>
      </c>
    </row>
    <row r="23" spans="2:6" x14ac:dyDescent="0.25">
      <c r="B23" s="9" t="s">
        <v>374</v>
      </c>
      <c r="C23" s="15" t="s">
        <v>372</v>
      </c>
      <c r="D23" s="11">
        <f>'1.1 SALÁRIOS'!$F$40</f>
        <v>0</v>
      </c>
      <c r="E23" s="11">
        <v>1</v>
      </c>
      <c r="F23" s="11">
        <f>E23*D23</f>
        <v>0</v>
      </c>
    </row>
    <row r="24" spans="2:6" x14ac:dyDescent="0.25">
      <c r="B24" s="9" t="s">
        <v>375</v>
      </c>
      <c r="C24" s="15" t="s">
        <v>373</v>
      </c>
      <c r="D24" s="11">
        <f>'1.1 SALÁRIOS'!$F$41</f>
        <v>0</v>
      </c>
      <c r="E24" s="11">
        <v>1</v>
      </c>
      <c r="F24" s="11">
        <f>E24*D24</f>
        <v>0</v>
      </c>
    </row>
    <row r="25" spans="2:6" x14ac:dyDescent="0.25">
      <c r="B25" s="320"/>
      <c r="C25" s="325" t="s">
        <v>20</v>
      </c>
      <c r="D25" s="323"/>
      <c r="E25" s="323"/>
      <c r="F25" s="323">
        <f>SUM(F19:F24)</f>
        <v>0</v>
      </c>
    </row>
    <row r="26" spans="2:6" x14ac:dyDescent="0.25">
      <c r="B26" s="317" t="s">
        <v>19</v>
      </c>
      <c r="C26" s="325" t="s">
        <v>18</v>
      </c>
      <c r="D26" s="322"/>
      <c r="E26" s="322"/>
      <c r="F26" s="322"/>
    </row>
    <row r="27" spans="2:6" x14ac:dyDescent="0.25">
      <c r="B27" s="320" t="s">
        <v>17</v>
      </c>
      <c r="C27" s="326" t="s">
        <v>16</v>
      </c>
      <c r="D27" s="11" t="e">
        <f>VLOOKUP(C27,'1.1 CUSTO FERRAME-UNIFORME-EPI'!B:C,2,FALSE)</f>
        <v>#DIV/0!</v>
      </c>
      <c r="E27" s="328">
        <v>0.17</v>
      </c>
      <c r="F27" s="322" t="e">
        <f t="shared" ref="F27:F34" si="0">E27*D27</f>
        <v>#DIV/0!</v>
      </c>
    </row>
    <row r="28" spans="2:6" x14ac:dyDescent="0.25">
      <c r="B28" s="320" t="s">
        <v>15</v>
      </c>
      <c r="C28" s="326" t="s">
        <v>14</v>
      </c>
      <c r="D28" s="11" t="e">
        <f>VLOOKUP(C28,'1.1 CUSTO FERRAME-UNIFORME-EPI'!B:C,2,FALSE)</f>
        <v>#DIV/0!</v>
      </c>
      <c r="E28" s="328">
        <v>0.33</v>
      </c>
      <c r="F28" s="322" t="e">
        <f t="shared" si="0"/>
        <v>#DIV/0!</v>
      </c>
    </row>
    <row r="29" spans="2:6" x14ac:dyDescent="0.25">
      <c r="B29" s="320" t="s">
        <v>13</v>
      </c>
      <c r="C29" s="326" t="s">
        <v>12</v>
      </c>
      <c r="D29" s="11" t="e">
        <f>VLOOKUP(C29,'1.1 CUSTO FERRAME-UNIFORME-EPI'!B:C,2,FALSE)</f>
        <v>#DIV/0!</v>
      </c>
      <c r="E29" s="328">
        <v>0.33</v>
      </c>
      <c r="F29" s="322" t="e">
        <f t="shared" si="0"/>
        <v>#DIV/0!</v>
      </c>
    </row>
    <row r="30" spans="2:6" x14ac:dyDescent="0.25">
      <c r="B30" s="320" t="s">
        <v>11</v>
      </c>
      <c r="C30" s="326" t="s">
        <v>10</v>
      </c>
      <c r="D30" s="11">
        <f>VLOOKUP(C30,'1.1 CUSTO FERRAME-UNIFORME-EPI'!B:C,2,FALSE)</f>
        <v>0</v>
      </c>
      <c r="E30" s="328">
        <v>0.17</v>
      </c>
      <c r="F30" s="322">
        <f t="shared" si="0"/>
        <v>0</v>
      </c>
    </row>
    <row r="31" spans="2:6" x14ac:dyDescent="0.25">
      <c r="B31" s="320" t="s">
        <v>9</v>
      </c>
      <c r="C31" s="326" t="s">
        <v>8</v>
      </c>
      <c r="D31" s="11">
        <f>VLOOKUP(C31,'1.1 CUSTO FERRAME-UNIFORME-EPI'!B:C,2,FALSE)</f>
        <v>0</v>
      </c>
      <c r="E31" s="328">
        <v>0.17</v>
      </c>
      <c r="F31" s="322">
        <f t="shared" si="0"/>
        <v>0</v>
      </c>
    </row>
    <row r="32" spans="2:6" x14ac:dyDescent="0.25">
      <c r="B32" s="320" t="s">
        <v>7</v>
      </c>
      <c r="C32" s="326" t="s">
        <v>6</v>
      </c>
      <c r="D32" s="11">
        <f>VLOOKUP(C32,'1.1 CUSTO FERRAME-UNIFORME-EPI'!B:C,2,FALSE)</f>
        <v>0</v>
      </c>
      <c r="E32" s="328">
        <v>0.3</v>
      </c>
      <c r="F32" s="322">
        <f t="shared" si="0"/>
        <v>0</v>
      </c>
    </row>
    <row r="33" spans="2:6" x14ac:dyDescent="0.25">
      <c r="B33" s="320" t="s">
        <v>5</v>
      </c>
      <c r="C33" s="326" t="s">
        <v>4</v>
      </c>
      <c r="D33" s="11" t="e">
        <f>VLOOKUP(C33,'1.1 CUSTO FERRAME-UNIFORME-EPI'!B:C,2,FALSE)</f>
        <v>#DIV/0!</v>
      </c>
      <c r="E33" s="328">
        <v>0</v>
      </c>
      <c r="F33" s="322" t="e">
        <f t="shared" si="0"/>
        <v>#DIV/0!</v>
      </c>
    </row>
    <row r="34" spans="2:6" x14ac:dyDescent="0.25">
      <c r="B34" s="320" t="s">
        <v>3</v>
      </c>
      <c r="C34" s="326" t="s">
        <v>202</v>
      </c>
      <c r="D34" s="11" t="e">
        <f>VLOOKUP(C34,'1.1 CUSTO FERRAME-UNIFORME-EPI'!B:C,2,FALSE)</f>
        <v>#DIV/0!</v>
      </c>
      <c r="E34" s="329">
        <v>0.08</v>
      </c>
      <c r="F34" s="322" t="e">
        <f t="shared" si="0"/>
        <v>#DIV/0!</v>
      </c>
    </row>
    <row r="35" spans="2:6" x14ac:dyDescent="0.25">
      <c r="B35" s="320"/>
      <c r="C35" s="325" t="s">
        <v>2</v>
      </c>
      <c r="D35" s="330"/>
      <c r="E35" s="330"/>
      <c r="F35" s="331" t="e">
        <f>SUM(F27:F34)</f>
        <v>#DIV/0!</v>
      </c>
    </row>
    <row r="36" spans="2:6" x14ac:dyDescent="0.25">
      <c r="B36" s="320"/>
      <c r="C36" s="332"/>
      <c r="D36" s="330"/>
      <c r="E36" s="330"/>
      <c r="F36" s="331"/>
    </row>
    <row r="37" spans="2:6" x14ac:dyDescent="0.25">
      <c r="B37" s="333" t="s">
        <v>1</v>
      </c>
      <c r="C37" s="334" t="s">
        <v>0</v>
      </c>
      <c r="D37" s="335"/>
      <c r="E37" s="335"/>
      <c r="F37" s="336" t="e">
        <f>SUM(F17,F25,F35)</f>
        <v>#DIV/0!</v>
      </c>
    </row>
    <row r="40" spans="2:6" x14ac:dyDescent="0.25">
      <c r="B40" s="313" t="s">
        <v>54</v>
      </c>
      <c r="C40" s="313" t="s">
        <v>53</v>
      </c>
      <c r="D40" s="714" t="s">
        <v>402</v>
      </c>
      <c r="E40" s="714"/>
      <c r="F40" s="714"/>
    </row>
    <row r="41" spans="2:6" x14ac:dyDescent="0.25">
      <c r="B41" s="315"/>
      <c r="C41" s="315"/>
      <c r="D41" s="713"/>
      <c r="E41" s="713"/>
      <c r="F41" s="713"/>
    </row>
    <row r="42" spans="2:6" x14ac:dyDescent="0.25">
      <c r="B42" s="317" t="s">
        <v>52</v>
      </c>
      <c r="C42" s="337" t="s">
        <v>51</v>
      </c>
      <c r="D42" s="319" t="s">
        <v>50</v>
      </c>
      <c r="E42" s="319" t="s">
        <v>49</v>
      </c>
      <c r="F42" s="319" t="s">
        <v>48</v>
      </c>
    </row>
    <row r="43" spans="2:6" x14ac:dyDescent="0.25">
      <c r="B43" s="317" t="s">
        <v>47</v>
      </c>
      <c r="C43" s="337" t="s">
        <v>46</v>
      </c>
      <c r="D43" s="319"/>
      <c r="E43" s="319"/>
      <c r="F43" s="319"/>
    </row>
    <row r="44" spans="2:6" x14ac:dyDescent="0.25">
      <c r="B44" s="320" t="s">
        <v>45</v>
      </c>
      <c r="C44" s="338" t="s">
        <v>44</v>
      </c>
      <c r="D44" s="339">
        <f>'1.1 SALÁRIOS'!F26</f>
        <v>0</v>
      </c>
      <c r="E44" s="322">
        <v>1</v>
      </c>
      <c r="F44" s="322">
        <f>E44*D44</f>
        <v>0</v>
      </c>
    </row>
    <row r="45" spans="2:6" x14ac:dyDescent="0.25">
      <c r="B45" s="320" t="s">
        <v>43</v>
      </c>
      <c r="C45" s="338" t="s">
        <v>42</v>
      </c>
      <c r="D45" s="11">
        <f>'1.1 SALÁRIOS'!$F$23</f>
        <v>0</v>
      </c>
      <c r="E45" s="34">
        <v>0</v>
      </c>
      <c r="F45" s="11">
        <f>E45*D45</f>
        <v>0</v>
      </c>
    </row>
    <row r="46" spans="2:6" x14ac:dyDescent="0.25">
      <c r="B46" s="320" t="s">
        <v>41</v>
      </c>
      <c r="C46" s="338" t="s">
        <v>56</v>
      </c>
      <c r="D46" s="322"/>
      <c r="E46" s="322"/>
      <c r="F46" s="322"/>
    </row>
    <row r="47" spans="2:6" x14ac:dyDescent="0.25">
      <c r="B47" s="320" t="s">
        <v>39</v>
      </c>
      <c r="C47" s="338" t="s">
        <v>38</v>
      </c>
      <c r="D47" s="322"/>
      <c r="E47" s="322"/>
      <c r="F47" s="322"/>
    </row>
    <row r="48" spans="2:6" x14ac:dyDescent="0.25">
      <c r="B48" s="320" t="s">
        <v>37</v>
      </c>
      <c r="C48" s="338" t="s">
        <v>36</v>
      </c>
      <c r="D48" s="322"/>
      <c r="E48" s="322"/>
      <c r="F48" s="322"/>
    </row>
    <row r="49" spans="2:6" x14ac:dyDescent="0.25">
      <c r="B49" s="320" t="s">
        <v>35</v>
      </c>
      <c r="C49" s="338" t="s">
        <v>34</v>
      </c>
      <c r="D49" s="322"/>
      <c r="E49" s="322"/>
      <c r="F49" s="322"/>
    </row>
    <row r="50" spans="2:6" x14ac:dyDescent="0.25">
      <c r="B50" s="320" t="s">
        <v>33</v>
      </c>
      <c r="C50" s="337" t="s">
        <v>32</v>
      </c>
      <c r="D50" s="322"/>
      <c r="E50" s="322"/>
      <c r="F50" s="323">
        <f>SUM(F44:F49)</f>
        <v>0</v>
      </c>
    </row>
    <row r="51" spans="2:6" x14ac:dyDescent="0.25">
      <c r="B51" s="317" t="s">
        <v>31</v>
      </c>
      <c r="C51" s="324" t="s">
        <v>30</v>
      </c>
      <c r="D51" s="322">
        <f>F50</f>
        <v>0</v>
      </c>
      <c r="E51" s="14">
        <f>'1.1 SALÁRIOS'!$F$33</f>
        <v>0</v>
      </c>
      <c r="F51" s="323">
        <f>E51*D51</f>
        <v>0</v>
      </c>
    </row>
    <row r="52" spans="2:6" x14ac:dyDescent="0.25">
      <c r="B52" s="317" t="s">
        <v>29</v>
      </c>
      <c r="C52" s="324" t="s">
        <v>28</v>
      </c>
      <c r="D52" s="322"/>
      <c r="E52" s="322"/>
      <c r="F52" s="323">
        <f>SUM(F50:F51)</f>
        <v>0</v>
      </c>
    </row>
    <row r="53" spans="2:6" x14ac:dyDescent="0.25">
      <c r="B53" s="317" t="s">
        <v>27</v>
      </c>
      <c r="C53" s="324" t="s">
        <v>26</v>
      </c>
      <c r="D53" s="322"/>
      <c r="E53" s="322"/>
      <c r="F53" s="322"/>
    </row>
    <row r="54" spans="2:6" x14ac:dyDescent="0.25">
      <c r="B54" s="9" t="s">
        <v>25</v>
      </c>
      <c r="C54" s="15" t="s">
        <v>24</v>
      </c>
      <c r="D54" s="11">
        <f>'1.1 SALÁRIOS'!$F$35</f>
        <v>0</v>
      </c>
      <c r="E54" s="11">
        <v>25.25</v>
      </c>
      <c r="F54" s="11">
        <f>IF(2*E54*D54-0.06*D44&lt;0,0,2*E54*D54-0.06*D44)</f>
        <v>0</v>
      </c>
    </row>
    <row r="55" spans="2:6" x14ac:dyDescent="0.25">
      <c r="B55" s="9" t="s">
        <v>23</v>
      </c>
      <c r="C55" s="15" t="s">
        <v>369</v>
      </c>
      <c r="D55" s="11">
        <f>('1.1 SALÁRIOS'!$F$36+'1.1 SALÁRIOS'!$F$37)/12</f>
        <v>0</v>
      </c>
      <c r="E55" s="11">
        <v>1</v>
      </c>
      <c r="F55" s="11">
        <f>E55*D55</f>
        <v>0</v>
      </c>
    </row>
    <row r="56" spans="2:6" x14ac:dyDescent="0.25">
      <c r="B56" s="9" t="s">
        <v>22</v>
      </c>
      <c r="C56" s="15" t="s">
        <v>370</v>
      </c>
      <c r="D56" s="11">
        <f>'1.1 SALÁRIOS'!$F$38</f>
        <v>0</v>
      </c>
      <c r="E56" s="11">
        <f>E54</f>
        <v>25.25</v>
      </c>
      <c r="F56" s="11">
        <f>E56*D56</f>
        <v>0</v>
      </c>
    </row>
    <row r="57" spans="2:6" x14ac:dyDescent="0.25">
      <c r="B57" s="9" t="s">
        <v>21</v>
      </c>
      <c r="C57" s="15" t="s">
        <v>371</v>
      </c>
      <c r="D57" s="11">
        <f>'1.1 SALÁRIOS'!$F$39</f>
        <v>0</v>
      </c>
      <c r="E57" s="11">
        <v>1</v>
      </c>
      <c r="F57" s="11">
        <f>E57*D57</f>
        <v>0</v>
      </c>
    </row>
    <row r="58" spans="2:6" x14ac:dyDescent="0.25">
      <c r="B58" s="9" t="s">
        <v>374</v>
      </c>
      <c r="C58" s="15" t="s">
        <v>372</v>
      </c>
      <c r="D58" s="11">
        <f>'1.1 SALÁRIOS'!$F$40</f>
        <v>0</v>
      </c>
      <c r="E58" s="11">
        <v>1</v>
      </c>
      <c r="F58" s="11">
        <f>E58*D58</f>
        <v>0</v>
      </c>
    </row>
    <row r="59" spans="2:6" x14ac:dyDescent="0.25">
      <c r="B59" s="9" t="s">
        <v>375</v>
      </c>
      <c r="C59" s="15" t="s">
        <v>373</v>
      </c>
      <c r="D59" s="11">
        <f>'1.1 SALÁRIOS'!$F$41</f>
        <v>0</v>
      </c>
      <c r="E59" s="11">
        <v>1</v>
      </c>
      <c r="F59" s="11">
        <f>E59*D59</f>
        <v>0</v>
      </c>
    </row>
    <row r="60" spans="2:6" x14ac:dyDescent="0.25">
      <c r="B60" s="320" t="s">
        <v>57</v>
      </c>
      <c r="C60" s="324" t="s">
        <v>20</v>
      </c>
      <c r="D60" s="323"/>
      <c r="E60" s="323"/>
      <c r="F60" s="323">
        <f>SUM(F54:F59)</f>
        <v>0</v>
      </c>
    </row>
    <row r="61" spans="2:6" x14ac:dyDescent="0.25">
      <c r="B61" s="317" t="s">
        <v>19</v>
      </c>
      <c r="C61" s="324" t="s">
        <v>18</v>
      </c>
      <c r="D61" s="322"/>
      <c r="E61" s="322"/>
      <c r="F61" s="322"/>
    </row>
    <row r="62" spans="2:6" x14ac:dyDescent="0.25">
      <c r="B62" s="320" t="s">
        <v>17</v>
      </c>
      <c r="C62" s="340" t="s">
        <v>16</v>
      </c>
      <c r="D62" s="11" t="e">
        <f>VLOOKUP(C62,'1.1 CUSTO FERRAME-UNIFORME-EPI'!B:C,2,FALSE)</f>
        <v>#DIV/0!</v>
      </c>
      <c r="E62" s="328">
        <v>0.17</v>
      </c>
      <c r="F62" s="322" t="e">
        <f t="shared" ref="F62:F69" si="1">E62*D62</f>
        <v>#DIV/0!</v>
      </c>
    </row>
    <row r="63" spans="2:6" x14ac:dyDescent="0.25">
      <c r="B63" s="320" t="s">
        <v>15</v>
      </c>
      <c r="C63" s="340" t="s">
        <v>14</v>
      </c>
      <c r="D63" s="11" t="e">
        <f>VLOOKUP(C63,'1.1 CUSTO FERRAME-UNIFORME-EPI'!B:C,2,FALSE)</f>
        <v>#DIV/0!</v>
      </c>
      <c r="E63" s="328">
        <v>0.33</v>
      </c>
      <c r="F63" s="322" t="e">
        <f t="shared" si="1"/>
        <v>#DIV/0!</v>
      </c>
    </row>
    <row r="64" spans="2:6" x14ac:dyDescent="0.25">
      <c r="B64" s="320" t="s">
        <v>13</v>
      </c>
      <c r="C64" s="340" t="s">
        <v>12</v>
      </c>
      <c r="D64" s="11" t="e">
        <f>VLOOKUP(C64,'1.1 CUSTO FERRAME-UNIFORME-EPI'!B:C,2,FALSE)</f>
        <v>#DIV/0!</v>
      </c>
      <c r="E64" s="328">
        <v>0.33</v>
      </c>
      <c r="F64" s="322" t="e">
        <f t="shared" si="1"/>
        <v>#DIV/0!</v>
      </c>
    </row>
    <row r="65" spans="2:6" x14ac:dyDescent="0.25">
      <c r="B65" s="320" t="s">
        <v>11</v>
      </c>
      <c r="C65" s="340" t="s">
        <v>10</v>
      </c>
      <c r="D65" s="11">
        <f>VLOOKUP(C65,'1.1 CUSTO FERRAME-UNIFORME-EPI'!B:C,2,FALSE)</f>
        <v>0</v>
      </c>
      <c r="E65" s="328">
        <v>0.17</v>
      </c>
      <c r="F65" s="322">
        <f t="shared" si="1"/>
        <v>0</v>
      </c>
    </row>
    <row r="66" spans="2:6" x14ac:dyDescent="0.25">
      <c r="B66" s="320" t="s">
        <v>9</v>
      </c>
      <c r="C66" s="340" t="s">
        <v>8</v>
      </c>
      <c r="D66" s="11">
        <f>VLOOKUP(C66,'1.1 CUSTO FERRAME-UNIFORME-EPI'!B:C,2,FALSE)</f>
        <v>0</v>
      </c>
      <c r="E66" s="328">
        <v>0.17</v>
      </c>
      <c r="F66" s="322">
        <f t="shared" si="1"/>
        <v>0</v>
      </c>
    </row>
    <row r="67" spans="2:6" x14ac:dyDescent="0.25">
      <c r="B67" s="320" t="s">
        <v>7</v>
      </c>
      <c r="C67" s="340" t="s">
        <v>6</v>
      </c>
      <c r="D67" s="11">
        <f>VLOOKUP(C67,'1.1 CUSTO FERRAME-UNIFORME-EPI'!B:C,2,FALSE)</f>
        <v>0</v>
      </c>
      <c r="E67" s="328">
        <v>0.3</v>
      </c>
      <c r="F67" s="322">
        <f t="shared" si="1"/>
        <v>0</v>
      </c>
    </row>
    <row r="68" spans="2:6" x14ac:dyDescent="0.25">
      <c r="B68" s="320" t="s">
        <v>5</v>
      </c>
      <c r="C68" s="340" t="s">
        <v>4</v>
      </c>
      <c r="D68" s="11" t="e">
        <f>VLOOKUP(C68,'1.1 CUSTO FERRAME-UNIFORME-EPI'!B:C,2,FALSE)</f>
        <v>#DIV/0!</v>
      </c>
      <c r="E68" s="328">
        <v>0</v>
      </c>
      <c r="F68" s="322" t="e">
        <f t="shared" si="1"/>
        <v>#DIV/0!</v>
      </c>
    </row>
    <row r="69" spans="2:6" x14ac:dyDescent="0.25">
      <c r="B69" s="320" t="s">
        <v>3</v>
      </c>
      <c r="C69" s="326" t="s">
        <v>202</v>
      </c>
      <c r="D69" s="11" t="e">
        <f>VLOOKUP(C69,'1.1 CUSTO FERRAME-UNIFORME-EPI'!B:C,2,FALSE)</f>
        <v>#DIV/0!</v>
      </c>
      <c r="E69" s="329">
        <v>0.08</v>
      </c>
      <c r="F69" s="322" t="e">
        <f t="shared" si="1"/>
        <v>#DIV/0!</v>
      </c>
    </row>
    <row r="70" spans="2:6" x14ac:dyDescent="0.25">
      <c r="B70" s="320"/>
      <c r="C70" s="341" t="s">
        <v>2</v>
      </c>
      <c r="D70" s="330"/>
      <c r="E70" s="330"/>
      <c r="F70" s="331" t="e">
        <f>SUM(F62:F69)</f>
        <v>#DIV/0!</v>
      </c>
    </row>
    <row r="71" spans="2:6" x14ac:dyDescent="0.25">
      <c r="B71" s="342"/>
      <c r="C71" s="343"/>
      <c r="D71" s="344"/>
      <c r="E71" s="344"/>
      <c r="F71" s="345"/>
    </row>
    <row r="72" spans="2:6" x14ac:dyDescent="0.25">
      <c r="B72" s="333" t="s">
        <v>1</v>
      </c>
      <c r="C72" s="346" t="s">
        <v>0</v>
      </c>
      <c r="D72" s="335"/>
      <c r="E72" s="335"/>
      <c r="F72" s="336" t="e">
        <f>SUM(F70,F60,F52)</f>
        <v>#DIV/0!</v>
      </c>
    </row>
    <row r="75" spans="2:6" x14ac:dyDescent="0.25">
      <c r="B75" s="313" t="s">
        <v>54</v>
      </c>
      <c r="C75" s="313" t="s">
        <v>53</v>
      </c>
      <c r="D75" s="708" t="s">
        <v>403</v>
      </c>
      <c r="E75" s="708"/>
      <c r="F75" s="708"/>
    </row>
    <row r="76" spans="2:6" x14ac:dyDescent="0.25">
      <c r="B76" s="315"/>
      <c r="C76" s="315"/>
      <c r="D76" s="713"/>
      <c r="E76" s="713"/>
      <c r="F76" s="713"/>
    </row>
    <row r="77" spans="2:6" x14ac:dyDescent="0.25">
      <c r="B77" s="317" t="s">
        <v>52</v>
      </c>
      <c r="C77" s="337" t="s">
        <v>51</v>
      </c>
      <c r="D77" s="319" t="s">
        <v>50</v>
      </c>
      <c r="E77" s="319" t="s">
        <v>49</v>
      </c>
      <c r="F77" s="319" t="s">
        <v>48</v>
      </c>
    </row>
    <row r="78" spans="2:6" x14ac:dyDescent="0.25">
      <c r="B78" s="317" t="s">
        <v>47</v>
      </c>
      <c r="C78" s="337" t="s">
        <v>46</v>
      </c>
      <c r="D78" s="319"/>
      <c r="E78" s="319"/>
      <c r="F78" s="319"/>
    </row>
    <row r="79" spans="2:6" x14ac:dyDescent="0.25">
      <c r="B79" s="320" t="s">
        <v>45</v>
      </c>
      <c r="C79" s="338" t="s">
        <v>44</v>
      </c>
      <c r="D79" s="339">
        <f>'1.1 SALÁRIOS'!F7</f>
        <v>0</v>
      </c>
      <c r="E79" s="322">
        <v>1</v>
      </c>
      <c r="F79" s="322">
        <f>E79*D79</f>
        <v>0</v>
      </c>
    </row>
    <row r="80" spans="2:6" x14ac:dyDescent="0.25">
      <c r="B80" s="320" t="s">
        <v>43</v>
      </c>
      <c r="C80" s="338" t="s">
        <v>42</v>
      </c>
      <c r="D80" s="11">
        <f>'1.1 SALÁRIOS'!$F$23</f>
        <v>0</v>
      </c>
      <c r="E80" s="34">
        <v>0.2</v>
      </c>
      <c r="F80" s="11">
        <f>E80*D80</f>
        <v>0</v>
      </c>
    </row>
    <row r="81" spans="2:6" x14ac:dyDescent="0.25">
      <c r="B81" s="320" t="s">
        <v>41</v>
      </c>
      <c r="C81" s="338" t="s">
        <v>56</v>
      </c>
      <c r="D81" s="322"/>
      <c r="E81" s="322"/>
      <c r="F81" s="322"/>
    </row>
    <row r="82" spans="2:6" x14ac:dyDescent="0.25">
      <c r="B82" s="320" t="s">
        <v>39</v>
      </c>
      <c r="C82" s="338" t="s">
        <v>38</v>
      </c>
      <c r="D82" s="322"/>
      <c r="E82" s="322"/>
      <c r="F82" s="322"/>
    </row>
    <row r="83" spans="2:6" x14ac:dyDescent="0.25">
      <c r="B83" s="320" t="s">
        <v>37</v>
      </c>
      <c r="C83" s="338" t="s">
        <v>36</v>
      </c>
      <c r="D83" s="322"/>
      <c r="E83" s="322"/>
      <c r="F83" s="322"/>
    </row>
    <row r="84" spans="2:6" x14ac:dyDescent="0.25">
      <c r="B84" s="320" t="s">
        <v>35</v>
      </c>
      <c r="C84" s="338" t="s">
        <v>34</v>
      </c>
      <c r="D84" s="322"/>
      <c r="E84" s="322"/>
      <c r="F84" s="322"/>
    </row>
    <row r="85" spans="2:6" x14ac:dyDescent="0.25">
      <c r="B85" s="320"/>
      <c r="C85" s="337" t="s">
        <v>32</v>
      </c>
      <c r="D85" s="322"/>
      <c r="E85" s="322"/>
      <c r="F85" s="323">
        <f>SUM(F79:F84)</f>
        <v>0</v>
      </c>
    </row>
    <row r="86" spans="2:6" x14ac:dyDescent="0.25">
      <c r="B86" s="317" t="s">
        <v>31</v>
      </c>
      <c r="C86" s="347" t="s">
        <v>30</v>
      </c>
      <c r="D86" s="348">
        <f>F85</f>
        <v>0</v>
      </c>
      <c r="E86" s="14">
        <f>'1.1 SALÁRIOS'!$F$33</f>
        <v>0</v>
      </c>
      <c r="F86" s="322">
        <f>E86*D86</f>
        <v>0</v>
      </c>
    </row>
    <row r="87" spans="2:6" x14ac:dyDescent="0.25">
      <c r="B87" s="317" t="s">
        <v>29</v>
      </c>
      <c r="C87" s="324" t="s">
        <v>28</v>
      </c>
      <c r="D87" s="322"/>
      <c r="E87" s="322"/>
      <c r="F87" s="323">
        <f>SUM(F85:F86)</f>
        <v>0</v>
      </c>
    </row>
    <row r="88" spans="2:6" x14ac:dyDescent="0.25">
      <c r="B88" s="317" t="s">
        <v>27</v>
      </c>
      <c r="C88" s="324" t="s">
        <v>26</v>
      </c>
      <c r="D88" s="322"/>
      <c r="E88" s="322"/>
      <c r="F88" s="322"/>
    </row>
    <row r="89" spans="2:6" x14ac:dyDescent="0.25">
      <c r="B89" s="9" t="s">
        <v>25</v>
      </c>
      <c r="C89" s="15" t="s">
        <v>24</v>
      </c>
      <c r="D89" s="11">
        <f>'1.1 SALÁRIOS'!$F$35</f>
        <v>0</v>
      </c>
      <c r="E89" s="11">
        <v>25.25</v>
      </c>
      <c r="F89" s="11">
        <f>IF(2*E89*D89-0.06*D79&lt;0,0,2*E89*D89-0.06*D79)</f>
        <v>0</v>
      </c>
    </row>
    <row r="90" spans="2:6" x14ac:dyDescent="0.25">
      <c r="B90" s="9" t="s">
        <v>23</v>
      </c>
      <c r="C90" s="15" t="s">
        <v>369</v>
      </c>
      <c r="D90" s="11">
        <f>('1.1 SALÁRIOS'!$F$36+'1.1 SALÁRIOS'!$F$37)/12</f>
        <v>0</v>
      </c>
      <c r="E90" s="11">
        <v>1</v>
      </c>
      <c r="F90" s="11">
        <f>E90*D90</f>
        <v>0</v>
      </c>
    </row>
    <row r="91" spans="2:6" x14ac:dyDescent="0.25">
      <c r="B91" s="9" t="s">
        <v>22</v>
      </c>
      <c r="C91" s="15" t="s">
        <v>370</v>
      </c>
      <c r="D91" s="11">
        <f>'1.1 SALÁRIOS'!$F$38</f>
        <v>0</v>
      </c>
      <c r="E91" s="11">
        <f>E89</f>
        <v>25.25</v>
      </c>
      <c r="F91" s="11">
        <f>E91*D91</f>
        <v>0</v>
      </c>
    </row>
    <row r="92" spans="2:6" x14ac:dyDescent="0.25">
      <c r="B92" s="9" t="s">
        <v>21</v>
      </c>
      <c r="C92" s="15" t="s">
        <v>371</v>
      </c>
      <c r="D92" s="11">
        <f>'1.1 SALÁRIOS'!$F$39</f>
        <v>0</v>
      </c>
      <c r="E92" s="11">
        <v>1</v>
      </c>
      <c r="F92" s="11">
        <f>E92*D92</f>
        <v>0</v>
      </c>
    </row>
    <row r="93" spans="2:6" x14ac:dyDescent="0.25">
      <c r="B93" s="9" t="s">
        <v>374</v>
      </c>
      <c r="C93" s="15" t="s">
        <v>372</v>
      </c>
      <c r="D93" s="11">
        <f>'1.1 SALÁRIOS'!$F$40</f>
        <v>0</v>
      </c>
      <c r="E93" s="11">
        <v>1</v>
      </c>
      <c r="F93" s="11">
        <f>E93*D93</f>
        <v>0</v>
      </c>
    </row>
    <row r="94" spans="2:6" x14ac:dyDescent="0.25">
      <c r="B94" s="9" t="s">
        <v>375</v>
      </c>
      <c r="C94" s="15" t="s">
        <v>373</v>
      </c>
      <c r="D94" s="11">
        <f>'1.1 SALÁRIOS'!$F$41</f>
        <v>0</v>
      </c>
      <c r="E94" s="11">
        <v>1</v>
      </c>
      <c r="F94" s="11">
        <f>E94*D94</f>
        <v>0</v>
      </c>
    </row>
    <row r="95" spans="2:6" x14ac:dyDescent="0.25">
      <c r="B95" s="320"/>
      <c r="C95" s="324" t="s">
        <v>20</v>
      </c>
      <c r="D95" s="323"/>
      <c r="E95" s="323"/>
      <c r="F95" s="323">
        <f>SUM(F89:F94)</f>
        <v>0</v>
      </c>
    </row>
    <row r="96" spans="2:6" x14ac:dyDescent="0.25">
      <c r="B96" s="317" t="s">
        <v>19</v>
      </c>
      <c r="C96" s="324" t="s">
        <v>18</v>
      </c>
      <c r="D96" s="322"/>
      <c r="E96" s="322"/>
      <c r="F96" s="322"/>
    </row>
    <row r="97" spans="2:6" x14ac:dyDescent="0.25">
      <c r="B97" s="320" t="s">
        <v>17</v>
      </c>
      <c r="C97" s="340" t="s">
        <v>16</v>
      </c>
      <c r="D97" s="11" t="e">
        <f>VLOOKUP(C97,'1.1 CUSTO FERRAME-UNIFORME-EPI'!B:C,2,FALSE)</f>
        <v>#DIV/0!</v>
      </c>
      <c r="E97" s="328">
        <v>0.25</v>
      </c>
      <c r="F97" s="322" t="e">
        <f t="shared" ref="F97:F106" si="2">E97*D97</f>
        <v>#DIV/0!</v>
      </c>
    </row>
    <row r="98" spans="2:6" x14ac:dyDescent="0.25">
      <c r="B98" s="320" t="s">
        <v>15</v>
      </c>
      <c r="C98" s="340" t="s">
        <v>210</v>
      </c>
      <c r="D98" s="11">
        <f>VLOOKUP(C98,'1.1 CUSTO FERRAME-UNIFORME-EPI'!B:C,2,FALSE)</f>
        <v>0</v>
      </c>
      <c r="E98" s="328">
        <v>0.5</v>
      </c>
      <c r="F98" s="322">
        <f t="shared" si="2"/>
        <v>0</v>
      </c>
    </row>
    <row r="99" spans="2:6" x14ac:dyDescent="0.25">
      <c r="B99" s="320" t="s">
        <v>13</v>
      </c>
      <c r="C99" s="340" t="s">
        <v>209</v>
      </c>
      <c r="D99" s="11">
        <f>VLOOKUP(C99,'1.1 CUSTO FERRAME-UNIFORME-EPI'!B:C,2,FALSE)</f>
        <v>0</v>
      </c>
      <c r="E99" s="328">
        <v>0.5</v>
      </c>
      <c r="F99" s="322">
        <f t="shared" si="2"/>
        <v>0</v>
      </c>
    </row>
    <row r="100" spans="2:6" x14ac:dyDescent="0.25">
      <c r="B100" s="320" t="s">
        <v>11</v>
      </c>
      <c r="C100" s="340" t="s">
        <v>205</v>
      </c>
      <c r="D100" s="11">
        <f>VLOOKUP(C100,'1.1 CUSTO FERRAME-UNIFORME-EPI'!B:C,2,FALSE)</f>
        <v>0</v>
      </c>
      <c r="E100" s="328">
        <v>0.25</v>
      </c>
      <c r="F100" s="322">
        <f t="shared" si="2"/>
        <v>0</v>
      </c>
    </row>
    <row r="101" spans="2:6" x14ac:dyDescent="0.25">
      <c r="B101" s="320" t="s">
        <v>9</v>
      </c>
      <c r="C101" s="340" t="s">
        <v>58</v>
      </c>
      <c r="D101" s="11" t="e">
        <f>VLOOKUP(C101,'1.1 CUSTO FERRAME-UNIFORME-EPI'!B:C,2,FALSE)</f>
        <v>#DIV/0!</v>
      </c>
      <c r="E101" s="328">
        <v>0.25</v>
      </c>
      <c r="F101" s="322" t="e">
        <f t="shared" si="2"/>
        <v>#DIV/0!</v>
      </c>
    </row>
    <row r="102" spans="2:6" x14ac:dyDescent="0.25">
      <c r="B102" s="320" t="s">
        <v>7</v>
      </c>
      <c r="C102" s="340" t="s">
        <v>8</v>
      </c>
      <c r="D102" s="11">
        <f>VLOOKUP(C102,'1.1 CUSTO FERRAME-UNIFORME-EPI'!B:C,2,FALSE)</f>
        <v>0</v>
      </c>
      <c r="E102" s="328">
        <v>0.17</v>
      </c>
      <c r="F102" s="322">
        <f t="shared" si="2"/>
        <v>0</v>
      </c>
    </row>
    <row r="103" spans="2:6" x14ac:dyDescent="0.25">
      <c r="B103" s="320" t="s">
        <v>5</v>
      </c>
      <c r="C103" s="340" t="s">
        <v>204</v>
      </c>
      <c r="D103" s="11">
        <f>VLOOKUP(C103,'1.1 CUSTO FERRAME-UNIFORME-EPI'!B:C,2,FALSE)</f>
        <v>0</v>
      </c>
      <c r="E103" s="328">
        <v>0.5</v>
      </c>
      <c r="F103" s="322">
        <f t="shared" si="2"/>
        <v>0</v>
      </c>
    </row>
    <row r="104" spans="2:6" x14ac:dyDescent="0.25">
      <c r="B104" s="320" t="s">
        <v>3</v>
      </c>
      <c r="C104" s="340" t="s">
        <v>203</v>
      </c>
      <c r="D104" s="11">
        <f>VLOOKUP(C104,'1.1 CUSTO FERRAME-UNIFORME-EPI'!B:C,2,FALSE)</f>
        <v>0</v>
      </c>
      <c r="E104" s="328">
        <v>2.17</v>
      </c>
      <c r="F104" s="322">
        <f t="shared" si="2"/>
        <v>0</v>
      </c>
    </row>
    <row r="105" spans="2:6" x14ac:dyDescent="0.25">
      <c r="B105" s="320" t="s">
        <v>60</v>
      </c>
      <c r="C105" s="340" t="s">
        <v>6</v>
      </c>
      <c r="D105" s="11">
        <f>VLOOKUP(C105,'1.1 CUSTO FERRAME-UNIFORME-EPI'!B:C,2,FALSE)</f>
        <v>0</v>
      </c>
      <c r="E105" s="328">
        <v>0.3</v>
      </c>
      <c r="F105" s="322">
        <f t="shared" si="2"/>
        <v>0</v>
      </c>
    </row>
    <row r="106" spans="2:6" x14ac:dyDescent="0.25">
      <c r="B106" s="320" t="s">
        <v>400</v>
      </c>
      <c r="C106" s="326" t="s">
        <v>202</v>
      </c>
      <c r="D106" s="11" t="e">
        <f>VLOOKUP(C106,'1.1 CUSTO FERRAME-UNIFORME-EPI'!B:C,2,FALSE)</f>
        <v>#DIV/0!</v>
      </c>
      <c r="E106" s="329">
        <v>0.08</v>
      </c>
      <c r="F106" s="322" t="e">
        <f t="shared" si="2"/>
        <v>#DIV/0!</v>
      </c>
    </row>
    <row r="107" spans="2:6" x14ac:dyDescent="0.25">
      <c r="B107" s="320"/>
      <c r="C107" s="341" t="s">
        <v>2</v>
      </c>
      <c r="D107" s="330"/>
      <c r="E107" s="330"/>
      <c r="F107" s="331" t="e">
        <f>SUM(F97:F106)</f>
        <v>#DIV/0!</v>
      </c>
    </row>
    <row r="108" spans="2:6" x14ac:dyDescent="0.25">
      <c r="B108" s="342"/>
      <c r="C108" s="343"/>
      <c r="D108" s="344"/>
      <c r="E108" s="344"/>
      <c r="F108" s="345"/>
    </row>
    <row r="109" spans="2:6" x14ac:dyDescent="0.25">
      <c r="B109" s="333" t="s">
        <v>1</v>
      </c>
      <c r="C109" s="346" t="s">
        <v>0</v>
      </c>
      <c r="D109" s="335"/>
      <c r="E109" s="335"/>
      <c r="F109" s="336" t="e">
        <f>F107+F95+F87</f>
        <v>#DIV/0!</v>
      </c>
    </row>
    <row r="112" spans="2:6" x14ac:dyDescent="0.25">
      <c r="B112" s="313" t="s">
        <v>54</v>
      </c>
      <c r="C112" s="313" t="s">
        <v>53</v>
      </c>
      <c r="D112" s="705" t="s">
        <v>486</v>
      </c>
      <c r="E112" s="706"/>
      <c r="F112" s="707"/>
    </row>
    <row r="113" spans="2:6" x14ac:dyDescent="0.25">
      <c r="B113" s="320"/>
      <c r="C113" s="340"/>
      <c r="D113" s="322"/>
      <c r="E113" s="328"/>
      <c r="F113" s="322"/>
    </row>
    <row r="114" spans="2:6" x14ac:dyDescent="0.25">
      <c r="B114" s="317" t="s">
        <v>52</v>
      </c>
      <c r="C114" s="324" t="s">
        <v>51</v>
      </c>
      <c r="D114" s="323"/>
      <c r="E114" s="349"/>
      <c r="F114" s="323"/>
    </row>
    <row r="115" spans="2:6" x14ac:dyDescent="0.25">
      <c r="B115" s="317" t="s">
        <v>47</v>
      </c>
      <c r="C115" s="324" t="s">
        <v>46</v>
      </c>
      <c r="D115" s="323"/>
      <c r="E115" s="349"/>
      <c r="F115" s="323"/>
    </row>
    <row r="116" spans="2:6" x14ac:dyDescent="0.25">
      <c r="B116" s="320" t="s">
        <v>45</v>
      </c>
      <c r="C116" s="340" t="s">
        <v>44</v>
      </c>
      <c r="D116" s="322">
        <f>'1.1 SALÁRIOS'!F21</f>
        <v>0</v>
      </c>
      <c r="E116" s="328">
        <v>1</v>
      </c>
      <c r="F116" s="322">
        <f>E116*D116</f>
        <v>0</v>
      </c>
    </row>
    <row r="117" spans="2:6" x14ac:dyDescent="0.25">
      <c r="B117" s="320" t="s">
        <v>43</v>
      </c>
      <c r="C117" s="340" t="s">
        <v>42</v>
      </c>
      <c r="D117" s="11">
        <f>'1.1 SALÁRIOS'!$F$23</f>
        <v>0</v>
      </c>
      <c r="E117" s="34">
        <v>0.2</v>
      </c>
      <c r="F117" s="11">
        <f>E117*D117</f>
        <v>0</v>
      </c>
    </row>
    <row r="118" spans="2:6" x14ac:dyDescent="0.25">
      <c r="B118" s="320" t="s">
        <v>41</v>
      </c>
      <c r="C118" s="340" t="s">
        <v>40</v>
      </c>
      <c r="D118" s="322"/>
      <c r="E118" s="328"/>
      <c r="F118" s="322"/>
    </row>
    <row r="119" spans="2:6" x14ac:dyDescent="0.25">
      <c r="B119" s="320" t="s">
        <v>39</v>
      </c>
      <c r="C119" s="340" t="s">
        <v>38</v>
      </c>
      <c r="D119" s="322"/>
      <c r="E119" s="328"/>
      <c r="F119" s="322"/>
    </row>
    <row r="120" spans="2:6" x14ac:dyDescent="0.25">
      <c r="B120" s="320" t="s">
        <v>37</v>
      </c>
      <c r="C120" s="340" t="s">
        <v>36</v>
      </c>
      <c r="D120" s="322"/>
      <c r="E120" s="328"/>
      <c r="F120" s="322"/>
    </row>
    <row r="121" spans="2:6" x14ac:dyDescent="0.25">
      <c r="B121" s="320" t="s">
        <v>35</v>
      </c>
      <c r="C121" s="340" t="s">
        <v>34</v>
      </c>
      <c r="D121" s="322"/>
      <c r="E121" s="328"/>
      <c r="F121" s="322"/>
    </row>
    <row r="122" spans="2:6" x14ac:dyDescent="0.25">
      <c r="B122" s="317"/>
      <c r="C122" s="324" t="s">
        <v>32</v>
      </c>
      <c r="D122" s="323"/>
      <c r="E122" s="349"/>
      <c r="F122" s="323">
        <f>SUM(F116:F121)</f>
        <v>0</v>
      </c>
    </row>
    <row r="123" spans="2:6" x14ac:dyDescent="0.25">
      <c r="B123" s="317" t="s">
        <v>31</v>
      </c>
      <c r="C123" s="324" t="s">
        <v>65</v>
      </c>
      <c r="D123" s="322">
        <f>F122</f>
        <v>0</v>
      </c>
      <c r="E123" s="14">
        <f>'1.1 SALÁRIOS'!$F$33</f>
        <v>0</v>
      </c>
      <c r="F123" s="322">
        <f>E123*D123</f>
        <v>0</v>
      </c>
    </row>
    <row r="124" spans="2:6" x14ac:dyDescent="0.25">
      <c r="B124" s="317" t="s">
        <v>29</v>
      </c>
      <c r="C124" s="324" t="s">
        <v>28</v>
      </c>
      <c r="D124" s="323"/>
      <c r="E124" s="349"/>
      <c r="F124" s="323">
        <f>SUM(F122:F123)</f>
        <v>0</v>
      </c>
    </row>
    <row r="125" spans="2:6" x14ac:dyDescent="0.25">
      <c r="B125" s="317" t="s">
        <v>27</v>
      </c>
      <c r="C125" s="324" t="s">
        <v>26</v>
      </c>
      <c r="D125" s="322"/>
      <c r="E125" s="328"/>
      <c r="F125" s="322"/>
    </row>
    <row r="126" spans="2:6" x14ac:dyDescent="0.25">
      <c r="B126" s="9" t="s">
        <v>25</v>
      </c>
      <c r="C126" s="15" t="s">
        <v>24</v>
      </c>
      <c r="D126" s="11">
        <f>'1.1 SALÁRIOS'!$F$35</f>
        <v>0</v>
      </c>
      <c r="E126" s="11">
        <v>25.25</v>
      </c>
      <c r="F126" s="11">
        <f>IF(2*E126*D126-0.06*D116&lt;0,0,2*E126*D126-0.06*D116)</f>
        <v>0</v>
      </c>
    </row>
    <row r="127" spans="2:6" x14ac:dyDescent="0.25">
      <c r="B127" s="9" t="s">
        <v>23</v>
      </c>
      <c r="C127" s="15" t="s">
        <v>369</v>
      </c>
      <c r="D127" s="11">
        <f>('1.1 SALÁRIOS'!$F$36+'1.1 SALÁRIOS'!$F$37)/12</f>
        <v>0</v>
      </c>
      <c r="E127" s="11">
        <v>1</v>
      </c>
      <c r="F127" s="11">
        <f>E127*D127</f>
        <v>0</v>
      </c>
    </row>
    <row r="128" spans="2:6" x14ac:dyDescent="0.25">
      <c r="B128" s="9" t="s">
        <v>22</v>
      </c>
      <c r="C128" s="15" t="s">
        <v>370</v>
      </c>
      <c r="D128" s="11">
        <f>'1.1 SALÁRIOS'!$F$38</f>
        <v>0</v>
      </c>
      <c r="E128" s="11">
        <f>E126</f>
        <v>25.25</v>
      </c>
      <c r="F128" s="11">
        <f>E128*D128</f>
        <v>0</v>
      </c>
    </row>
    <row r="129" spans="2:6" x14ac:dyDescent="0.25">
      <c r="B129" s="9" t="s">
        <v>21</v>
      </c>
      <c r="C129" s="15" t="s">
        <v>371</v>
      </c>
      <c r="D129" s="11">
        <f>'1.1 SALÁRIOS'!$F$39</f>
        <v>0</v>
      </c>
      <c r="E129" s="11">
        <v>1</v>
      </c>
      <c r="F129" s="11">
        <f>E129*D129</f>
        <v>0</v>
      </c>
    </row>
    <row r="130" spans="2:6" x14ac:dyDescent="0.25">
      <c r="B130" s="9" t="s">
        <v>374</v>
      </c>
      <c r="C130" s="15" t="s">
        <v>372</v>
      </c>
      <c r="D130" s="11">
        <f>'1.1 SALÁRIOS'!$F$40</f>
        <v>0</v>
      </c>
      <c r="E130" s="11">
        <v>1</v>
      </c>
      <c r="F130" s="11">
        <f>E130*D130</f>
        <v>0</v>
      </c>
    </row>
    <row r="131" spans="2:6" x14ac:dyDescent="0.25">
      <c r="B131" s="9" t="s">
        <v>375</v>
      </c>
      <c r="C131" s="15" t="s">
        <v>373</v>
      </c>
      <c r="D131" s="11">
        <f>'1.1 SALÁRIOS'!$F$41</f>
        <v>0</v>
      </c>
      <c r="E131" s="11">
        <v>1</v>
      </c>
      <c r="F131" s="11">
        <f>E131*D131</f>
        <v>0</v>
      </c>
    </row>
    <row r="132" spans="2:6" x14ac:dyDescent="0.25">
      <c r="B132" s="317"/>
      <c r="C132" s="324" t="s">
        <v>20</v>
      </c>
      <c r="D132" s="323"/>
      <c r="E132" s="349"/>
      <c r="F132" s="323">
        <f>SUM(F126:F131)</f>
        <v>0</v>
      </c>
    </row>
    <row r="133" spans="2:6" x14ac:dyDescent="0.25">
      <c r="B133" s="317" t="s">
        <v>19</v>
      </c>
      <c r="C133" s="324" t="s">
        <v>18</v>
      </c>
      <c r="D133" s="322"/>
      <c r="E133" s="328"/>
      <c r="F133" s="322"/>
    </row>
    <row r="134" spans="2:6" x14ac:dyDescent="0.25">
      <c r="B134" s="320" t="s">
        <v>17</v>
      </c>
      <c r="C134" s="340" t="s">
        <v>16</v>
      </c>
      <c r="D134" s="11" t="e">
        <f>VLOOKUP(C134,'1.1 CUSTO FERRAME-UNIFORME-EPI'!B:C,2,FALSE)</f>
        <v>#DIV/0!</v>
      </c>
      <c r="E134" s="328">
        <v>0.2</v>
      </c>
      <c r="F134" s="322" t="e">
        <f t="shared" ref="F134:F141" si="3">E134*D134</f>
        <v>#DIV/0!</v>
      </c>
    </row>
    <row r="135" spans="2:6" x14ac:dyDescent="0.25">
      <c r="B135" s="320" t="s">
        <v>15</v>
      </c>
      <c r="C135" s="340" t="s">
        <v>14</v>
      </c>
      <c r="D135" s="11" t="e">
        <f>VLOOKUP(C135,'1.1 CUSTO FERRAME-UNIFORME-EPI'!B:C,2,FALSE)</f>
        <v>#DIV/0!</v>
      </c>
      <c r="E135" s="328">
        <v>0.4</v>
      </c>
      <c r="F135" s="322" t="e">
        <f t="shared" si="3"/>
        <v>#DIV/0!</v>
      </c>
    </row>
    <row r="136" spans="2:6" x14ac:dyDescent="0.25">
      <c r="B136" s="320" t="s">
        <v>13</v>
      </c>
      <c r="C136" s="340" t="s">
        <v>12</v>
      </c>
      <c r="D136" s="11" t="e">
        <f>VLOOKUP(C136,'1.1 CUSTO FERRAME-UNIFORME-EPI'!B:C,2,FALSE)</f>
        <v>#DIV/0!</v>
      </c>
      <c r="E136" s="328">
        <v>0.4</v>
      </c>
      <c r="F136" s="322" t="e">
        <f t="shared" si="3"/>
        <v>#DIV/0!</v>
      </c>
    </row>
    <row r="137" spans="2:6" x14ac:dyDescent="0.25">
      <c r="B137" s="320" t="s">
        <v>11</v>
      </c>
      <c r="C137" s="340" t="s">
        <v>10</v>
      </c>
      <c r="D137" s="11">
        <f>VLOOKUP(C137,'1.1 CUSTO FERRAME-UNIFORME-EPI'!B:C,2,FALSE)</f>
        <v>0</v>
      </c>
      <c r="E137" s="328">
        <v>0.2</v>
      </c>
      <c r="F137" s="322">
        <f t="shared" si="3"/>
        <v>0</v>
      </c>
    </row>
    <row r="138" spans="2:6" x14ac:dyDescent="0.25">
      <c r="B138" s="320" t="s">
        <v>9</v>
      </c>
      <c r="C138" s="340" t="s">
        <v>8</v>
      </c>
      <c r="D138" s="11">
        <f>VLOOKUP(C138,'1.1 CUSTO FERRAME-UNIFORME-EPI'!B:C,2,FALSE)</f>
        <v>0</v>
      </c>
      <c r="E138" s="328">
        <v>0.17</v>
      </c>
      <c r="F138" s="322">
        <f t="shared" si="3"/>
        <v>0</v>
      </c>
    </row>
    <row r="139" spans="2:6" x14ac:dyDescent="0.25">
      <c r="B139" s="320" t="s">
        <v>7</v>
      </c>
      <c r="C139" s="340" t="s">
        <v>208</v>
      </c>
      <c r="D139" s="11">
        <f>VLOOKUP(C139,'1.1 CUSTO FERRAME-UNIFORME-EPI'!B:C,2,FALSE)</f>
        <v>0</v>
      </c>
      <c r="E139" s="328">
        <v>0.25</v>
      </c>
      <c r="F139" s="322">
        <f t="shared" si="3"/>
        <v>0</v>
      </c>
    </row>
    <row r="140" spans="2:6" x14ac:dyDescent="0.25">
      <c r="B140" s="320" t="s">
        <v>5</v>
      </c>
      <c r="C140" s="340" t="str">
        <f>'2.2 MAO DE OBRA'!C32</f>
        <v>Colete refletor (trabalho noturno)</v>
      </c>
      <c r="D140" s="11" t="e">
        <f>VLOOKUP(C140,'1.1 CUSTO FERRAME-UNIFORME-EPI'!B:C,2,FALSE)</f>
        <v>#DIV/0!</v>
      </c>
      <c r="E140" s="328">
        <v>0.3</v>
      </c>
      <c r="F140" s="322" t="e">
        <f t="shared" ref="F140" si="4">E140*D140</f>
        <v>#DIV/0!</v>
      </c>
    </row>
    <row r="141" spans="2:6" x14ac:dyDescent="0.25">
      <c r="B141" s="320" t="s">
        <v>3</v>
      </c>
      <c r="C141" s="340" t="s">
        <v>6</v>
      </c>
      <c r="D141" s="11">
        <f>VLOOKUP(C141,'1.1 CUSTO FERRAME-UNIFORME-EPI'!B:C,2,FALSE)</f>
        <v>0</v>
      </c>
      <c r="E141" s="328">
        <v>0.33</v>
      </c>
      <c r="F141" s="322">
        <f t="shared" si="3"/>
        <v>0</v>
      </c>
    </row>
    <row r="142" spans="2:6" x14ac:dyDescent="0.25">
      <c r="B142" s="317"/>
      <c r="C142" s="324" t="s">
        <v>2</v>
      </c>
      <c r="D142" s="323"/>
      <c r="E142" s="349"/>
      <c r="F142" s="323" t="e">
        <f>SUM(F134:F141)</f>
        <v>#DIV/0!</v>
      </c>
    </row>
    <row r="143" spans="2:6" x14ac:dyDescent="0.25">
      <c r="B143" s="333" t="s">
        <v>1</v>
      </c>
      <c r="C143" s="346" t="s">
        <v>0</v>
      </c>
      <c r="D143" s="335"/>
      <c r="E143" s="335"/>
      <c r="F143" s="336" t="e">
        <f>F142+F132+F124</f>
        <v>#DIV/0!</v>
      </c>
    </row>
    <row r="145" spans="2:6" x14ac:dyDescent="0.25">
      <c r="B145" s="27" t="s">
        <v>54</v>
      </c>
      <c r="C145" s="27" t="s">
        <v>53</v>
      </c>
      <c r="D145" s="630" t="s">
        <v>285</v>
      </c>
      <c r="E145" s="631"/>
      <c r="F145" s="632"/>
    </row>
    <row r="146" spans="2:6" x14ac:dyDescent="0.25">
      <c r="B146" s="28"/>
      <c r="C146" s="28"/>
      <c r="D146" s="629"/>
      <c r="E146" s="629"/>
      <c r="F146" s="629"/>
    </row>
    <row r="147" spans="2:6" x14ac:dyDescent="0.25">
      <c r="B147" s="29" t="s">
        <v>52</v>
      </c>
      <c r="C147" s="30" t="s">
        <v>51</v>
      </c>
      <c r="D147" s="8" t="s">
        <v>50</v>
      </c>
      <c r="E147" s="8" t="s">
        <v>49</v>
      </c>
      <c r="F147" s="8" t="s">
        <v>48</v>
      </c>
    </row>
    <row r="148" spans="2:6" x14ac:dyDescent="0.25">
      <c r="B148" s="29" t="s">
        <v>47</v>
      </c>
      <c r="C148" s="30" t="s">
        <v>46</v>
      </c>
      <c r="D148" s="8"/>
      <c r="E148" s="8"/>
      <c r="F148" s="8"/>
    </row>
    <row r="149" spans="2:6" x14ac:dyDescent="0.25">
      <c r="B149" s="31" t="s">
        <v>45</v>
      </c>
      <c r="C149" s="32" t="s">
        <v>44</v>
      </c>
      <c r="D149" s="33">
        <f>'1.1 SALÁRIOS'!$F$27</f>
        <v>0</v>
      </c>
      <c r="E149" s="11">
        <v>1</v>
      </c>
      <c r="F149" s="11">
        <f>E149*D149</f>
        <v>0</v>
      </c>
    </row>
    <row r="150" spans="2:6" x14ac:dyDescent="0.25">
      <c r="B150" s="31" t="s">
        <v>43</v>
      </c>
      <c r="C150" s="32" t="s">
        <v>42</v>
      </c>
      <c r="D150" s="11">
        <f>'1.1 SALÁRIOS'!$F$23</f>
        <v>0</v>
      </c>
      <c r="E150" s="34">
        <v>0</v>
      </c>
      <c r="F150" s="11">
        <f>E150*D150</f>
        <v>0</v>
      </c>
    </row>
    <row r="151" spans="2:6" x14ac:dyDescent="0.25">
      <c r="B151" s="31" t="s">
        <v>41</v>
      </c>
      <c r="C151" s="32" t="s">
        <v>56</v>
      </c>
      <c r="D151" s="11"/>
      <c r="E151" s="11"/>
      <c r="F151" s="11"/>
    </row>
    <row r="152" spans="2:6" x14ac:dyDescent="0.25">
      <c r="B152" s="31" t="s">
        <v>39</v>
      </c>
      <c r="C152" s="32" t="s">
        <v>38</v>
      </c>
      <c r="D152" s="11"/>
      <c r="E152" s="11"/>
      <c r="F152" s="11"/>
    </row>
    <row r="153" spans="2:6" x14ac:dyDescent="0.25">
      <c r="B153" s="31" t="s">
        <v>37</v>
      </c>
      <c r="C153" s="32" t="s">
        <v>36</v>
      </c>
      <c r="D153" s="11"/>
      <c r="E153" s="11"/>
      <c r="F153" s="11"/>
    </row>
    <row r="154" spans="2:6" x14ac:dyDescent="0.25">
      <c r="B154" s="31" t="s">
        <v>35</v>
      </c>
      <c r="C154" s="32" t="s">
        <v>34</v>
      </c>
      <c r="D154" s="11"/>
      <c r="E154" s="11"/>
      <c r="F154" s="11"/>
    </row>
    <row r="155" spans="2:6" x14ac:dyDescent="0.25">
      <c r="B155" s="31" t="s">
        <v>33</v>
      </c>
      <c r="C155" s="30" t="s">
        <v>32</v>
      </c>
      <c r="D155" s="11"/>
      <c r="E155" s="11"/>
      <c r="F155" s="12">
        <f>SUM(F149:F154)</f>
        <v>0</v>
      </c>
    </row>
    <row r="156" spans="2:6" x14ac:dyDescent="0.25">
      <c r="B156" s="29" t="s">
        <v>31</v>
      </c>
      <c r="C156" s="35" t="s">
        <v>30</v>
      </c>
      <c r="D156" s="11">
        <f>F155</f>
        <v>0</v>
      </c>
      <c r="E156" s="14">
        <f>'1.1 SALÁRIOS'!$F$33</f>
        <v>0</v>
      </c>
      <c r="F156" s="12">
        <f>E156*D156</f>
        <v>0</v>
      </c>
    </row>
    <row r="157" spans="2:6" x14ac:dyDescent="0.25">
      <c r="B157" s="29" t="s">
        <v>29</v>
      </c>
      <c r="C157" s="35" t="s">
        <v>28</v>
      </c>
      <c r="D157" s="11"/>
      <c r="E157" s="11"/>
      <c r="F157" s="12">
        <f>SUM(F155:F156)</f>
        <v>0</v>
      </c>
    </row>
    <row r="158" spans="2:6" x14ac:dyDescent="0.25">
      <c r="B158" s="29" t="s">
        <v>27</v>
      </c>
      <c r="C158" s="35" t="s">
        <v>26</v>
      </c>
      <c r="D158" s="11"/>
      <c r="E158" s="11"/>
      <c r="F158" s="11"/>
    </row>
    <row r="159" spans="2:6" x14ac:dyDescent="0.25">
      <c r="B159" s="9" t="s">
        <v>25</v>
      </c>
      <c r="C159" s="15" t="s">
        <v>24</v>
      </c>
      <c r="D159" s="11">
        <f>'1.1 SALÁRIOS'!$F$35</f>
        <v>0</v>
      </c>
      <c r="E159" s="11">
        <v>26.08</v>
      </c>
      <c r="F159" s="11">
        <f>IF(2*E159*D159-0.06*D149&lt;0,0,2*E159*D159-0.06*D149)</f>
        <v>0</v>
      </c>
    </row>
    <row r="160" spans="2:6" x14ac:dyDescent="0.25">
      <c r="B160" s="9" t="s">
        <v>23</v>
      </c>
      <c r="C160" s="15" t="s">
        <v>369</v>
      </c>
      <c r="D160" s="11">
        <f>('1.1 SALÁRIOS'!$F$36+'1.1 SALÁRIOS'!$F$37)/12</f>
        <v>0</v>
      </c>
      <c r="E160" s="11">
        <v>1</v>
      </c>
      <c r="F160" s="11">
        <f>E160*D160</f>
        <v>0</v>
      </c>
    </row>
    <row r="161" spans="2:6" x14ac:dyDescent="0.25">
      <c r="B161" s="9" t="s">
        <v>22</v>
      </c>
      <c r="C161" s="15" t="s">
        <v>370</v>
      </c>
      <c r="D161" s="11">
        <f>'1.1 SALÁRIOS'!$F$38</f>
        <v>0</v>
      </c>
      <c r="E161" s="11">
        <f>E159</f>
        <v>26.08</v>
      </c>
      <c r="F161" s="11">
        <f>E161*D161</f>
        <v>0</v>
      </c>
    </row>
    <row r="162" spans="2:6" x14ac:dyDescent="0.25">
      <c r="B162" s="9" t="s">
        <v>21</v>
      </c>
      <c r="C162" s="15" t="s">
        <v>371</v>
      </c>
      <c r="D162" s="11">
        <f>'1.1 SALÁRIOS'!$F$39</f>
        <v>0</v>
      </c>
      <c r="E162" s="11">
        <v>1</v>
      </c>
      <c r="F162" s="11">
        <f>E162*D162</f>
        <v>0</v>
      </c>
    </row>
    <row r="163" spans="2:6" x14ac:dyDescent="0.25">
      <c r="B163" s="9" t="s">
        <v>374</v>
      </c>
      <c r="C163" s="15" t="s">
        <v>372</v>
      </c>
      <c r="D163" s="11">
        <f>'1.1 SALÁRIOS'!$F$40</f>
        <v>0</v>
      </c>
      <c r="E163" s="11">
        <v>1</v>
      </c>
      <c r="F163" s="11">
        <f>E163*D163</f>
        <v>0</v>
      </c>
    </row>
    <row r="164" spans="2:6" x14ac:dyDescent="0.25">
      <c r="B164" s="9" t="s">
        <v>375</v>
      </c>
      <c r="C164" s="15" t="s">
        <v>373</v>
      </c>
      <c r="D164" s="11">
        <f>'1.1 SALÁRIOS'!$F$41</f>
        <v>0</v>
      </c>
      <c r="E164" s="11">
        <v>1</v>
      </c>
      <c r="F164" s="11">
        <f>E164*D164</f>
        <v>0</v>
      </c>
    </row>
    <row r="165" spans="2:6" x14ac:dyDescent="0.25">
      <c r="B165" s="31" t="s">
        <v>57</v>
      </c>
      <c r="C165" s="35" t="s">
        <v>20</v>
      </c>
      <c r="D165" s="12"/>
      <c r="E165" s="12"/>
      <c r="F165" s="12">
        <f>SUM(F159:F164)</f>
        <v>0</v>
      </c>
    </row>
    <row r="166" spans="2:6" x14ac:dyDescent="0.25">
      <c r="B166" s="29" t="s">
        <v>19</v>
      </c>
      <c r="C166" s="35" t="s">
        <v>18</v>
      </c>
      <c r="D166" s="11"/>
      <c r="E166" s="11"/>
      <c r="F166" s="11"/>
    </row>
    <row r="167" spans="2:6" x14ac:dyDescent="0.25">
      <c r="B167" s="31" t="s">
        <v>17</v>
      </c>
      <c r="C167" s="36" t="str">
        <f>'1.1 CUSTO FERRAME-UNIFORME-EPI'!$B$18</f>
        <v>Boné de brim tipo árabe</v>
      </c>
      <c r="D167" s="11" t="e">
        <f>VLOOKUP(C167,'1.1 CUSTO FERRAME-UNIFORME-EPI'!B:C,2,FALSE)</f>
        <v>#DIV/0!</v>
      </c>
      <c r="E167" s="17">
        <v>0.17</v>
      </c>
      <c r="F167" s="11" t="e">
        <f t="shared" ref="F167:F173" si="5">E167*D167</f>
        <v>#DIV/0!</v>
      </c>
    </row>
    <row r="168" spans="2:6" x14ac:dyDescent="0.25">
      <c r="B168" s="31" t="s">
        <v>15</v>
      </c>
      <c r="C168" s="36" t="str">
        <f>'1.1 CUSTO FERRAME-UNIFORME-EPI'!$B$31</f>
        <v>Calça jeans</v>
      </c>
      <c r="D168" s="11" t="e">
        <f>VLOOKUP(C168,'1.1 CUSTO FERRAME-UNIFORME-EPI'!B:C,2,FALSE)</f>
        <v>#DIV/0!</v>
      </c>
      <c r="E168" s="17">
        <v>0.33</v>
      </c>
      <c r="F168" s="11" t="e">
        <f t="shared" si="5"/>
        <v>#DIV/0!</v>
      </c>
    </row>
    <row r="169" spans="2:6" x14ac:dyDescent="0.25">
      <c r="B169" s="31" t="s">
        <v>13</v>
      </c>
      <c r="C169" s="36" t="s">
        <v>12</v>
      </c>
      <c r="D169" s="11" t="e">
        <f>VLOOKUP(C169,'1.1 CUSTO FERRAME-UNIFORME-EPI'!B:C,2,FALSE)</f>
        <v>#DIV/0!</v>
      </c>
      <c r="E169" s="17">
        <v>0.33</v>
      </c>
      <c r="F169" s="11" t="e">
        <f t="shared" si="5"/>
        <v>#DIV/0!</v>
      </c>
    </row>
    <row r="170" spans="2:6" x14ac:dyDescent="0.25">
      <c r="B170" s="31" t="s">
        <v>11</v>
      </c>
      <c r="C170" s="36" t="str">
        <f>'1.1 CUSTO FERRAME-UNIFORME-EPI'!$B$33</f>
        <v>Bota de couro, antiderrapante</v>
      </c>
      <c r="D170" s="11">
        <f>VLOOKUP(C170,'1.1 CUSTO FERRAME-UNIFORME-EPI'!B:C,2,FALSE)</f>
        <v>0</v>
      </c>
      <c r="E170" s="17">
        <v>0.17</v>
      </c>
      <c r="F170" s="11">
        <f t="shared" si="5"/>
        <v>0</v>
      </c>
    </row>
    <row r="171" spans="2:6" x14ac:dyDescent="0.25">
      <c r="B171" s="31" t="s">
        <v>9</v>
      </c>
      <c r="C171" s="36" t="s">
        <v>8</v>
      </c>
      <c r="D171" s="11">
        <f>VLOOKUP(C171,'1.1 CUSTO FERRAME-UNIFORME-EPI'!B:C,2,FALSE)</f>
        <v>0</v>
      </c>
      <c r="E171" s="17">
        <v>0.17</v>
      </c>
      <c r="F171" s="11">
        <f t="shared" si="5"/>
        <v>0</v>
      </c>
    </row>
    <row r="172" spans="2:6" x14ac:dyDescent="0.25">
      <c r="B172" s="31" t="s">
        <v>7</v>
      </c>
      <c r="C172" s="36" t="str">
        <f>'1.1 CUSTO FERRAME-UNIFORME-EPI'!$B$22</f>
        <v>Protetor solar fator 30 (120ml/Mês)</v>
      </c>
      <c r="D172" s="11">
        <f>VLOOKUP(C172,'1.1 CUSTO FERRAME-UNIFORME-EPI'!B:C,2,FALSE)</f>
        <v>0</v>
      </c>
      <c r="E172" s="17">
        <v>0.3</v>
      </c>
      <c r="F172" s="11">
        <f t="shared" si="5"/>
        <v>0</v>
      </c>
    </row>
    <row r="173" spans="2:6" x14ac:dyDescent="0.25">
      <c r="B173" s="31" t="s">
        <v>3</v>
      </c>
      <c r="C173" s="37" t="str">
        <f>'1.1 CUSTO FERRAME-UNIFORME-EPI'!$B$34</f>
        <v>Garra Térmica 2L</v>
      </c>
      <c r="D173" s="18" t="e">
        <f>VLOOKUP(C173,'1.1 CUSTO FERRAME-UNIFORME-EPI'!B:C,2,FALSE)</f>
        <v>#DIV/0!</v>
      </c>
      <c r="E173" s="19">
        <v>0.08</v>
      </c>
      <c r="F173" s="11" t="e">
        <f t="shared" si="5"/>
        <v>#DIV/0!</v>
      </c>
    </row>
    <row r="174" spans="2:6" x14ac:dyDescent="0.25">
      <c r="B174" s="31"/>
      <c r="C174" s="38" t="s">
        <v>2</v>
      </c>
      <c r="D174" s="20"/>
      <c r="E174" s="20"/>
      <c r="F174" s="21" t="e">
        <f>SUM(F167:F173)</f>
        <v>#DIV/0!</v>
      </c>
    </row>
    <row r="175" spans="2:6" x14ac:dyDescent="0.25">
      <c r="B175" s="39"/>
      <c r="C175" s="40"/>
      <c r="D175" s="41"/>
      <c r="E175" s="41"/>
      <c r="F175" s="42"/>
    </row>
    <row r="176" spans="2:6" x14ac:dyDescent="0.25">
      <c r="B176" s="43" t="s">
        <v>1</v>
      </c>
      <c r="C176" s="44" t="s">
        <v>0</v>
      </c>
      <c r="D176" s="25"/>
      <c r="E176" s="25"/>
      <c r="F176" s="26" t="e">
        <f>SUM(F174,F165,F157)</f>
        <v>#DIV/0!</v>
      </c>
    </row>
  </sheetData>
  <mergeCells count="10">
    <mergeCell ref="D145:F145"/>
    <mergeCell ref="D146:F146"/>
    <mergeCell ref="D76:F76"/>
    <mergeCell ref="D112:F112"/>
    <mergeCell ref="B2:F2"/>
    <mergeCell ref="D5:F5"/>
    <mergeCell ref="D6:F6"/>
    <mergeCell ref="D40:F40"/>
    <mergeCell ref="D41:F41"/>
    <mergeCell ref="D75:F75"/>
  </mergeCells>
  <phoneticPr fontId="10" type="noConversion"/>
  <pageMargins left="0.98425196850393704" right="0.59055118110236215" top="1.1811023622047243" bottom="0.59055118110236215" header="0.11811023622047244" footer="0.51181102362204722"/>
  <pageSetup paperSize="9" scale="71" fitToHeight="0" orientation="portrait" r:id="rId1"/>
  <headerFooter>
    <oddHeader>&amp;L&amp;G</oddHeader>
  </headerFooter>
  <rowBreaks count="2" manualBreakCount="2">
    <brk id="60" max="6" man="1"/>
    <brk id="110" max="6" man="1"/>
  </rowBreaks>
  <legacyDrawingHF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pageSetUpPr fitToPage="1"/>
  </sheetPr>
  <dimension ref="A1:E43"/>
  <sheetViews>
    <sheetView showGridLines="0" view="pageLayout" zoomScaleNormal="110" zoomScaleSheetLayoutView="100" workbookViewId="0">
      <selection activeCell="I9" sqref="I9"/>
    </sheetView>
  </sheetViews>
  <sheetFormatPr defaultColWidth="9" defaultRowHeight="13.5" x14ac:dyDescent="0.25"/>
  <cols>
    <col min="1" max="1" width="5.140625" style="181" customWidth="1"/>
    <col min="2" max="2" width="28.85546875" style="181" customWidth="1"/>
    <col min="3" max="4" width="24.28515625" style="181" customWidth="1"/>
    <col min="5" max="16384" width="9" style="181"/>
  </cols>
  <sheetData>
    <row r="1" spans="1:4" ht="11.1" customHeight="1" x14ac:dyDescent="0.25"/>
    <row r="2" spans="1:4" ht="15.75" x14ac:dyDescent="0.25">
      <c r="A2" s="642" t="s">
        <v>187</v>
      </c>
      <c r="B2" s="642"/>
      <c r="C2" s="642"/>
    </row>
    <row r="4" spans="1:4" ht="12" customHeight="1" x14ac:dyDescent="0.25">
      <c r="B4" s="220"/>
      <c r="C4" s="220"/>
    </row>
    <row r="5" spans="1:4" ht="12.95" customHeight="1" x14ac:dyDescent="0.25"/>
    <row r="6" spans="1:4" s="193" customFormat="1" ht="52.5" customHeight="1" x14ac:dyDescent="0.25">
      <c r="A6" s="643" t="s">
        <v>54</v>
      </c>
      <c r="B6" s="644" t="s">
        <v>53</v>
      </c>
      <c r="C6" s="236" t="s">
        <v>189</v>
      </c>
      <c r="D6" s="236" t="s">
        <v>193</v>
      </c>
    </row>
    <row r="7" spans="1:4" s="193" customFormat="1" ht="18" customHeight="1" x14ac:dyDescent="0.25">
      <c r="A7" s="643"/>
      <c r="B7" s="644"/>
      <c r="C7" s="236" t="s">
        <v>184</v>
      </c>
      <c r="D7" s="236" t="s">
        <v>184</v>
      </c>
    </row>
    <row r="8" spans="1:4" s="193" customFormat="1" ht="14.1" customHeight="1" x14ac:dyDescent="0.25">
      <c r="A8" s="202" t="s">
        <v>183</v>
      </c>
      <c r="B8" s="201" t="s">
        <v>182</v>
      </c>
      <c r="C8" s="200">
        <f>(C9-C11)/C43/12</f>
        <v>0</v>
      </c>
      <c r="D8" s="200" t="e">
        <f>(D9-D11)/D43/12</f>
        <v>#DIV/0!</v>
      </c>
    </row>
    <row r="9" spans="1:4" s="209" customFormat="1" ht="14.1" customHeight="1" x14ac:dyDescent="0.2">
      <c r="A9" s="208" t="s">
        <v>181</v>
      </c>
      <c r="B9" s="187" t="s">
        <v>180</v>
      </c>
      <c r="C9" s="227">
        <f>'1.1 REF EQUIPAMENTOS E DIV'!E18</f>
        <v>0</v>
      </c>
      <c r="D9" s="186" t="e">
        <f>'1.1 REF EQUIPAMENTOS E DIV'!E9+'1.1 REF EQUIPAMENTOS E DIV'!E4+'1.1 REF EQUIPAMENTOS E DIV'!E13</f>
        <v>#DIV/0!</v>
      </c>
    </row>
    <row r="10" spans="1:4" s="209" customFormat="1" ht="9.9499999999999993" customHeight="1" x14ac:dyDescent="0.2">
      <c r="A10" s="207"/>
      <c r="B10" s="187"/>
      <c r="C10" s="186"/>
      <c r="D10" s="186"/>
    </row>
    <row r="11" spans="1:4" s="209" customFormat="1" ht="14.1" customHeight="1" x14ac:dyDescent="0.2">
      <c r="A11" s="208" t="s">
        <v>179</v>
      </c>
      <c r="B11" s="187" t="s">
        <v>148</v>
      </c>
      <c r="C11" s="186">
        <f>C9*C42</f>
        <v>0</v>
      </c>
      <c r="D11" s="186" t="e">
        <f>D9*D42</f>
        <v>#DIV/0!</v>
      </c>
    </row>
    <row r="12" spans="1:4" s="209" customFormat="1" ht="9.9499999999999993" customHeight="1" x14ac:dyDescent="0.2">
      <c r="A12" s="213"/>
      <c r="B12" s="204"/>
      <c r="C12" s="234"/>
      <c r="D12" s="203"/>
    </row>
    <row r="13" spans="1:4" s="209" customFormat="1" ht="14.1" customHeight="1" x14ac:dyDescent="0.2">
      <c r="A13" s="212" t="s">
        <v>178</v>
      </c>
      <c r="B13" s="211" t="s">
        <v>177</v>
      </c>
      <c r="C13" s="210">
        <f>C17*C19/12</f>
        <v>0</v>
      </c>
      <c r="D13" s="210" t="e">
        <f>D17*D19/12</f>
        <v>#DIV/0!</v>
      </c>
    </row>
    <row r="14" spans="1:4" s="209" customFormat="1" ht="9.9499999999999993" customHeight="1" x14ac:dyDescent="0.2">
      <c r="A14" s="232"/>
      <c r="B14" s="187"/>
      <c r="C14" s="227"/>
      <c r="D14" s="186"/>
    </row>
    <row r="15" spans="1:4" s="209" customFormat="1" ht="14.1" customHeight="1" x14ac:dyDescent="0.2">
      <c r="A15" s="188" t="s">
        <v>176</v>
      </c>
      <c r="B15" s="187" t="s">
        <v>175</v>
      </c>
      <c r="C15" s="186">
        <f>C9</f>
        <v>0</v>
      </c>
      <c r="D15" s="186" t="e">
        <f>D9</f>
        <v>#DIV/0!</v>
      </c>
    </row>
    <row r="16" spans="1:4" s="209" customFormat="1" ht="9.9499999999999993" customHeight="1" x14ac:dyDescent="0.2">
      <c r="A16" s="232"/>
      <c r="B16" s="187"/>
      <c r="C16" s="227"/>
      <c r="D16" s="186"/>
    </row>
    <row r="17" spans="1:5" s="209" customFormat="1" ht="14.1" customHeight="1" x14ac:dyDescent="0.2">
      <c r="A17" s="188" t="s">
        <v>174</v>
      </c>
      <c r="B17" s="187" t="s">
        <v>173</v>
      </c>
      <c r="C17" s="186">
        <f>(C9-C11)*((1+C43)/(2*C43))/1.25</f>
        <v>0</v>
      </c>
      <c r="D17" s="186" t="e">
        <f>(D9-D11)*((1+D43)/(2*D43))/1.25</f>
        <v>#DIV/0!</v>
      </c>
    </row>
    <row r="18" spans="1:5" s="209" customFormat="1" ht="9.9499999999999993" customHeight="1" x14ac:dyDescent="0.2">
      <c r="A18" s="232"/>
      <c r="B18" s="187"/>
      <c r="C18" s="227"/>
      <c r="D18" s="186"/>
    </row>
    <row r="19" spans="1:5" s="209" customFormat="1" ht="14.1" customHeight="1" x14ac:dyDescent="0.2">
      <c r="A19" s="184" t="s">
        <v>146</v>
      </c>
      <c r="B19" s="183" t="s">
        <v>145</v>
      </c>
      <c r="C19" s="182">
        <v>0.13250000000000001</v>
      </c>
      <c r="D19" s="182">
        <v>0.13250000000000001</v>
      </c>
    </row>
    <row r="20" spans="1:5" s="209" customFormat="1" ht="11.25" x14ac:dyDescent="0.2">
      <c r="A20" s="230" t="s">
        <v>172</v>
      </c>
      <c r="B20" s="229" t="s">
        <v>171</v>
      </c>
      <c r="C20" s="228">
        <f>C25*7.33*25.25</f>
        <v>0</v>
      </c>
      <c r="D20" s="228">
        <f>D25*7.33*25.25</f>
        <v>0</v>
      </c>
    </row>
    <row r="21" spans="1:5" s="193" customFormat="1" ht="14.1" customHeight="1" x14ac:dyDescent="0.25">
      <c r="A21" s="208" t="s">
        <v>170</v>
      </c>
      <c r="B21" s="187" t="s">
        <v>169</v>
      </c>
      <c r="C21" s="227">
        <f>130*0.735*0.07</f>
        <v>6.6885000000000003</v>
      </c>
      <c r="D21" s="186">
        <f>277*0.735*0.1</f>
        <v>20.359500000000001</v>
      </c>
      <c r="E21" s="209"/>
    </row>
    <row r="22" spans="1:5" s="193" customFormat="1" ht="14.1" customHeight="1" x14ac:dyDescent="0.25">
      <c r="A22" s="208"/>
      <c r="B22" s="187"/>
      <c r="C22" s="227"/>
      <c r="D22" s="186"/>
      <c r="E22" s="209"/>
    </row>
    <row r="23" spans="1:5" s="193" customFormat="1" ht="14.1" customHeight="1" x14ac:dyDescent="0.25">
      <c r="A23" s="208"/>
      <c r="B23" s="187" t="s">
        <v>168</v>
      </c>
      <c r="C23" s="186">
        <f>'1.1 REF EQUIPAMENTOS E DIV'!E38</f>
        <v>0</v>
      </c>
      <c r="D23" s="186">
        <f>'1.1 REF EQUIPAMENTOS E DIV'!$E$38</f>
        <v>0</v>
      </c>
      <c r="E23" s="209"/>
    </row>
    <row r="24" spans="1:5" s="209" customFormat="1" ht="14.1" customHeight="1" x14ac:dyDescent="0.2">
      <c r="A24" s="207"/>
      <c r="B24" s="187"/>
      <c r="C24" s="227"/>
      <c r="D24" s="186"/>
    </row>
    <row r="25" spans="1:5" s="209" customFormat="1" ht="11.25" x14ac:dyDescent="0.2">
      <c r="A25" s="208" t="s">
        <v>167</v>
      </c>
      <c r="B25" s="187" t="s">
        <v>166</v>
      </c>
      <c r="C25" s="186">
        <f>C23*C21</f>
        <v>0</v>
      </c>
      <c r="D25" s="186">
        <f>D23*D21</f>
        <v>0</v>
      </c>
    </row>
    <row r="26" spans="1:5" s="193" customFormat="1" ht="14.1" customHeight="1" x14ac:dyDescent="0.25">
      <c r="A26" s="202" t="s">
        <v>165</v>
      </c>
      <c r="B26" s="201" t="s">
        <v>164</v>
      </c>
      <c r="C26" s="200">
        <f>C29</f>
        <v>0</v>
      </c>
      <c r="D26" s="200">
        <f>D29</f>
        <v>0</v>
      </c>
    </row>
    <row r="27" spans="1:5" s="209" customFormat="1" ht="14.1" customHeight="1" x14ac:dyDescent="0.2">
      <c r="A27" s="208" t="s">
        <v>163</v>
      </c>
      <c r="B27" s="187" t="s">
        <v>162</v>
      </c>
      <c r="C27" s="227">
        <v>0.27</v>
      </c>
      <c r="D27" s="186">
        <v>0.1</v>
      </c>
    </row>
    <row r="28" spans="1:5" s="209" customFormat="1" ht="9.9499999999999993" customHeight="1" x14ac:dyDescent="0.2">
      <c r="A28" s="207"/>
      <c r="B28" s="187"/>
      <c r="C28" s="227"/>
      <c r="D28" s="186"/>
    </row>
    <row r="29" spans="1:5" s="209" customFormat="1" ht="14.1" customHeight="1" x14ac:dyDescent="0.2">
      <c r="A29" s="208" t="s">
        <v>161</v>
      </c>
      <c r="B29" s="187" t="s">
        <v>160</v>
      </c>
      <c r="C29" s="186">
        <f>C27*C20</f>
        <v>0</v>
      </c>
      <c r="D29" s="186">
        <f>D27*D20</f>
        <v>0</v>
      </c>
    </row>
    <row r="30" spans="1:5" s="209" customFormat="1" ht="9.9499999999999993" customHeight="1" x14ac:dyDescent="0.2">
      <c r="A30" s="207"/>
      <c r="B30" s="187"/>
      <c r="C30" s="227"/>
      <c r="D30" s="186"/>
    </row>
    <row r="31" spans="1:5" s="209" customFormat="1" ht="14.1" customHeight="1" x14ac:dyDescent="0.2">
      <c r="A31" s="202" t="s">
        <v>159</v>
      </c>
      <c r="B31" s="201" t="s">
        <v>158</v>
      </c>
      <c r="C31" s="200">
        <f>C37</f>
        <v>0</v>
      </c>
      <c r="D31" s="200" t="e">
        <f>D37</f>
        <v>#DIV/0!</v>
      </c>
    </row>
    <row r="32" spans="1:5" s="209" customFormat="1" ht="18" customHeight="1" x14ac:dyDescent="0.2">
      <c r="A32" s="208" t="s">
        <v>157</v>
      </c>
      <c r="B32" s="187" t="s">
        <v>156</v>
      </c>
      <c r="C32" s="186">
        <f>C8</f>
        <v>0</v>
      </c>
      <c r="D32" s="186" t="e">
        <f>D8</f>
        <v>#DIV/0!</v>
      </c>
    </row>
    <row r="33" spans="1:4" s="193" customFormat="1" ht="21.75" customHeight="1" x14ac:dyDescent="0.25">
      <c r="A33" s="207"/>
      <c r="B33" s="187"/>
      <c r="C33" s="227"/>
      <c r="D33" s="186"/>
    </row>
    <row r="34" spans="1:4" s="193" customFormat="1" x14ac:dyDescent="0.25">
      <c r="A34" s="208" t="s">
        <v>155</v>
      </c>
      <c r="B34" s="187" t="s">
        <v>154</v>
      </c>
      <c r="C34" s="227">
        <v>0.6</v>
      </c>
      <c r="D34" s="186">
        <v>0.6</v>
      </c>
    </row>
    <row r="35" spans="1:4" s="193" customFormat="1" x14ac:dyDescent="0.25">
      <c r="A35" s="208" t="s">
        <v>153</v>
      </c>
      <c r="B35" s="187" t="s">
        <v>386</v>
      </c>
      <c r="C35" s="310">
        <v>2.5000000000000001E-2</v>
      </c>
      <c r="D35" s="310">
        <v>2.5000000000000001E-2</v>
      </c>
    </row>
    <row r="36" spans="1:4" s="193" customFormat="1" x14ac:dyDescent="0.25">
      <c r="A36" s="207"/>
      <c r="B36" s="187"/>
      <c r="C36" s="186"/>
      <c r="D36" s="186"/>
    </row>
    <row r="37" spans="1:4" s="193" customFormat="1" x14ac:dyDescent="0.25">
      <c r="A37" s="208" t="s">
        <v>387</v>
      </c>
      <c r="B37" s="204" t="s">
        <v>152</v>
      </c>
      <c r="C37" s="203">
        <f>(C34+C35)*C32</f>
        <v>0</v>
      </c>
      <c r="D37" s="203" t="e">
        <f>(D34+D35)*D32</f>
        <v>#DIV/0!</v>
      </c>
    </row>
    <row r="38" spans="1:4" s="193" customFormat="1" x14ac:dyDescent="0.25">
      <c r="A38" s="202" t="s">
        <v>151</v>
      </c>
      <c r="B38" s="201" t="s">
        <v>150</v>
      </c>
      <c r="C38" s="200" t="e">
        <f>'1.1 REF EQUIPAMENTOS E DIV'!$E$35</f>
        <v>#DIV/0!</v>
      </c>
      <c r="D38" s="200" t="e">
        <f>'1.1 REF EQUIPAMENTOS E DIV'!$E$35</f>
        <v>#DIV/0!</v>
      </c>
    </row>
    <row r="39" spans="1:4" x14ac:dyDescent="0.25">
      <c r="A39" s="225"/>
      <c r="B39" s="224" t="s">
        <v>149</v>
      </c>
      <c r="C39" s="223" t="e">
        <f>C31++C26+C20+C13+C8+C38</f>
        <v>#DIV/0!</v>
      </c>
      <c r="D39" s="223" t="e">
        <f>D31++D26+D20+D13+D8+D38</f>
        <v>#DIV/0!</v>
      </c>
    </row>
    <row r="40" spans="1:4" x14ac:dyDescent="0.25">
      <c r="A40" s="196"/>
      <c r="B40" s="195"/>
      <c r="C40" s="222"/>
      <c r="D40" s="222"/>
    </row>
    <row r="42" spans="1:4" x14ac:dyDescent="0.25">
      <c r="A42" s="192"/>
      <c r="B42" s="191" t="s">
        <v>148</v>
      </c>
      <c r="C42" s="190">
        <v>0.4</v>
      </c>
      <c r="D42" s="190">
        <v>0.4</v>
      </c>
    </row>
    <row r="43" spans="1:4" x14ac:dyDescent="0.25">
      <c r="A43" s="188"/>
      <c r="B43" s="187" t="s">
        <v>147</v>
      </c>
      <c r="C43" s="185">
        <v>5</v>
      </c>
      <c r="D43" s="186">
        <v>7</v>
      </c>
    </row>
  </sheetData>
  <sheetProtection selectLockedCells="1" selectUnlockedCells="1"/>
  <mergeCells count="3">
    <mergeCell ref="A2:C2"/>
    <mergeCell ref="A6:A7"/>
    <mergeCell ref="B6:B7"/>
  </mergeCells>
  <pageMargins left="0.98425196850393704" right="0.59055118110236215" top="1.1811023622047243" bottom="0.59055118110236215" header="0.11811023622047244" footer="0.51181102362204722"/>
  <pageSetup paperSize="9" firstPageNumber="0" fitToHeight="0" orientation="portrait" r:id="rId1"/>
  <headerFooter alignWithMargins="0">
    <oddHeader>&amp;L&amp;G</oddHeader>
  </headerFooter>
  <legacyDrawingHF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8" tint="0.39997558519241921"/>
    <pageSetUpPr fitToPage="1"/>
  </sheetPr>
  <dimension ref="B2:K29"/>
  <sheetViews>
    <sheetView view="pageLayout" zoomScaleNormal="100" workbookViewId="0">
      <selection activeCell="J15" sqref="J15"/>
    </sheetView>
  </sheetViews>
  <sheetFormatPr defaultColWidth="9.140625" defaultRowHeight="13.5" x14ac:dyDescent="0.25"/>
  <cols>
    <col min="1" max="1" width="9.140625" style="358"/>
    <col min="2" max="2" width="6" style="358" customWidth="1"/>
    <col min="3" max="3" width="34.140625" style="358" customWidth="1"/>
    <col min="4" max="4" width="11.28515625" style="358" bestFit="1" customWidth="1"/>
    <col min="5" max="5" width="10.7109375" style="358" customWidth="1"/>
    <col min="6" max="6" width="11.28515625" style="358" customWidth="1"/>
    <col min="7" max="7" width="13.7109375" style="358" customWidth="1"/>
    <col min="8" max="8" width="20.28515625" style="358" customWidth="1"/>
    <col min="9" max="16384" width="9.140625" style="358"/>
  </cols>
  <sheetData>
    <row r="2" spans="2:11" s="365" customFormat="1" x14ac:dyDescent="0.25">
      <c r="B2" s="586" t="s">
        <v>419</v>
      </c>
      <c r="C2" s="586"/>
      <c r="D2" s="586"/>
      <c r="E2" s="586"/>
      <c r="F2" s="586"/>
      <c r="G2" s="586"/>
      <c r="H2" s="586"/>
    </row>
    <row r="3" spans="2:11" s="365" customFormat="1" x14ac:dyDescent="0.25">
      <c r="B3" s="587" t="s">
        <v>587</v>
      </c>
      <c r="C3" s="587"/>
      <c r="D3" s="587"/>
      <c r="E3" s="587"/>
      <c r="F3" s="587"/>
      <c r="G3" s="587"/>
      <c r="H3" s="587"/>
    </row>
    <row r="4" spans="2:11" s="359" customFormat="1" ht="40.5" x14ac:dyDescent="0.25">
      <c r="B4" s="505" t="s">
        <v>248</v>
      </c>
      <c r="C4" s="506" t="s">
        <v>417</v>
      </c>
      <c r="D4" s="505" t="s">
        <v>592</v>
      </c>
      <c r="E4" s="588" t="s">
        <v>589</v>
      </c>
      <c r="F4" s="588"/>
      <c r="G4" s="505" t="s">
        <v>621</v>
      </c>
      <c r="H4" s="505" t="s">
        <v>590</v>
      </c>
    </row>
    <row r="5" spans="2:11" s="359" customFormat="1" x14ac:dyDescent="0.25">
      <c r="B5" s="480">
        <v>1</v>
      </c>
      <c r="C5" s="507" t="s">
        <v>588</v>
      </c>
      <c r="D5" s="508">
        <f>271230</f>
        <v>271230</v>
      </c>
      <c r="E5" s="589">
        <v>3.5</v>
      </c>
      <c r="F5" s="589"/>
      <c r="G5" s="518">
        <v>0.25</v>
      </c>
      <c r="H5" s="493">
        <f>E5*D5*G5</f>
        <v>237326.25</v>
      </c>
      <c r="I5" s="359">
        <f>G5*E5</f>
        <v>0.875</v>
      </c>
      <c r="J5" s="359">
        <v>244107</v>
      </c>
      <c r="K5" s="359">
        <f>J5/H5</f>
        <v>1.0285714285714285</v>
      </c>
    </row>
    <row r="6" spans="2:11" s="359" customFormat="1" x14ac:dyDescent="0.25">
      <c r="B6" s="480"/>
      <c r="C6" s="507"/>
      <c r="D6" s="508"/>
      <c r="E6" s="589"/>
      <c r="F6" s="589"/>
      <c r="G6" s="509"/>
      <c r="H6" s="493"/>
      <c r="I6" s="359">
        <f>I5/2</f>
        <v>0.4375</v>
      </c>
    </row>
    <row r="7" spans="2:11" s="365" customFormat="1" x14ac:dyDescent="0.25">
      <c r="B7" s="480"/>
      <c r="C7" s="507"/>
      <c r="D7" s="510"/>
      <c r="E7" s="585" t="str">
        <f>H4</f>
        <v>ÁREA DE CAPINA (M2)</v>
      </c>
      <c r="F7" s="585"/>
      <c r="G7" s="511"/>
      <c r="H7" s="512">
        <f>SUM(H5:H6)</f>
        <v>237326.25</v>
      </c>
    </row>
    <row r="8" spans="2:11" s="359" customFormat="1" x14ac:dyDescent="0.25">
      <c r="B8" s="584"/>
      <c r="C8" s="584"/>
      <c r="D8" s="584"/>
      <c r="E8" s="584"/>
      <c r="F8" s="584"/>
      <c r="G8" s="513"/>
      <c r="H8" s="493"/>
    </row>
    <row r="9" spans="2:11" s="359" customFormat="1" x14ac:dyDescent="0.25">
      <c r="B9" s="584" t="s">
        <v>410</v>
      </c>
      <c r="C9" s="584"/>
      <c r="D9" s="584"/>
      <c r="E9" s="584"/>
      <c r="F9" s="584"/>
      <c r="G9" s="513"/>
      <c r="H9" s="493">
        <v>25.25</v>
      </c>
    </row>
    <row r="10" spans="2:11" s="359" customFormat="1" x14ac:dyDescent="0.25">
      <c r="B10" s="584" t="s">
        <v>591</v>
      </c>
      <c r="C10" s="584"/>
      <c r="D10" s="584"/>
      <c r="E10" s="584"/>
      <c r="F10" s="584"/>
      <c r="G10" s="513"/>
      <c r="H10" s="493">
        <v>6</v>
      </c>
    </row>
    <row r="11" spans="2:11" s="359" customFormat="1" x14ac:dyDescent="0.25">
      <c r="B11" s="584" t="s">
        <v>593</v>
      </c>
      <c r="C11" s="584"/>
      <c r="D11" s="584"/>
      <c r="E11" s="584"/>
      <c r="F11" s="584"/>
      <c r="G11" s="513"/>
      <c r="H11" s="493">
        <f>H7*H10/12</f>
        <v>118663.125</v>
      </c>
    </row>
    <row r="12" spans="2:11" s="359" customFormat="1" x14ac:dyDescent="0.25">
      <c r="B12" s="584" t="s">
        <v>594</v>
      </c>
      <c r="C12" s="584"/>
      <c r="D12" s="584"/>
      <c r="E12" s="584"/>
      <c r="F12" s="584"/>
      <c r="G12" s="513"/>
      <c r="H12" s="493">
        <f>H11/25.25</f>
        <v>4699.529702970297</v>
      </c>
    </row>
    <row r="13" spans="2:11" s="359" customFormat="1" x14ac:dyDescent="0.25">
      <c r="B13" s="584" t="s">
        <v>595</v>
      </c>
      <c r="C13" s="584"/>
      <c r="D13" s="584"/>
      <c r="E13" s="584"/>
      <c r="F13" s="584"/>
      <c r="G13" s="513"/>
      <c r="H13" s="493">
        <v>150</v>
      </c>
    </row>
    <row r="14" spans="2:11" s="359" customFormat="1" x14ac:dyDescent="0.25">
      <c r="B14" s="584"/>
      <c r="C14" s="584"/>
      <c r="D14" s="584"/>
      <c r="E14" s="584"/>
      <c r="F14" s="584"/>
      <c r="G14" s="513"/>
      <c r="H14" s="493"/>
    </row>
    <row r="15" spans="2:11" s="359" customFormat="1" x14ac:dyDescent="0.25">
      <c r="B15" s="584" t="s">
        <v>596</v>
      </c>
      <c r="C15" s="584"/>
      <c r="D15" s="584"/>
      <c r="E15" s="584"/>
      <c r="F15" s="584"/>
      <c r="G15" s="513"/>
      <c r="H15" s="493">
        <f>H12/H13</f>
        <v>31.33019801980198</v>
      </c>
    </row>
    <row r="16" spans="2:11" s="359" customFormat="1" x14ac:dyDescent="0.25">
      <c r="B16" s="590" t="s">
        <v>597</v>
      </c>
      <c r="C16" s="590"/>
      <c r="D16" s="590"/>
      <c r="E16" s="590"/>
      <c r="F16" s="590"/>
      <c r="G16" s="514"/>
      <c r="H16" s="515">
        <f>_xlfn.CEILING.MATH(H15,1)</f>
        <v>32</v>
      </c>
    </row>
    <row r="17" spans="2:8" s="359" customFormat="1" x14ac:dyDescent="0.25">
      <c r="B17" s="584"/>
      <c r="C17" s="584"/>
      <c r="D17" s="584"/>
      <c r="E17" s="584"/>
      <c r="F17" s="584"/>
      <c r="G17" s="513"/>
      <c r="H17" s="516"/>
    </row>
    <row r="18" spans="2:8" x14ac:dyDescent="0.25">
      <c r="B18" s="590" t="s">
        <v>598</v>
      </c>
      <c r="C18" s="590"/>
      <c r="D18" s="590"/>
      <c r="E18" s="590"/>
      <c r="F18" s="590"/>
      <c r="G18" s="514"/>
      <c r="H18" s="515">
        <f>ROUND(H16/10,0)</f>
        <v>3</v>
      </c>
    </row>
    <row r="20" spans="2:8" x14ac:dyDescent="0.25">
      <c r="C20" s="520" t="s">
        <v>99</v>
      </c>
      <c r="D20" s="520"/>
      <c r="E20" s="520"/>
    </row>
    <row r="21" spans="2:8" x14ac:dyDescent="0.25">
      <c r="C21" s="358" t="s">
        <v>113</v>
      </c>
      <c r="E21" s="358">
        <v>2</v>
      </c>
    </row>
    <row r="22" spans="2:8" x14ac:dyDescent="0.25">
      <c r="C22" s="358" t="s">
        <v>485</v>
      </c>
      <c r="E22" s="358">
        <v>2</v>
      </c>
    </row>
    <row r="24" spans="2:8" x14ac:dyDescent="0.25">
      <c r="C24" s="520" t="s">
        <v>95</v>
      </c>
      <c r="D24" s="520"/>
      <c r="E24" s="520"/>
    </row>
    <row r="25" spans="2:8" x14ac:dyDescent="0.25">
      <c r="C25" s="358" t="s">
        <v>468</v>
      </c>
      <c r="E25" s="519">
        <f>H18</f>
        <v>3</v>
      </c>
    </row>
    <row r="26" spans="2:8" x14ac:dyDescent="0.25">
      <c r="C26" s="358" t="s">
        <v>477</v>
      </c>
      <c r="E26" s="519">
        <f>H16</f>
        <v>32</v>
      </c>
    </row>
    <row r="27" spans="2:8" x14ac:dyDescent="0.25">
      <c r="C27" s="358" t="s">
        <v>472</v>
      </c>
      <c r="E27" s="358">
        <f>E22</f>
        <v>2</v>
      </c>
    </row>
    <row r="28" spans="2:8" x14ac:dyDescent="0.25">
      <c r="C28" s="358" t="s">
        <v>111</v>
      </c>
      <c r="E28" s="358">
        <f>E21</f>
        <v>2</v>
      </c>
    </row>
    <row r="29" spans="2:8" x14ac:dyDescent="0.25">
      <c r="C29" s="358" t="s">
        <v>471</v>
      </c>
      <c r="E29" s="358">
        <f>2*E22</f>
        <v>4</v>
      </c>
    </row>
  </sheetData>
  <mergeCells count="17">
    <mergeCell ref="B2:H2"/>
    <mergeCell ref="B3:H3"/>
    <mergeCell ref="E4:F4"/>
    <mergeCell ref="E7:F7"/>
    <mergeCell ref="B8:F8"/>
    <mergeCell ref="B17:F17"/>
    <mergeCell ref="B18:F18"/>
    <mergeCell ref="E5:F5"/>
    <mergeCell ref="E6:F6"/>
    <mergeCell ref="B10:F10"/>
    <mergeCell ref="B11:F11"/>
    <mergeCell ref="B9:F9"/>
    <mergeCell ref="B12:F12"/>
    <mergeCell ref="B13:F13"/>
    <mergeCell ref="B14:F14"/>
    <mergeCell ref="B15:F15"/>
    <mergeCell ref="B16:F16"/>
  </mergeCells>
  <pageMargins left="0.98425196850393704" right="0.59055118110236215" top="1.1811023622047243" bottom="0.59055118110236215" header="0.11811023622047244" footer="0.51181102362204722"/>
  <pageSetup paperSize="9" scale="59" fitToHeight="0" orientation="portrait" r:id="rId1"/>
  <headerFooter>
    <oddHeader>&amp;L&amp;G</oddHeader>
  </headerFooter>
  <legacyDrawingHF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39997558519241921"/>
    <pageSetUpPr fitToPage="1"/>
  </sheetPr>
  <dimension ref="A1:H39"/>
  <sheetViews>
    <sheetView view="pageLayout" zoomScaleNormal="89" zoomScaleSheetLayoutView="85" workbookViewId="0">
      <selection activeCell="D22" sqref="D22"/>
    </sheetView>
  </sheetViews>
  <sheetFormatPr defaultColWidth="9.140625" defaultRowHeight="13.5" x14ac:dyDescent="0.25"/>
  <cols>
    <col min="1" max="1" width="7.5703125" style="47" customWidth="1"/>
    <col min="2" max="2" width="63.140625" style="47" customWidth="1"/>
    <col min="3" max="3" width="17.28515625" style="47" customWidth="1"/>
    <col min="4" max="4" width="11.5703125" style="52" customWidth="1"/>
    <col min="5" max="5" width="19.28515625" style="47" customWidth="1"/>
    <col min="6" max="6" width="22.7109375" style="47" customWidth="1"/>
    <col min="7" max="7" width="3.28515625" style="47" customWidth="1"/>
    <col min="8" max="16384" width="9.140625" style="47"/>
  </cols>
  <sheetData>
    <row r="1" spans="1:8" ht="20.25" customHeight="1" x14ac:dyDescent="0.25">
      <c r="G1" s="179"/>
    </row>
    <row r="2" spans="1:8" x14ac:dyDescent="0.25">
      <c r="A2" s="89"/>
      <c r="B2" s="89"/>
      <c r="D2" s="47"/>
      <c r="G2" s="179"/>
    </row>
    <row r="3" spans="1:8" ht="22.15" customHeight="1" x14ac:dyDescent="0.25">
      <c r="A3" s="704" t="s">
        <v>105</v>
      </c>
      <c r="B3" s="704"/>
      <c r="C3" s="704"/>
      <c r="D3" s="704"/>
      <c r="E3" s="704"/>
      <c r="F3" s="704"/>
      <c r="G3" s="179"/>
    </row>
    <row r="4" spans="1:8" ht="11.25" customHeight="1" x14ac:dyDescent="0.25">
      <c r="A4" s="703" t="str">
        <f>'ORÇAMENTO GERAL'!B14</f>
        <v>Capina Eletrica</v>
      </c>
      <c r="B4" s="703"/>
      <c r="C4" s="703"/>
      <c r="D4" s="703"/>
      <c r="E4" s="703"/>
      <c r="F4" s="703"/>
    </row>
    <row r="5" spans="1:8" ht="15" customHeight="1" thickBot="1" x14ac:dyDescent="0.3">
      <c r="A5" s="179"/>
      <c r="B5" s="179"/>
      <c r="C5" s="179"/>
      <c r="D5" s="179"/>
      <c r="E5" s="90" t="s">
        <v>104</v>
      </c>
      <c r="F5" s="90" t="s">
        <v>498</v>
      </c>
      <c r="G5" s="51"/>
    </row>
    <row r="6" spans="1:8" ht="15.6" customHeight="1" thickBot="1" x14ac:dyDescent="0.3">
      <c r="A6" s="88" t="s">
        <v>54</v>
      </c>
      <c r="B6" s="87" t="s">
        <v>53</v>
      </c>
      <c r="C6" s="86" t="s">
        <v>102</v>
      </c>
      <c r="D6" s="85" t="s">
        <v>49</v>
      </c>
      <c r="E6" s="352" t="s">
        <v>101</v>
      </c>
      <c r="F6" s="353" t="s">
        <v>100</v>
      </c>
      <c r="G6" s="82"/>
    </row>
    <row r="7" spans="1:8" ht="16.149999999999999" customHeight="1" x14ac:dyDescent="0.25">
      <c r="A7" s="153">
        <v>1</v>
      </c>
      <c r="B7" s="152" t="s">
        <v>99</v>
      </c>
      <c r="C7" s="151"/>
      <c r="D7" s="150"/>
      <c r="E7" s="354"/>
      <c r="F7" s="355"/>
    </row>
    <row r="8" spans="1:8" x14ac:dyDescent="0.25">
      <c r="A8" s="59" t="s">
        <v>47</v>
      </c>
      <c r="B8" s="577" t="s">
        <v>6696</v>
      </c>
      <c r="C8" s="59" t="s">
        <v>85</v>
      </c>
      <c r="D8" s="176">
        <v>1</v>
      </c>
      <c r="E8" s="377" t="e">
        <f>'8.3 EQUIP VEICULOS'!C40</f>
        <v>#DIV/0!</v>
      </c>
      <c r="F8" s="356" t="e">
        <f>E8*D8</f>
        <v>#DIV/0!</v>
      </c>
    </row>
    <row r="9" spans="1:8" x14ac:dyDescent="0.25">
      <c r="A9" s="155"/>
      <c r="B9" s="580"/>
      <c r="C9" s="155"/>
      <c r="D9" s="82"/>
      <c r="E9" s="436"/>
      <c r="F9" s="436"/>
    </row>
    <row r="10" spans="1:8" x14ac:dyDescent="0.25">
      <c r="A10" s="146">
        <v>2</v>
      </c>
      <c r="B10" s="117" t="s">
        <v>112</v>
      </c>
      <c r="C10" s="116"/>
      <c r="D10" s="145"/>
      <c r="E10" s="382"/>
      <c r="F10" s="383"/>
    </row>
    <row r="11" spans="1:8" x14ac:dyDescent="0.25">
      <c r="A11" s="143" t="s">
        <v>17</v>
      </c>
      <c r="B11" s="98" t="s">
        <v>389</v>
      </c>
      <c r="C11" s="71" t="s">
        <v>94</v>
      </c>
      <c r="D11" s="141">
        <v>1</v>
      </c>
      <c r="E11" s="377" t="e">
        <f>'8.2 MAO DE OBRA '!F39</f>
        <v>#DIV/0!</v>
      </c>
      <c r="F11" s="378" t="e">
        <f>E11*D11</f>
        <v>#DIV/0!</v>
      </c>
    </row>
    <row r="12" spans="1:8" x14ac:dyDescent="0.25">
      <c r="A12" s="143" t="s">
        <v>15</v>
      </c>
      <c r="B12" s="98" t="s">
        <v>6697</v>
      </c>
      <c r="C12" s="71" t="s">
        <v>94</v>
      </c>
      <c r="D12" s="141">
        <v>1</v>
      </c>
      <c r="E12" s="377" t="e">
        <f>'8.2 MAO DE OBRA '!F76</f>
        <v>#DIV/0!</v>
      </c>
      <c r="F12" s="378" t="e">
        <f>E12*D12</f>
        <v>#DIV/0!</v>
      </c>
    </row>
    <row r="13" spans="1:8" ht="16.149999999999999" customHeight="1" x14ac:dyDescent="0.25">
      <c r="A13" s="143"/>
      <c r="B13" s="108"/>
      <c r="C13" s="111"/>
      <c r="D13" s="141"/>
      <c r="E13" s="380" t="s">
        <v>114</v>
      </c>
      <c r="F13" s="381" t="e">
        <f>SUM(F11:F12)</f>
        <v>#DIV/0!</v>
      </c>
      <c r="G13" s="82"/>
      <c r="H13" s="48"/>
    </row>
    <row r="14" spans="1:8" ht="16.149999999999999" customHeight="1" x14ac:dyDescent="0.25">
      <c r="A14" s="174"/>
      <c r="B14" s="163" t="s">
        <v>83</v>
      </c>
      <c r="C14" s="163"/>
      <c r="D14" s="163"/>
      <c r="E14" s="163"/>
      <c r="F14" s="173"/>
      <c r="G14" s="82"/>
    </row>
    <row r="15" spans="1:8" ht="16.149999999999999" customHeight="1" x14ac:dyDescent="0.25">
      <c r="A15" s="172"/>
      <c r="B15" s="167" t="s">
        <v>82</v>
      </c>
      <c r="C15" s="169" t="s">
        <v>81</v>
      </c>
      <c r="D15" s="167"/>
      <c r="E15" s="165"/>
      <c r="F15" s="66" t="e">
        <f>F13</f>
        <v>#DIV/0!</v>
      </c>
      <c r="G15" s="82"/>
    </row>
    <row r="16" spans="1:8" ht="16.149999999999999" customHeight="1" x14ac:dyDescent="0.25">
      <c r="A16" s="172"/>
      <c r="B16" s="171" t="s">
        <v>80</v>
      </c>
      <c r="C16" s="166" t="s">
        <v>490</v>
      </c>
      <c r="D16" s="170"/>
      <c r="E16" s="165"/>
      <c r="F16" s="64">
        <v>2000</v>
      </c>
      <c r="G16" s="82"/>
    </row>
    <row r="17" spans="1:7" ht="16.149999999999999" customHeight="1" x14ac:dyDescent="0.25">
      <c r="A17" s="168"/>
      <c r="B17" s="167" t="s">
        <v>78</v>
      </c>
      <c r="C17" s="169" t="s">
        <v>489</v>
      </c>
      <c r="D17" s="167"/>
      <c r="E17" s="165"/>
      <c r="F17" s="61" t="e">
        <f>F15/F16</f>
        <v>#DIV/0!</v>
      </c>
      <c r="G17" s="82"/>
    </row>
    <row r="18" spans="1:7" ht="16.149999999999999" customHeight="1" x14ac:dyDescent="0.25">
      <c r="A18" s="168"/>
      <c r="B18" s="167" t="s">
        <v>77</v>
      </c>
      <c r="C18" s="166" t="s">
        <v>76</v>
      </c>
      <c r="D18" s="58">
        <f>'BDI '!$C$22</f>
        <v>5.2600000000000001E-2</v>
      </c>
      <c r="E18" s="165"/>
      <c r="F18" s="56" t="e">
        <f>F17*D18</f>
        <v>#DIV/0!</v>
      </c>
      <c r="G18" s="82"/>
    </row>
    <row r="19" spans="1:7" x14ac:dyDescent="0.25">
      <c r="A19" s="163"/>
      <c r="B19" s="163" t="s">
        <v>75</v>
      </c>
      <c r="C19" s="164" t="s">
        <v>489</v>
      </c>
      <c r="D19" s="163"/>
      <c r="E19" s="163"/>
      <c r="F19" s="162" t="e">
        <f>ROUND(F18+F17,2)</f>
        <v>#DIV/0!</v>
      </c>
      <c r="G19" s="82"/>
    </row>
    <row r="20" spans="1:7" ht="19.149999999999999" customHeight="1" x14ac:dyDescent="0.25">
      <c r="E20" s="89"/>
      <c r="F20" s="161"/>
      <c r="G20" s="82"/>
    </row>
    <row r="21" spans="1:7" x14ac:dyDescent="0.25">
      <c r="G21" s="159"/>
    </row>
    <row r="22" spans="1:7" x14ac:dyDescent="0.25">
      <c r="G22" s="159"/>
    </row>
    <row r="23" spans="1:7" x14ac:dyDescent="0.25">
      <c r="G23" s="159"/>
    </row>
    <row r="24" spans="1:7" x14ac:dyDescent="0.25">
      <c r="G24" s="159"/>
    </row>
    <row r="25" spans="1:7" x14ac:dyDescent="0.25">
      <c r="G25" s="51"/>
    </row>
    <row r="26" spans="1:7" x14ac:dyDescent="0.25">
      <c r="G26" s="160"/>
    </row>
    <row r="27" spans="1:7" x14ac:dyDescent="0.25">
      <c r="G27" s="51"/>
    </row>
    <row r="28" spans="1:7" x14ac:dyDescent="0.25">
      <c r="G28" s="82"/>
    </row>
    <row r="29" spans="1:7" x14ac:dyDescent="0.25">
      <c r="G29" s="82"/>
    </row>
    <row r="30" spans="1:7" x14ac:dyDescent="0.25">
      <c r="G30" s="82"/>
    </row>
    <row r="31" spans="1:7" x14ac:dyDescent="0.25">
      <c r="G31" s="159"/>
    </row>
    <row r="32" spans="1:7" x14ac:dyDescent="0.25">
      <c r="G32" s="159"/>
    </row>
    <row r="33" spans="7:7" x14ac:dyDescent="0.25">
      <c r="G33" s="158"/>
    </row>
    <row r="34" spans="7:7" x14ac:dyDescent="0.25">
      <c r="G34" s="157"/>
    </row>
    <row r="35" spans="7:7" x14ac:dyDescent="0.25">
      <c r="G35" s="156"/>
    </row>
    <row r="36" spans="7:7" x14ac:dyDescent="0.25">
      <c r="G36" s="155"/>
    </row>
    <row r="37" spans="7:7" x14ac:dyDescent="0.25">
      <c r="G37" s="154"/>
    </row>
    <row r="38" spans="7:7" x14ac:dyDescent="0.25">
      <c r="G38" s="155"/>
    </row>
    <row r="39" spans="7:7" x14ac:dyDescent="0.25">
      <c r="G39" s="154"/>
    </row>
  </sheetData>
  <sheetProtection selectLockedCells="1" selectUnlockedCells="1"/>
  <mergeCells count="2">
    <mergeCell ref="A3:F3"/>
    <mergeCell ref="A4:F4"/>
  </mergeCells>
  <phoneticPr fontId="10" type="noConversion"/>
  <pageMargins left="0.98425196850393704" right="0.59055118110236215" top="1.1811023622047243" bottom="0.59055118110236215" header="0.11811023622047244" footer="0.51181102362204722"/>
  <pageSetup paperSize="9" scale="61" firstPageNumber="0" fitToHeight="0" orientation="portrait" horizontalDpi="300" verticalDpi="300" r:id="rId1"/>
  <headerFooter alignWithMargins="0">
    <oddHeader>&amp;L&amp;G</oddHeader>
  </headerFooter>
  <legacyDrawingHF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39997558519241921"/>
    <pageSetUpPr fitToPage="1"/>
  </sheetPr>
  <dimension ref="B1:F76"/>
  <sheetViews>
    <sheetView view="pageBreakPreview" zoomScale="85" zoomScaleNormal="100" zoomScaleSheetLayoutView="85" workbookViewId="0">
      <selection activeCell="C61" sqref="C61"/>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7" spans="2:6" x14ac:dyDescent="0.25">
      <c r="B7" s="313" t="s">
        <v>54</v>
      </c>
      <c r="C7" s="313" t="s">
        <v>53</v>
      </c>
      <c r="D7" s="714" t="s">
        <v>402</v>
      </c>
      <c r="E7" s="714"/>
      <c r="F7" s="714"/>
    </row>
    <row r="8" spans="2:6" x14ac:dyDescent="0.25">
      <c r="B8" s="315"/>
      <c r="C8" s="315"/>
      <c r="D8" s="713"/>
      <c r="E8" s="713"/>
      <c r="F8" s="713"/>
    </row>
    <row r="9" spans="2:6" x14ac:dyDescent="0.25">
      <c r="B9" s="317" t="s">
        <v>52</v>
      </c>
      <c r="C9" s="337" t="s">
        <v>51</v>
      </c>
      <c r="D9" s="319" t="s">
        <v>50</v>
      </c>
      <c r="E9" s="319" t="s">
        <v>49</v>
      </c>
      <c r="F9" s="319" t="s">
        <v>48</v>
      </c>
    </row>
    <row r="10" spans="2:6" x14ac:dyDescent="0.25">
      <c r="B10" s="317" t="s">
        <v>47</v>
      </c>
      <c r="C10" s="337" t="s">
        <v>46</v>
      </c>
      <c r="D10" s="319"/>
      <c r="E10" s="319"/>
      <c r="F10" s="319"/>
    </row>
    <row r="11" spans="2:6" x14ac:dyDescent="0.25">
      <c r="B11" s="320" t="s">
        <v>45</v>
      </c>
      <c r="C11" s="338" t="s">
        <v>44</v>
      </c>
      <c r="D11" s="339">
        <f>'1.1 SALÁRIOS'!F26</f>
        <v>0</v>
      </c>
      <c r="E11" s="322">
        <v>1</v>
      </c>
      <c r="F11" s="322">
        <f>E11*D11</f>
        <v>0</v>
      </c>
    </row>
    <row r="12" spans="2:6" x14ac:dyDescent="0.25">
      <c r="B12" s="320" t="s">
        <v>43</v>
      </c>
      <c r="C12" s="338" t="s">
        <v>42</v>
      </c>
      <c r="D12" s="11">
        <f>'1.1 SALÁRIOS'!$F$23</f>
        <v>0</v>
      </c>
      <c r="E12" s="34">
        <v>0</v>
      </c>
      <c r="F12" s="11">
        <f>E12*D12</f>
        <v>0</v>
      </c>
    </row>
    <row r="13" spans="2:6" x14ac:dyDescent="0.25">
      <c r="B13" s="320" t="s">
        <v>41</v>
      </c>
      <c r="C13" s="338" t="s">
        <v>56</v>
      </c>
      <c r="D13" s="322"/>
      <c r="E13" s="322"/>
      <c r="F13" s="322"/>
    </row>
    <row r="14" spans="2:6" x14ac:dyDescent="0.25">
      <c r="B14" s="320" t="s">
        <v>39</v>
      </c>
      <c r="C14" s="338" t="s">
        <v>38</v>
      </c>
      <c r="D14" s="322"/>
      <c r="E14" s="322"/>
      <c r="F14" s="322"/>
    </row>
    <row r="15" spans="2:6" x14ac:dyDescent="0.25">
      <c r="B15" s="320" t="s">
        <v>37</v>
      </c>
      <c r="C15" s="338" t="s">
        <v>36</v>
      </c>
      <c r="D15" s="322"/>
      <c r="E15" s="322"/>
      <c r="F15" s="322"/>
    </row>
    <row r="16" spans="2:6" x14ac:dyDescent="0.25">
      <c r="B16" s="320" t="s">
        <v>35</v>
      </c>
      <c r="C16" s="338" t="s">
        <v>34</v>
      </c>
      <c r="D16" s="322"/>
      <c r="E16" s="322"/>
      <c r="F16" s="322"/>
    </row>
    <row r="17" spans="2:6" x14ac:dyDescent="0.25">
      <c r="B17" s="320" t="s">
        <v>33</v>
      </c>
      <c r="C17" s="337" t="s">
        <v>32</v>
      </c>
      <c r="D17" s="322"/>
      <c r="E17" s="322"/>
      <c r="F17" s="323">
        <f>SUM(F11:F16)</f>
        <v>0</v>
      </c>
    </row>
    <row r="18" spans="2:6" x14ac:dyDescent="0.25">
      <c r="B18" s="317" t="s">
        <v>31</v>
      </c>
      <c r="C18" s="324" t="s">
        <v>30</v>
      </c>
      <c r="D18" s="322">
        <f>F17</f>
        <v>0</v>
      </c>
      <c r="E18" s="14">
        <f>'1.1 SALÁRIOS'!$F$33</f>
        <v>0</v>
      </c>
      <c r="F18" s="323">
        <f>E18*D18</f>
        <v>0</v>
      </c>
    </row>
    <row r="19" spans="2:6" x14ac:dyDescent="0.25">
      <c r="B19" s="317" t="s">
        <v>29</v>
      </c>
      <c r="C19" s="324" t="s">
        <v>28</v>
      </c>
      <c r="D19" s="322"/>
      <c r="E19" s="322"/>
      <c r="F19" s="323">
        <f>SUM(F17:F18)</f>
        <v>0</v>
      </c>
    </row>
    <row r="20" spans="2:6" x14ac:dyDescent="0.25">
      <c r="B20" s="317" t="s">
        <v>27</v>
      </c>
      <c r="C20" s="324" t="s">
        <v>26</v>
      </c>
      <c r="D20" s="322"/>
      <c r="E20" s="322"/>
      <c r="F20" s="322"/>
    </row>
    <row r="21" spans="2:6" x14ac:dyDescent="0.25">
      <c r="B21" s="9" t="s">
        <v>25</v>
      </c>
      <c r="C21" s="15" t="s">
        <v>24</v>
      </c>
      <c r="D21" s="11">
        <f>'1.1 SALÁRIOS'!$F$35</f>
        <v>0</v>
      </c>
      <c r="E21" s="11">
        <v>25.25</v>
      </c>
      <c r="F21" s="11">
        <f>IF(2*E21*D21-0.06*D11&lt;0,0,2*E21*D21-0.06*D11)</f>
        <v>0</v>
      </c>
    </row>
    <row r="22" spans="2:6" x14ac:dyDescent="0.25">
      <c r="B22" s="9" t="s">
        <v>23</v>
      </c>
      <c r="C22" s="15" t="s">
        <v>369</v>
      </c>
      <c r="D22" s="11">
        <f>('1.1 SALÁRIOS'!$F$36+'1.1 SALÁRIOS'!$F$37)/12</f>
        <v>0</v>
      </c>
      <c r="E22" s="11">
        <v>1</v>
      </c>
      <c r="F22" s="11">
        <f>E22*D22</f>
        <v>0</v>
      </c>
    </row>
    <row r="23" spans="2:6" x14ac:dyDescent="0.25">
      <c r="B23" s="9" t="s">
        <v>22</v>
      </c>
      <c r="C23" s="15" t="s">
        <v>370</v>
      </c>
      <c r="D23" s="11">
        <f>'1.1 SALÁRIOS'!$F$38</f>
        <v>0</v>
      </c>
      <c r="E23" s="11">
        <f>E21</f>
        <v>25.25</v>
      </c>
      <c r="F23" s="11">
        <f>E23*D23</f>
        <v>0</v>
      </c>
    </row>
    <row r="24" spans="2:6" x14ac:dyDescent="0.25">
      <c r="B24" s="9" t="s">
        <v>21</v>
      </c>
      <c r="C24" s="15" t="s">
        <v>371</v>
      </c>
      <c r="D24" s="11">
        <f>'1.1 SALÁRIOS'!$F$39</f>
        <v>0</v>
      </c>
      <c r="E24" s="11">
        <v>1</v>
      </c>
      <c r="F24" s="11">
        <f>E24*D24</f>
        <v>0</v>
      </c>
    </row>
    <row r="25" spans="2:6" x14ac:dyDescent="0.25">
      <c r="B25" s="9" t="s">
        <v>374</v>
      </c>
      <c r="C25" s="15" t="s">
        <v>372</v>
      </c>
      <c r="D25" s="11">
        <f>'1.1 SALÁRIOS'!$F$40</f>
        <v>0</v>
      </c>
      <c r="E25" s="11">
        <v>1</v>
      </c>
      <c r="F25" s="11">
        <f>E25*D25</f>
        <v>0</v>
      </c>
    </row>
    <row r="26" spans="2:6" x14ac:dyDescent="0.25">
      <c r="B26" s="9" t="s">
        <v>375</v>
      </c>
      <c r="C26" s="15" t="s">
        <v>373</v>
      </c>
      <c r="D26" s="11">
        <f>'1.1 SALÁRIOS'!$F$41</f>
        <v>0</v>
      </c>
      <c r="E26" s="11">
        <v>1</v>
      </c>
      <c r="F26" s="11">
        <f>E26*D26</f>
        <v>0</v>
      </c>
    </row>
    <row r="27" spans="2:6" x14ac:dyDescent="0.25">
      <c r="B27" s="320" t="s">
        <v>57</v>
      </c>
      <c r="C27" s="324" t="s">
        <v>20</v>
      </c>
      <c r="D27" s="323"/>
      <c r="E27" s="323"/>
      <c r="F27" s="323">
        <f>SUM(F21:F26)</f>
        <v>0</v>
      </c>
    </row>
    <row r="28" spans="2:6" x14ac:dyDescent="0.25">
      <c r="B28" s="317" t="s">
        <v>19</v>
      </c>
      <c r="C28" s="324" t="s">
        <v>18</v>
      </c>
      <c r="D28" s="322"/>
      <c r="E28" s="322"/>
      <c r="F28" s="322"/>
    </row>
    <row r="29" spans="2:6" x14ac:dyDescent="0.25">
      <c r="B29" s="320" t="s">
        <v>17</v>
      </c>
      <c r="C29" s="340" t="s">
        <v>16</v>
      </c>
      <c r="D29" s="11" t="e">
        <f>VLOOKUP(C29,'1.1 CUSTO FERRAME-UNIFORME-EPI'!B:C,2,FALSE)</f>
        <v>#DIV/0!</v>
      </c>
      <c r="E29" s="328">
        <v>0.17</v>
      </c>
      <c r="F29" s="322" t="e">
        <f t="shared" ref="F29:F36" si="0">E29*D29</f>
        <v>#DIV/0!</v>
      </c>
    </row>
    <row r="30" spans="2:6" x14ac:dyDescent="0.25">
      <c r="B30" s="320" t="s">
        <v>15</v>
      </c>
      <c r="C30" s="340" t="s">
        <v>14</v>
      </c>
      <c r="D30" s="11" t="e">
        <f>VLOOKUP(C30,'1.1 CUSTO FERRAME-UNIFORME-EPI'!B:C,2,FALSE)</f>
        <v>#DIV/0!</v>
      </c>
      <c r="E30" s="328">
        <v>0.33</v>
      </c>
      <c r="F30" s="322" t="e">
        <f t="shared" si="0"/>
        <v>#DIV/0!</v>
      </c>
    </row>
    <row r="31" spans="2:6" x14ac:dyDescent="0.25">
      <c r="B31" s="320" t="s">
        <v>13</v>
      </c>
      <c r="C31" s="340" t="s">
        <v>12</v>
      </c>
      <c r="D31" s="11" t="e">
        <f>VLOOKUP(C31,'1.1 CUSTO FERRAME-UNIFORME-EPI'!B:C,2,FALSE)</f>
        <v>#DIV/0!</v>
      </c>
      <c r="E31" s="328">
        <v>0.33</v>
      </c>
      <c r="F31" s="322" t="e">
        <f t="shared" si="0"/>
        <v>#DIV/0!</v>
      </c>
    </row>
    <row r="32" spans="2:6" x14ac:dyDescent="0.25">
      <c r="B32" s="320" t="s">
        <v>11</v>
      </c>
      <c r="C32" s="340" t="s">
        <v>10</v>
      </c>
      <c r="D32" s="11">
        <f>VLOOKUP(C32,'1.1 CUSTO FERRAME-UNIFORME-EPI'!B:C,2,FALSE)</f>
        <v>0</v>
      </c>
      <c r="E32" s="328">
        <v>0.17</v>
      </c>
      <c r="F32" s="322">
        <f t="shared" si="0"/>
        <v>0</v>
      </c>
    </row>
    <row r="33" spans="2:6" x14ac:dyDescent="0.25">
      <c r="B33" s="320" t="s">
        <v>9</v>
      </c>
      <c r="C33" s="340" t="s">
        <v>8</v>
      </c>
      <c r="D33" s="11">
        <f>VLOOKUP(C33,'1.1 CUSTO FERRAME-UNIFORME-EPI'!B:C,2,FALSE)</f>
        <v>0</v>
      </c>
      <c r="E33" s="328">
        <v>0.17</v>
      </c>
      <c r="F33" s="322">
        <f t="shared" si="0"/>
        <v>0</v>
      </c>
    </row>
    <row r="34" spans="2:6" x14ac:dyDescent="0.25">
      <c r="B34" s="320" t="s">
        <v>7</v>
      </c>
      <c r="C34" s="340" t="s">
        <v>6</v>
      </c>
      <c r="D34" s="11">
        <f>VLOOKUP(C34,'1.1 CUSTO FERRAME-UNIFORME-EPI'!B:C,2,FALSE)</f>
        <v>0</v>
      </c>
      <c r="E34" s="328">
        <v>0.3</v>
      </c>
      <c r="F34" s="322">
        <f t="shared" si="0"/>
        <v>0</v>
      </c>
    </row>
    <row r="35" spans="2:6" x14ac:dyDescent="0.25">
      <c r="B35" s="320" t="s">
        <v>5</v>
      </c>
      <c r="C35" s="340" t="s">
        <v>4</v>
      </c>
      <c r="D35" s="11" t="e">
        <f>VLOOKUP(C35,'1.1 CUSTO FERRAME-UNIFORME-EPI'!B:C,2,FALSE)</f>
        <v>#DIV/0!</v>
      </c>
      <c r="E35" s="328">
        <v>0</v>
      </c>
      <c r="F35" s="322" t="e">
        <f t="shared" si="0"/>
        <v>#DIV/0!</v>
      </c>
    </row>
    <row r="36" spans="2:6" x14ac:dyDescent="0.25">
      <c r="B36" s="320" t="s">
        <v>3</v>
      </c>
      <c r="C36" s="326" t="s">
        <v>202</v>
      </c>
      <c r="D36" s="11" t="e">
        <f>VLOOKUP(C36,'1.1 CUSTO FERRAME-UNIFORME-EPI'!B:C,2,FALSE)</f>
        <v>#DIV/0!</v>
      </c>
      <c r="E36" s="329">
        <v>0.08</v>
      </c>
      <c r="F36" s="322" t="e">
        <f t="shared" si="0"/>
        <v>#DIV/0!</v>
      </c>
    </row>
    <row r="37" spans="2:6" x14ac:dyDescent="0.25">
      <c r="B37" s="320"/>
      <c r="C37" s="341" t="s">
        <v>2</v>
      </c>
      <c r="D37" s="330"/>
      <c r="E37" s="330"/>
      <c r="F37" s="331" t="e">
        <f>SUM(F29:F36)</f>
        <v>#DIV/0!</v>
      </c>
    </row>
    <row r="38" spans="2:6" x14ac:dyDescent="0.25">
      <c r="B38" s="342"/>
      <c r="C38" s="343"/>
      <c r="D38" s="344"/>
      <c r="E38" s="344"/>
      <c r="F38" s="345"/>
    </row>
    <row r="39" spans="2:6" x14ac:dyDescent="0.25">
      <c r="B39" s="333" t="s">
        <v>1</v>
      </c>
      <c r="C39" s="346" t="s">
        <v>0</v>
      </c>
      <c r="D39" s="335"/>
      <c r="E39" s="335"/>
      <c r="F39" s="336" t="e">
        <f>SUM(F37,F27,F19)</f>
        <v>#DIV/0!</v>
      </c>
    </row>
    <row r="42" spans="2:6" x14ac:dyDescent="0.25">
      <c r="B42" s="313" t="s">
        <v>54</v>
      </c>
      <c r="C42" s="313" t="s">
        <v>53</v>
      </c>
      <c r="D42" s="743" t="s">
        <v>403</v>
      </c>
      <c r="E42" s="744"/>
      <c r="F42" s="745"/>
    </row>
    <row r="43" spans="2:6" x14ac:dyDescent="0.25">
      <c r="B43" s="315"/>
      <c r="C43" s="315"/>
      <c r="D43" s="740"/>
      <c r="E43" s="741"/>
      <c r="F43" s="742"/>
    </row>
    <row r="44" spans="2:6" x14ac:dyDescent="0.25">
      <c r="B44" s="317" t="s">
        <v>52</v>
      </c>
      <c r="C44" s="337" t="s">
        <v>51</v>
      </c>
      <c r="D44" s="319" t="s">
        <v>50</v>
      </c>
      <c r="E44" s="319" t="s">
        <v>49</v>
      </c>
      <c r="F44" s="319" t="s">
        <v>48</v>
      </c>
    </row>
    <row r="45" spans="2:6" x14ac:dyDescent="0.25">
      <c r="B45" s="317" t="s">
        <v>47</v>
      </c>
      <c r="C45" s="337" t="s">
        <v>46</v>
      </c>
      <c r="D45" s="319"/>
      <c r="E45" s="319"/>
      <c r="F45" s="319"/>
    </row>
    <row r="46" spans="2:6" x14ac:dyDescent="0.25">
      <c r="B46" s="320" t="s">
        <v>45</v>
      </c>
      <c r="C46" s="338" t="s">
        <v>44</v>
      </c>
      <c r="D46" s="339">
        <f>'1.1 SALÁRIOS'!F7</f>
        <v>0</v>
      </c>
      <c r="E46" s="322">
        <v>1</v>
      </c>
      <c r="F46" s="322">
        <f>E46*D46</f>
        <v>0</v>
      </c>
    </row>
    <row r="47" spans="2:6" x14ac:dyDescent="0.25">
      <c r="B47" s="320" t="s">
        <v>43</v>
      </c>
      <c r="C47" s="338" t="s">
        <v>42</v>
      </c>
      <c r="D47" s="11">
        <f>'1.1 SALÁRIOS'!$F$23</f>
        <v>0</v>
      </c>
      <c r="E47" s="34">
        <v>0.2</v>
      </c>
      <c r="F47" s="11">
        <f>E47*D47</f>
        <v>0</v>
      </c>
    </row>
    <row r="48" spans="2:6" x14ac:dyDescent="0.25">
      <c r="B48" s="320" t="s">
        <v>41</v>
      </c>
      <c r="C48" s="338" t="s">
        <v>56</v>
      </c>
      <c r="D48" s="322"/>
      <c r="E48" s="322"/>
      <c r="F48" s="322"/>
    </row>
    <row r="49" spans="2:6" x14ac:dyDescent="0.25">
      <c r="B49" s="320" t="s">
        <v>39</v>
      </c>
      <c r="C49" s="338" t="s">
        <v>38</v>
      </c>
      <c r="D49" s="322"/>
      <c r="E49" s="322"/>
      <c r="F49" s="322"/>
    </row>
    <row r="50" spans="2:6" x14ac:dyDescent="0.25">
      <c r="B50" s="320" t="s">
        <v>37</v>
      </c>
      <c r="C50" s="338" t="s">
        <v>36</v>
      </c>
      <c r="D50" s="322"/>
      <c r="E50" s="322"/>
      <c r="F50" s="322"/>
    </row>
    <row r="51" spans="2:6" x14ac:dyDescent="0.25">
      <c r="B51" s="320" t="s">
        <v>35</v>
      </c>
      <c r="C51" s="338" t="s">
        <v>34</v>
      </c>
      <c r="D51" s="322"/>
      <c r="E51" s="322"/>
      <c r="F51" s="322"/>
    </row>
    <row r="52" spans="2:6" x14ac:dyDescent="0.25">
      <c r="B52" s="320"/>
      <c r="C52" s="337" t="s">
        <v>32</v>
      </c>
      <c r="D52" s="322"/>
      <c r="E52" s="322"/>
      <c r="F52" s="323">
        <f>SUM(F46:F51)</f>
        <v>0</v>
      </c>
    </row>
    <row r="53" spans="2:6" x14ac:dyDescent="0.25">
      <c r="B53" s="317" t="s">
        <v>31</v>
      </c>
      <c r="C53" s="347" t="s">
        <v>30</v>
      </c>
      <c r="D53" s="348">
        <f>F52</f>
        <v>0</v>
      </c>
      <c r="E53" s="14">
        <f>'1.1 SALÁRIOS'!$F$33</f>
        <v>0</v>
      </c>
      <c r="F53" s="322">
        <f>E53*D53</f>
        <v>0</v>
      </c>
    </row>
    <row r="54" spans="2:6" x14ac:dyDescent="0.25">
      <c r="B54" s="317" t="s">
        <v>29</v>
      </c>
      <c r="C54" s="324" t="s">
        <v>28</v>
      </c>
      <c r="D54" s="322"/>
      <c r="E54" s="322"/>
      <c r="F54" s="323">
        <f>SUM(F52:F53)</f>
        <v>0</v>
      </c>
    </row>
    <row r="55" spans="2:6" x14ac:dyDescent="0.25">
      <c r="B55" s="317" t="s">
        <v>27</v>
      </c>
      <c r="C55" s="324" t="s">
        <v>26</v>
      </c>
      <c r="D55" s="322"/>
      <c r="E55" s="322"/>
      <c r="F55" s="322"/>
    </row>
    <row r="56" spans="2:6" x14ac:dyDescent="0.25">
      <c r="B56" s="9" t="s">
        <v>25</v>
      </c>
      <c r="C56" s="15" t="s">
        <v>24</v>
      </c>
      <c r="D56" s="11">
        <f>'1.1 SALÁRIOS'!$F$35</f>
        <v>0</v>
      </c>
      <c r="E56" s="11">
        <v>25.25</v>
      </c>
      <c r="F56" s="11">
        <f>IF(2*E56*D56-0.06*D46&lt;0,0,2*E56*D56-0.06*D46)</f>
        <v>0</v>
      </c>
    </row>
    <row r="57" spans="2:6" x14ac:dyDescent="0.25">
      <c r="B57" s="9" t="s">
        <v>23</v>
      </c>
      <c r="C57" s="15" t="s">
        <v>369</v>
      </c>
      <c r="D57" s="11">
        <f>('1.1 SALÁRIOS'!$F$36+'1.1 SALÁRIOS'!$F$37)/12</f>
        <v>0</v>
      </c>
      <c r="E57" s="11">
        <v>1</v>
      </c>
      <c r="F57" s="11">
        <f>E57*D57</f>
        <v>0</v>
      </c>
    </row>
    <row r="58" spans="2:6" x14ac:dyDescent="0.25">
      <c r="B58" s="9" t="s">
        <v>22</v>
      </c>
      <c r="C58" s="15" t="s">
        <v>370</v>
      </c>
      <c r="D58" s="11">
        <f>'1.1 SALÁRIOS'!$F$38</f>
        <v>0</v>
      </c>
      <c r="E58" s="11">
        <f>E56</f>
        <v>25.25</v>
      </c>
      <c r="F58" s="11">
        <f>E58*D58</f>
        <v>0</v>
      </c>
    </row>
    <row r="59" spans="2:6" x14ac:dyDescent="0.25">
      <c r="B59" s="9" t="s">
        <v>21</v>
      </c>
      <c r="C59" s="15" t="s">
        <v>371</v>
      </c>
      <c r="D59" s="11">
        <f>'1.1 SALÁRIOS'!$F$39</f>
        <v>0</v>
      </c>
      <c r="E59" s="11">
        <v>1</v>
      </c>
      <c r="F59" s="11">
        <f>E59*D59</f>
        <v>0</v>
      </c>
    </row>
    <row r="60" spans="2:6" x14ac:dyDescent="0.25">
      <c r="B60" s="9" t="s">
        <v>374</v>
      </c>
      <c r="C60" s="15" t="s">
        <v>372</v>
      </c>
      <c r="D60" s="11">
        <f>'1.1 SALÁRIOS'!$F$40</f>
        <v>0</v>
      </c>
      <c r="E60" s="11">
        <v>1</v>
      </c>
      <c r="F60" s="11">
        <f>E60*D60</f>
        <v>0</v>
      </c>
    </row>
    <row r="61" spans="2:6" x14ac:dyDescent="0.25">
      <c r="B61" s="9" t="s">
        <v>375</v>
      </c>
      <c r="C61" s="15" t="s">
        <v>373</v>
      </c>
      <c r="D61" s="11">
        <f>'1.1 SALÁRIOS'!$F$41</f>
        <v>0</v>
      </c>
      <c r="E61" s="11">
        <v>1</v>
      </c>
      <c r="F61" s="11">
        <f>E61*D61</f>
        <v>0</v>
      </c>
    </row>
    <row r="62" spans="2:6" x14ac:dyDescent="0.25">
      <c r="B62" s="320"/>
      <c r="C62" s="324" t="s">
        <v>20</v>
      </c>
      <c r="D62" s="323"/>
      <c r="E62" s="323"/>
      <c r="F62" s="323">
        <f>SUM(F56:F61)</f>
        <v>0</v>
      </c>
    </row>
    <row r="63" spans="2:6" x14ac:dyDescent="0.25">
      <c r="B63" s="317" t="s">
        <v>19</v>
      </c>
      <c r="C63" s="324" t="s">
        <v>18</v>
      </c>
      <c r="D63" s="322"/>
      <c r="E63" s="322"/>
      <c r="F63" s="322"/>
    </row>
    <row r="64" spans="2:6" x14ac:dyDescent="0.25">
      <c r="B64" s="320" t="s">
        <v>17</v>
      </c>
      <c r="C64" s="340" t="s">
        <v>16</v>
      </c>
      <c r="D64" s="11" t="e">
        <f>VLOOKUP(C64,'1.1 CUSTO FERRAME-UNIFORME-EPI'!B:C,2,FALSE)</f>
        <v>#DIV/0!</v>
      </c>
      <c r="E64" s="328">
        <v>0.25</v>
      </c>
      <c r="F64" s="322" t="e">
        <f t="shared" ref="F64:F73" si="1">E64*D64</f>
        <v>#DIV/0!</v>
      </c>
    </row>
    <row r="65" spans="2:6" x14ac:dyDescent="0.25">
      <c r="B65" s="320" t="s">
        <v>15</v>
      </c>
      <c r="C65" s="340" t="s">
        <v>210</v>
      </c>
      <c r="D65" s="11">
        <f>VLOOKUP(C65,'1.1 CUSTO FERRAME-UNIFORME-EPI'!B:C,2,FALSE)</f>
        <v>0</v>
      </c>
      <c r="E65" s="328">
        <v>0.5</v>
      </c>
      <c r="F65" s="322">
        <f t="shared" si="1"/>
        <v>0</v>
      </c>
    </row>
    <row r="66" spans="2:6" x14ac:dyDescent="0.25">
      <c r="B66" s="320" t="s">
        <v>13</v>
      </c>
      <c r="C66" s="340" t="s">
        <v>209</v>
      </c>
      <c r="D66" s="11">
        <f>VLOOKUP(C66,'1.1 CUSTO FERRAME-UNIFORME-EPI'!B:C,2,FALSE)</f>
        <v>0</v>
      </c>
      <c r="E66" s="328">
        <v>0.5</v>
      </c>
      <c r="F66" s="322">
        <f t="shared" si="1"/>
        <v>0</v>
      </c>
    </row>
    <row r="67" spans="2:6" x14ac:dyDescent="0.25">
      <c r="B67" s="320" t="s">
        <v>11</v>
      </c>
      <c r="C67" s="340" t="s">
        <v>205</v>
      </c>
      <c r="D67" s="11">
        <f>VLOOKUP(C67,'1.1 CUSTO FERRAME-UNIFORME-EPI'!B:C,2,FALSE)</f>
        <v>0</v>
      </c>
      <c r="E67" s="328">
        <v>0.25</v>
      </c>
      <c r="F67" s="322">
        <f t="shared" si="1"/>
        <v>0</v>
      </c>
    </row>
    <row r="68" spans="2:6" x14ac:dyDescent="0.25">
      <c r="B68" s="320" t="s">
        <v>9</v>
      </c>
      <c r="C68" s="340" t="s">
        <v>58</v>
      </c>
      <c r="D68" s="11" t="e">
        <f>VLOOKUP(C68,'1.1 CUSTO FERRAME-UNIFORME-EPI'!B:C,2,FALSE)</f>
        <v>#DIV/0!</v>
      </c>
      <c r="E68" s="328">
        <v>0.25</v>
      </c>
      <c r="F68" s="322" t="e">
        <f t="shared" si="1"/>
        <v>#DIV/0!</v>
      </c>
    </row>
    <row r="69" spans="2:6" x14ac:dyDescent="0.25">
      <c r="B69" s="320" t="s">
        <v>7</v>
      </c>
      <c r="C69" s="340" t="s">
        <v>8</v>
      </c>
      <c r="D69" s="11">
        <f>VLOOKUP(C69,'1.1 CUSTO FERRAME-UNIFORME-EPI'!B:C,2,FALSE)</f>
        <v>0</v>
      </c>
      <c r="E69" s="328">
        <v>0.17</v>
      </c>
      <c r="F69" s="322">
        <f t="shared" si="1"/>
        <v>0</v>
      </c>
    </row>
    <row r="70" spans="2:6" x14ac:dyDescent="0.25">
      <c r="B70" s="320" t="s">
        <v>5</v>
      </c>
      <c r="C70" s="340" t="s">
        <v>204</v>
      </c>
      <c r="D70" s="11">
        <f>VLOOKUP(C70,'1.1 CUSTO FERRAME-UNIFORME-EPI'!B:C,2,FALSE)</f>
        <v>0</v>
      </c>
      <c r="E70" s="328">
        <v>0.5</v>
      </c>
      <c r="F70" s="322">
        <f t="shared" si="1"/>
        <v>0</v>
      </c>
    </row>
    <row r="71" spans="2:6" x14ac:dyDescent="0.25">
      <c r="B71" s="320" t="s">
        <v>3</v>
      </c>
      <c r="C71" s="340" t="s">
        <v>203</v>
      </c>
      <c r="D71" s="11">
        <f>VLOOKUP(C71,'1.1 CUSTO FERRAME-UNIFORME-EPI'!B:C,2,FALSE)</f>
        <v>0</v>
      </c>
      <c r="E71" s="328">
        <v>2.17</v>
      </c>
      <c r="F71" s="322">
        <f t="shared" si="1"/>
        <v>0</v>
      </c>
    </row>
    <row r="72" spans="2:6" x14ac:dyDescent="0.25">
      <c r="B72" s="320" t="s">
        <v>60</v>
      </c>
      <c r="C72" s="340" t="s">
        <v>6</v>
      </c>
      <c r="D72" s="11">
        <f>VLOOKUP(C72,'1.1 CUSTO FERRAME-UNIFORME-EPI'!B:C,2,FALSE)</f>
        <v>0</v>
      </c>
      <c r="E72" s="328">
        <v>0.3</v>
      </c>
      <c r="F72" s="322">
        <f t="shared" si="1"/>
        <v>0</v>
      </c>
    </row>
    <row r="73" spans="2:6" x14ac:dyDescent="0.25">
      <c r="B73" s="320" t="s">
        <v>400</v>
      </c>
      <c r="C73" s="326" t="s">
        <v>202</v>
      </c>
      <c r="D73" s="11" t="e">
        <f>VLOOKUP(C73,'1.1 CUSTO FERRAME-UNIFORME-EPI'!B:C,2,FALSE)</f>
        <v>#DIV/0!</v>
      </c>
      <c r="E73" s="329">
        <v>0.08</v>
      </c>
      <c r="F73" s="322" t="e">
        <f t="shared" si="1"/>
        <v>#DIV/0!</v>
      </c>
    </row>
    <row r="74" spans="2:6" x14ac:dyDescent="0.25">
      <c r="B74" s="320"/>
      <c r="C74" s="341" t="s">
        <v>2</v>
      </c>
      <c r="D74" s="330"/>
      <c r="E74" s="330"/>
      <c r="F74" s="331" t="e">
        <f>SUM(F64:F73)</f>
        <v>#DIV/0!</v>
      </c>
    </row>
    <row r="75" spans="2:6" x14ac:dyDescent="0.25">
      <c r="B75" s="342"/>
      <c r="C75" s="343"/>
      <c r="D75" s="344"/>
      <c r="E75" s="344"/>
      <c r="F75" s="345"/>
    </row>
    <row r="76" spans="2:6" x14ac:dyDescent="0.25">
      <c r="B76" s="333" t="s">
        <v>1</v>
      </c>
      <c r="C76" s="346" t="s">
        <v>0</v>
      </c>
      <c r="D76" s="335"/>
      <c r="E76" s="335"/>
      <c r="F76" s="336" t="e">
        <f>F74+F62+F54</f>
        <v>#DIV/0!</v>
      </c>
    </row>
  </sheetData>
  <mergeCells count="5">
    <mergeCell ref="D43:F43"/>
    <mergeCell ref="B2:F2"/>
    <mergeCell ref="D7:F7"/>
    <mergeCell ref="D8:F8"/>
    <mergeCell ref="D42:F42"/>
  </mergeCells>
  <pageMargins left="0.98425196850393704" right="0.59055118110236215" top="1.1811023622047243" bottom="0.59055118110236215" header="0.11811023622047244" footer="0.51181102362204722"/>
  <pageSetup paperSize="9" scale="60" orientation="portrait" r:id="rId1"/>
  <headerFooter>
    <oddHeader>&amp;L&amp;G</oddHeader>
  </headerFooter>
  <rowBreaks count="1" manualBreakCount="1">
    <brk id="5" max="6" man="1"/>
  </rowBreaks>
  <legacyDrawingHF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39997558519241921"/>
    <pageSetUpPr fitToPage="1"/>
  </sheetPr>
  <dimension ref="A1:D44"/>
  <sheetViews>
    <sheetView view="pageLayout" zoomScaleNormal="100" zoomScaleSheetLayoutView="100" workbookViewId="0">
      <selection activeCell="G18" sqref="G18"/>
    </sheetView>
  </sheetViews>
  <sheetFormatPr defaultColWidth="9" defaultRowHeight="13.5" x14ac:dyDescent="0.25"/>
  <cols>
    <col min="1" max="1" width="5.140625" style="181" customWidth="1"/>
    <col min="2" max="2" width="28.85546875" style="181" customWidth="1"/>
    <col min="3" max="3" width="17.85546875" style="181" customWidth="1"/>
    <col min="4" max="4" width="17.28515625" style="181" customWidth="1"/>
    <col min="5" max="16384" width="9" style="181"/>
  </cols>
  <sheetData>
    <row r="1" spans="1:4" ht="11.1" customHeight="1" x14ac:dyDescent="0.25"/>
    <row r="2" spans="1:4" ht="15.75" x14ac:dyDescent="0.25">
      <c r="A2" s="642" t="s">
        <v>187</v>
      </c>
      <c r="B2" s="642"/>
      <c r="C2" s="642"/>
      <c r="D2" s="642"/>
    </row>
    <row r="3" spans="1:4" x14ac:dyDescent="0.25">
      <c r="C3" s="221"/>
    </row>
    <row r="4" spans="1:4" ht="12" customHeight="1" x14ac:dyDescent="0.25">
      <c r="B4" s="220"/>
      <c r="C4" s="220"/>
    </row>
    <row r="5" spans="1:4" ht="12.95" customHeight="1" x14ac:dyDescent="0.25">
      <c r="C5" s="219"/>
    </row>
    <row r="6" spans="1:4" s="193" customFormat="1" ht="48" x14ac:dyDescent="0.25">
      <c r="A6" s="643" t="s">
        <v>54</v>
      </c>
      <c r="B6" s="644" t="s">
        <v>53</v>
      </c>
      <c r="C6" s="217" t="s">
        <v>6695</v>
      </c>
      <c r="D6" s="235"/>
    </row>
    <row r="7" spans="1:4" s="193" customFormat="1" ht="18" customHeight="1" x14ac:dyDescent="0.25">
      <c r="A7" s="643"/>
      <c r="B7" s="644"/>
      <c r="C7" s="217" t="s">
        <v>184</v>
      </c>
      <c r="D7" s="235"/>
    </row>
    <row r="8" spans="1:4" s="193" customFormat="1" ht="14.1" customHeight="1" x14ac:dyDescent="0.25">
      <c r="A8" s="202" t="s">
        <v>183</v>
      </c>
      <c r="B8" s="201" t="s">
        <v>182</v>
      </c>
      <c r="C8" s="200">
        <f>(C9-C11)/C44/12</f>
        <v>0</v>
      </c>
      <c r="D8" s="200"/>
    </row>
    <row r="9" spans="1:4" s="209" customFormat="1" ht="14.1" customHeight="1" x14ac:dyDescent="0.2">
      <c r="A9" s="208" t="s">
        <v>181</v>
      </c>
      <c r="B9" s="187" t="s">
        <v>180</v>
      </c>
      <c r="C9" s="186">
        <f>'1.1 REF EQUIPAMENTOS E DIV'!E4+'1.1 REF EQUIPAMENTOS E DIV'!E8</f>
        <v>0</v>
      </c>
      <c r="D9" s="206"/>
    </row>
    <row r="10" spans="1:4" s="209" customFormat="1" ht="9.9499999999999993" customHeight="1" x14ac:dyDescent="0.2">
      <c r="A10" s="207"/>
      <c r="B10" s="187"/>
      <c r="C10" s="186"/>
      <c r="D10" s="186"/>
    </row>
    <row r="11" spans="1:4" s="209" customFormat="1" ht="14.1" customHeight="1" x14ac:dyDescent="0.2">
      <c r="A11" s="208" t="s">
        <v>179</v>
      </c>
      <c r="B11" s="187" t="s">
        <v>148</v>
      </c>
      <c r="C11" s="186">
        <f>C9*C43</f>
        <v>0</v>
      </c>
      <c r="D11" s="186"/>
    </row>
    <row r="12" spans="1:4" s="209" customFormat="1" ht="9.9499999999999993" customHeight="1" x14ac:dyDescent="0.2">
      <c r="A12" s="213"/>
      <c r="B12" s="204"/>
      <c r="C12" s="203"/>
      <c r="D12" s="233"/>
    </row>
    <row r="13" spans="1:4" s="209" customFormat="1" ht="14.1" customHeight="1" x14ac:dyDescent="0.2">
      <c r="A13" s="212" t="s">
        <v>178</v>
      </c>
      <c r="B13" s="211" t="s">
        <v>177</v>
      </c>
      <c r="C13" s="210">
        <f>C17*C19/12</f>
        <v>0</v>
      </c>
      <c r="D13" s="210"/>
    </row>
    <row r="14" spans="1:4" s="209" customFormat="1" ht="9.9499999999999993" customHeight="1" x14ac:dyDescent="0.2">
      <c r="A14" s="232"/>
      <c r="B14" s="187"/>
      <c r="C14" s="186"/>
      <c r="D14" s="206"/>
    </row>
    <row r="15" spans="1:4" s="209" customFormat="1" ht="14.1" customHeight="1" x14ac:dyDescent="0.2">
      <c r="A15" s="188" t="s">
        <v>176</v>
      </c>
      <c r="B15" s="187" t="s">
        <v>175</v>
      </c>
      <c r="C15" s="186">
        <f>C9</f>
        <v>0</v>
      </c>
      <c r="D15" s="186"/>
    </row>
    <row r="16" spans="1:4" s="209" customFormat="1" ht="9.9499999999999993" customHeight="1" x14ac:dyDescent="0.2">
      <c r="A16" s="232"/>
      <c r="B16" s="187"/>
      <c r="C16" s="186"/>
      <c r="D16" s="206"/>
    </row>
    <row r="17" spans="1:4" s="209" customFormat="1" ht="14.1" customHeight="1" x14ac:dyDescent="0.2">
      <c r="A17" s="188" t="s">
        <v>174</v>
      </c>
      <c r="B17" s="187" t="s">
        <v>173</v>
      </c>
      <c r="C17" s="186">
        <f>(C9-C11)*((1+C44)/(2*C44))/1.25</f>
        <v>0</v>
      </c>
      <c r="D17" s="186"/>
    </row>
    <row r="18" spans="1:4" s="209" customFormat="1" ht="9.9499999999999993" customHeight="1" x14ac:dyDescent="0.2">
      <c r="A18" s="232"/>
      <c r="B18" s="187"/>
      <c r="C18" s="186"/>
      <c r="D18" s="206"/>
    </row>
    <row r="19" spans="1:4" s="209" customFormat="1" ht="14.1" customHeight="1" x14ac:dyDescent="0.2">
      <c r="A19" s="184" t="s">
        <v>146</v>
      </c>
      <c r="B19" s="183" t="s">
        <v>145</v>
      </c>
      <c r="C19" s="182">
        <v>0.13250000000000001</v>
      </c>
      <c r="D19" s="231"/>
    </row>
    <row r="20" spans="1:4" s="209" customFormat="1" ht="11.25" x14ac:dyDescent="0.2">
      <c r="A20" s="230" t="s">
        <v>172</v>
      </c>
      <c r="B20" s="229" t="s">
        <v>171</v>
      </c>
      <c r="C20" s="228">
        <f>C26*7.33*26.08</f>
        <v>0</v>
      </c>
      <c r="D20" s="228"/>
    </row>
    <row r="21" spans="1:4" s="193" customFormat="1" ht="14.1" customHeight="1" x14ac:dyDescent="0.25">
      <c r="A21" s="208" t="s">
        <v>170</v>
      </c>
      <c r="B21" s="187" t="s">
        <v>192</v>
      </c>
      <c r="C21" s="186">
        <f>277*0.735*0.11</f>
        <v>22.39545</v>
      </c>
      <c r="D21" s="206"/>
    </row>
    <row r="22" spans="1:4" s="193" customFormat="1" ht="14.1" customHeight="1" x14ac:dyDescent="0.25">
      <c r="A22" s="208" t="s">
        <v>170</v>
      </c>
      <c r="B22" s="187" t="s">
        <v>191</v>
      </c>
      <c r="C22" s="186">
        <f>277*0.735*0.08</f>
        <v>16.287600000000001</v>
      </c>
      <c r="D22" s="206"/>
    </row>
    <row r="23" spans="1:4" s="193" customFormat="1" ht="14.1" customHeight="1" x14ac:dyDescent="0.25">
      <c r="A23" s="208"/>
      <c r="B23" s="187"/>
      <c r="C23" s="186"/>
      <c r="D23" s="206"/>
    </row>
    <row r="24" spans="1:4" s="193" customFormat="1" ht="14.1" customHeight="1" x14ac:dyDescent="0.25">
      <c r="A24" s="208"/>
      <c r="B24" s="187" t="s">
        <v>168</v>
      </c>
      <c r="C24" s="186">
        <f>'1.1 REF EQUIPAMENTOS E DIV'!E38</f>
        <v>0</v>
      </c>
      <c r="D24" s="186"/>
    </row>
    <row r="25" spans="1:4" s="209" customFormat="1" ht="14.1" customHeight="1" x14ac:dyDescent="0.2">
      <c r="A25" s="207"/>
      <c r="B25" s="187"/>
      <c r="C25" s="186"/>
      <c r="D25" s="206"/>
    </row>
    <row r="26" spans="1:4" s="209" customFormat="1" ht="11.25" x14ac:dyDescent="0.2">
      <c r="A26" s="208" t="s">
        <v>167</v>
      </c>
      <c r="B26" s="187" t="s">
        <v>166</v>
      </c>
      <c r="C26" s="186">
        <f>C24*(C21+C22)</f>
        <v>0</v>
      </c>
      <c r="D26" s="186"/>
    </row>
    <row r="27" spans="1:4" s="193" customFormat="1" ht="14.1" customHeight="1" x14ac:dyDescent="0.25">
      <c r="A27" s="202" t="s">
        <v>165</v>
      </c>
      <c r="B27" s="201" t="s">
        <v>164</v>
      </c>
      <c r="C27" s="200">
        <f>C30</f>
        <v>0</v>
      </c>
      <c r="D27" s="200"/>
    </row>
    <row r="28" spans="1:4" s="209" customFormat="1" ht="14.1" customHeight="1" x14ac:dyDescent="0.2">
      <c r="A28" s="208" t="s">
        <v>163</v>
      </c>
      <c r="B28" s="187" t="s">
        <v>162</v>
      </c>
      <c r="C28" s="186">
        <v>0.1</v>
      </c>
      <c r="D28" s="206"/>
    </row>
    <row r="29" spans="1:4" s="209" customFormat="1" ht="9.9499999999999993" customHeight="1" x14ac:dyDescent="0.2">
      <c r="A29" s="207"/>
      <c r="B29" s="187"/>
      <c r="C29" s="186"/>
      <c r="D29" s="206"/>
    </row>
    <row r="30" spans="1:4" s="209" customFormat="1" ht="14.1" customHeight="1" x14ac:dyDescent="0.2">
      <c r="A30" s="208" t="s">
        <v>161</v>
      </c>
      <c r="B30" s="187" t="s">
        <v>160</v>
      </c>
      <c r="C30" s="186">
        <f>C28*C20</f>
        <v>0</v>
      </c>
      <c r="D30" s="186"/>
    </row>
    <row r="31" spans="1:4" s="209" customFormat="1" ht="9.9499999999999993" customHeight="1" x14ac:dyDescent="0.2">
      <c r="A31" s="207"/>
      <c r="B31" s="187"/>
      <c r="C31" s="186"/>
      <c r="D31" s="206"/>
    </row>
    <row r="32" spans="1:4" s="209" customFormat="1" ht="14.1" customHeight="1" x14ac:dyDescent="0.2">
      <c r="A32" s="202" t="s">
        <v>159</v>
      </c>
      <c r="B32" s="201" t="s">
        <v>158</v>
      </c>
      <c r="C32" s="200">
        <f>C38</f>
        <v>0</v>
      </c>
      <c r="D32" s="200"/>
    </row>
    <row r="33" spans="1:4" s="209" customFormat="1" ht="18" customHeight="1" x14ac:dyDescent="0.2">
      <c r="A33" s="208" t="s">
        <v>157</v>
      </c>
      <c r="B33" s="187" t="s">
        <v>156</v>
      </c>
      <c r="C33" s="186">
        <f>C8</f>
        <v>0</v>
      </c>
      <c r="D33" s="186"/>
    </row>
    <row r="34" spans="1:4" s="193" customFormat="1" ht="21.75" customHeight="1" x14ac:dyDescent="0.25">
      <c r="A34" s="207"/>
      <c r="B34" s="187"/>
      <c r="C34" s="186"/>
      <c r="D34" s="206"/>
    </row>
    <row r="35" spans="1:4" s="193" customFormat="1" x14ac:dyDescent="0.25">
      <c r="A35" s="208" t="s">
        <v>155</v>
      </c>
      <c r="B35" s="187" t="s">
        <v>154</v>
      </c>
      <c r="C35" s="186">
        <v>0.6</v>
      </c>
      <c r="D35" s="206"/>
    </row>
    <row r="36" spans="1:4" s="193" customFormat="1" x14ac:dyDescent="0.25">
      <c r="A36" s="208" t="s">
        <v>153</v>
      </c>
      <c r="B36" s="187" t="s">
        <v>386</v>
      </c>
      <c r="C36" s="310">
        <v>2.5000000000000001E-2</v>
      </c>
      <c r="D36" s="206"/>
    </row>
    <row r="37" spans="1:4" s="193" customFormat="1" x14ac:dyDescent="0.25">
      <c r="A37" s="207"/>
      <c r="B37" s="187"/>
      <c r="C37" s="186"/>
      <c r="D37" s="309"/>
    </row>
    <row r="38" spans="1:4" s="193" customFormat="1" x14ac:dyDescent="0.25">
      <c r="A38" s="208" t="s">
        <v>387</v>
      </c>
      <c r="B38" s="204" t="s">
        <v>152</v>
      </c>
      <c r="C38" s="203">
        <f>(C35+C36)*C33</f>
        <v>0</v>
      </c>
      <c r="D38" s="186"/>
    </row>
    <row r="39" spans="1:4" s="193" customFormat="1" x14ac:dyDescent="0.25">
      <c r="A39" s="202" t="s">
        <v>151</v>
      </c>
      <c r="B39" s="201" t="s">
        <v>150</v>
      </c>
      <c r="C39" s="200" t="e">
        <f>'1.1 REF EQUIPAMENTOS E DIV'!$E$35</f>
        <v>#DIV/0!</v>
      </c>
      <c r="D39" s="226"/>
    </row>
    <row r="40" spans="1:4" x14ac:dyDescent="0.25">
      <c r="A40" s="240"/>
      <c r="B40" s="239" t="s">
        <v>149</v>
      </c>
      <c r="C40" s="223" t="e">
        <f>C32++C27+C20+C13+C8+C39</f>
        <v>#DIV/0!</v>
      </c>
      <c r="D40" s="223"/>
    </row>
    <row r="41" spans="1:4" x14ac:dyDescent="0.25">
      <c r="A41" s="196"/>
      <c r="B41" s="195"/>
      <c r="C41" s="194"/>
    </row>
    <row r="42" spans="1:4" hidden="1" x14ac:dyDescent="0.25"/>
    <row r="43" spans="1:4" hidden="1" x14ac:dyDescent="0.25">
      <c r="A43" s="192"/>
      <c r="B43" s="191" t="s">
        <v>148</v>
      </c>
      <c r="C43" s="190">
        <v>0.2</v>
      </c>
      <c r="D43" s="190"/>
    </row>
    <row r="44" spans="1:4" hidden="1" x14ac:dyDescent="0.25">
      <c r="A44" s="184"/>
      <c r="B44" s="183" t="s">
        <v>147</v>
      </c>
      <c r="C44" s="238">
        <v>4.9999499499499498</v>
      </c>
      <c r="D44" s="237"/>
    </row>
  </sheetData>
  <mergeCells count="3">
    <mergeCell ref="A2:D2"/>
    <mergeCell ref="A6:A7"/>
    <mergeCell ref="B6:B7"/>
  </mergeCells>
  <pageMargins left="0.98425196850393704" right="0.59055118110236215" top="1.1811023622047243" bottom="0.59055118110236215" header="0.11811023622047244" footer="0.51181102362204722"/>
  <pageSetup paperSize="9" fitToHeight="0" orientation="portrait" r:id="rId1"/>
  <headerFooter>
    <oddHeader>&amp;L&amp;G</oddHeader>
  </headerFooter>
  <legacyDrawingHF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39997558519241921"/>
    <pageSetUpPr fitToPage="1"/>
  </sheetPr>
  <dimension ref="A2:G12"/>
  <sheetViews>
    <sheetView view="pageLayout" zoomScaleNormal="100" workbookViewId="0">
      <selection activeCell="B23" sqref="B23"/>
    </sheetView>
  </sheetViews>
  <sheetFormatPr defaultColWidth="9.140625" defaultRowHeight="13.5" x14ac:dyDescent="0.25"/>
  <cols>
    <col min="1" max="1" width="6" style="358" customWidth="1"/>
    <col min="2" max="2" width="34.140625" style="358" customWidth="1"/>
    <col min="3" max="3" width="11.28515625" style="358" bestFit="1" customWidth="1"/>
    <col min="4" max="4" width="10.7109375" style="358" customWidth="1"/>
    <col min="5" max="5" width="11.28515625" style="358" customWidth="1"/>
    <col min="6" max="6" width="13.7109375" style="358" customWidth="1"/>
    <col min="7" max="7" width="20.28515625" style="358" customWidth="1"/>
    <col min="8" max="16384" width="9.140625" style="358"/>
  </cols>
  <sheetData>
    <row r="2" spans="1:7" s="365" customFormat="1" x14ac:dyDescent="0.25">
      <c r="A2" s="586" t="s">
        <v>419</v>
      </c>
      <c r="B2" s="586"/>
      <c r="C2" s="586"/>
      <c r="D2" s="586"/>
      <c r="E2" s="586"/>
      <c r="F2" s="586"/>
      <c r="G2" s="586"/>
    </row>
    <row r="3" spans="1:7" s="365" customFormat="1" x14ac:dyDescent="0.25">
      <c r="A3" s="587" t="s">
        <v>631</v>
      </c>
      <c r="B3" s="587"/>
      <c r="C3" s="587"/>
      <c r="D3" s="587"/>
      <c r="E3" s="587"/>
      <c r="F3" s="587"/>
      <c r="G3" s="587"/>
    </row>
    <row r="4" spans="1:7" s="359" customFormat="1" ht="40.5" x14ac:dyDescent="0.25">
      <c r="A4" s="505" t="s">
        <v>248</v>
      </c>
      <c r="B4" s="506" t="s">
        <v>417</v>
      </c>
      <c r="C4" s="505" t="s">
        <v>592</v>
      </c>
      <c r="D4" s="588" t="s">
        <v>589</v>
      </c>
      <c r="E4" s="588"/>
      <c r="F4" s="505" t="s">
        <v>621</v>
      </c>
      <c r="G4" s="505" t="s">
        <v>590</v>
      </c>
    </row>
    <row r="5" spans="1:7" s="359" customFormat="1" x14ac:dyDescent="0.25">
      <c r="A5" s="480">
        <v>1</v>
      </c>
      <c r="B5" s="507" t="s">
        <v>588</v>
      </c>
      <c r="C5" s="508">
        <v>6666.65</v>
      </c>
      <c r="D5" s="589">
        <v>3</v>
      </c>
      <c r="E5" s="589"/>
      <c r="F5" s="518">
        <v>0.1</v>
      </c>
      <c r="G5" s="493">
        <f>D5*C5*F5</f>
        <v>1999.9949999999999</v>
      </c>
    </row>
    <row r="6" spans="1:7" s="359" customFormat="1" x14ac:dyDescent="0.25">
      <c r="A6" s="480"/>
      <c r="B6" s="507"/>
      <c r="C6" s="508"/>
      <c r="D6" s="589"/>
      <c r="E6" s="589"/>
      <c r="F6" s="509"/>
      <c r="G6" s="493"/>
    </row>
    <row r="7" spans="1:7" s="365" customFormat="1" x14ac:dyDescent="0.25">
      <c r="A7" s="480"/>
      <c r="B7" s="507"/>
      <c r="C7" s="510"/>
      <c r="D7" s="585" t="str">
        <f>G4</f>
        <v>ÁREA DE CAPINA (M2)</v>
      </c>
      <c r="E7" s="585"/>
      <c r="F7" s="511"/>
      <c r="G7" s="510">
        <f>SUM(G5:G6)</f>
        <v>1999.9949999999999</v>
      </c>
    </row>
    <row r="8" spans="1:7" s="359" customFormat="1" x14ac:dyDescent="0.25">
      <c r="A8" s="584"/>
      <c r="B8" s="584"/>
      <c r="C8" s="584"/>
      <c r="D8" s="584"/>
      <c r="E8" s="584"/>
      <c r="F8" s="513"/>
      <c r="G8" s="493"/>
    </row>
    <row r="9" spans="1:7" s="359" customFormat="1" x14ac:dyDescent="0.25">
      <c r="A9" s="584" t="s">
        <v>410</v>
      </c>
      <c r="B9" s="584"/>
      <c r="C9" s="584"/>
      <c r="D9" s="584"/>
      <c r="E9" s="584"/>
      <c r="F9" s="513"/>
      <c r="G9" s="493">
        <v>25.25</v>
      </c>
    </row>
    <row r="10" spans="1:7" s="359" customFormat="1" x14ac:dyDescent="0.25">
      <c r="A10" s="584" t="s">
        <v>591</v>
      </c>
      <c r="B10" s="584"/>
      <c r="C10" s="584"/>
      <c r="D10" s="584"/>
      <c r="E10" s="584"/>
      <c r="F10" s="513"/>
      <c r="G10" s="493">
        <v>6</v>
      </c>
    </row>
    <row r="11" spans="1:7" s="359" customFormat="1" x14ac:dyDescent="0.25">
      <c r="A11" s="590" t="s">
        <v>593</v>
      </c>
      <c r="B11" s="590"/>
      <c r="C11" s="590"/>
      <c r="D11" s="590"/>
      <c r="E11" s="590"/>
      <c r="F11" s="514"/>
      <c r="G11" s="534">
        <f>G7*G10/12</f>
        <v>999.99749999999995</v>
      </c>
    </row>
    <row r="12" spans="1:7" s="359" customFormat="1" x14ac:dyDescent="0.25">
      <c r="A12" s="590" t="s">
        <v>594</v>
      </c>
      <c r="B12" s="590"/>
      <c r="C12" s="590"/>
      <c r="D12" s="590"/>
      <c r="E12" s="590"/>
      <c r="F12" s="514"/>
      <c r="G12" s="534">
        <f>G11/25.25</f>
        <v>39.603861386138611</v>
      </c>
    </row>
  </sheetData>
  <mergeCells count="11">
    <mergeCell ref="A8:E8"/>
    <mergeCell ref="A9:E9"/>
    <mergeCell ref="A10:E10"/>
    <mergeCell ref="A11:E11"/>
    <mergeCell ref="A12:E12"/>
    <mergeCell ref="D7:E7"/>
    <mergeCell ref="A2:G2"/>
    <mergeCell ref="A3:G3"/>
    <mergeCell ref="D4:E4"/>
    <mergeCell ref="D5:E5"/>
    <mergeCell ref="D6:E6"/>
  </mergeCells>
  <pageMargins left="0.98425196850393704" right="0.59055118110236215" top="1.1811023622047243" bottom="0.59055118110236215" header="0.11811023622047244" footer="0.51181102362204722"/>
  <pageSetup paperSize="9" scale="73" fitToHeight="0" orientation="portrait" r:id="rId1"/>
  <headerFooter>
    <oddHeader>&amp;L&amp;G</oddHeader>
  </headerFooter>
  <legacyDrawingHF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4" tint="0.39997558519241921"/>
    <pageSetUpPr fitToPage="1"/>
  </sheetPr>
  <dimension ref="A1:H52"/>
  <sheetViews>
    <sheetView view="pageLayout" zoomScaleNormal="89" zoomScaleSheetLayoutView="100" workbookViewId="0">
      <selection activeCell="F29" sqref="F29"/>
    </sheetView>
  </sheetViews>
  <sheetFormatPr defaultColWidth="9.140625" defaultRowHeight="13.5" x14ac:dyDescent="0.25"/>
  <cols>
    <col min="1" max="1" width="7.5703125" style="47" customWidth="1"/>
    <col min="2" max="2" width="63.140625" style="47" customWidth="1"/>
    <col min="3" max="3" width="17.28515625" style="47" customWidth="1"/>
    <col min="4" max="4" width="19.42578125" style="52" customWidth="1"/>
    <col min="5" max="5" width="19.28515625" style="47" customWidth="1"/>
    <col min="6" max="6" width="22.7109375" style="47" customWidth="1"/>
    <col min="7" max="7" width="3.28515625" style="47" customWidth="1"/>
    <col min="8" max="16384" width="9.140625" style="47"/>
  </cols>
  <sheetData>
    <row r="1" spans="1:7" ht="20.25" customHeight="1" x14ac:dyDescent="0.25">
      <c r="G1" s="179"/>
    </row>
    <row r="2" spans="1:7" x14ac:dyDescent="0.25">
      <c r="A2" s="89"/>
      <c r="B2" s="89"/>
      <c r="D2" s="47"/>
      <c r="G2" s="179"/>
    </row>
    <row r="3" spans="1:7" ht="22.15" customHeight="1" x14ac:dyDescent="0.25">
      <c r="A3" s="704" t="s">
        <v>105</v>
      </c>
      <c r="B3" s="704"/>
      <c r="C3" s="704"/>
      <c r="D3" s="704"/>
      <c r="E3" s="704"/>
      <c r="F3" s="704"/>
      <c r="G3" s="179"/>
    </row>
    <row r="4" spans="1:7" ht="11.25" customHeight="1" x14ac:dyDescent="0.25">
      <c r="A4" s="703" t="str">
        <f>'ORÇAMENTO GERAL'!B15</f>
        <v>Roçada</v>
      </c>
      <c r="B4" s="703"/>
      <c r="C4" s="703"/>
      <c r="D4" s="703"/>
      <c r="E4" s="703"/>
      <c r="F4" s="703"/>
    </row>
    <row r="5" spans="1:7" ht="15" customHeight="1" thickBot="1" x14ac:dyDescent="0.3">
      <c r="A5" s="179"/>
      <c r="B5" s="179"/>
      <c r="C5" s="179"/>
      <c r="D5" s="179"/>
      <c r="E5" s="90" t="s">
        <v>104</v>
      </c>
      <c r="F5" s="90" t="s">
        <v>498</v>
      </c>
      <c r="G5" s="51"/>
    </row>
    <row r="6" spans="1:7" ht="15.6" customHeight="1" thickBot="1" x14ac:dyDescent="0.3">
      <c r="A6" s="88" t="s">
        <v>54</v>
      </c>
      <c r="B6" s="87" t="s">
        <v>53</v>
      </c>
      <c r="C6" s="86" t="s">
        <v>102</v>
      </c>
      <c r="D6" s="85" t="s">
        <v>49</v>
      </c>
      <c r="E6" s="352" t="s">
        <v>101</v>
      </c>
      <c r="F6" s="353" t="s">
        <v>100</v>
      </c>
      <c r="G6" s="82"/>
    </row>
    <row r="7" spans="1:7" ht="16.149999999999999" customHeight="1" x14ac:dyDescent="0.25">
      <c r="A7" s="153">
        <v>1</v>
      </c>
      <c r="B7" s="152" t="s">
        <v>99</v>
      </c>
      <c r="C7" s="151"/>
      <c r="D7" s="150"/>
      <c r="E7" s="354"/>
      <c r="F7" s="355"/>
    </row>
    <row r="8" spans="1:7" ht="16.149999999999999" customHeight="1" x14ac:dyDescent="0.25">
      <c r="A8" s="59" t="s">
        <v>47</v>
      </c>
      <c r="B8" s="175" t="s">
        <v>476</v>
      </c>
      <c r="C8" s="59" t="s">
        <v>85</v>
      </c>
      <c r="D8" s="176">
        <f>'9.4 DIM ROÇADA'!E22</f>
        <v>2</v>
      </c>
      <c r="E8" s="356" t="e">
        <f>'9.3 EQUIP. VEICULOS'!C39</f>
        <v>#DIV/0!</v>
      </c>
      <c r="F8" s="356" t="e">
        <f>E8*D8</f>
        <v>#DIV/0!</v>
      </c>
    </row>
    <row r="9" spans="1:7" ht="16.149999999999999" customHeight="1" x14ac:dyDescent="0.25">
      <c r="A9" s="59" t="s">
        <v>31</v>
      </c>
      <c r="B9" s="175" t="s">
        <v>485</v>
      </c>
      <c r="C9" s="59" t="s">
        <v>85</v>
      </c>
      <c r="D9" s="176">
        <f>'9.4 DIM ROÇADA'!E23</f>
        <v>3</v>
      </c>
      <c r="E9" s="356" t="e">
        <f>'9.3 EQUIP. VEICULOS'!E39</f>
        <v>#DIV/0!</v>
      </c>
      <c r="F9" s="356" t="e">
        <f>E9*D9</f>
        <v>#DIV/0!</v>
      </c>
      <c r="G9" s="82"/>
    </row>
    <row r="10" spans="1:7" ht="16.149999999999999" customHeight="1" x14ac:dyDescent="0.25">
      <c r="A10" s="175"/>
      <c r="B10" s="175" t="s">
        <v>122</v>
      </c>
      <c r="C10" s="57" t="s">
        <v>121</v>
      </c>
      <c r="D10" s="63"/>
      <c r="E10" s="357" t="s">
        <v>96</v>
      </c>
      <c r="F10" s="357" t="e">
        <f>SUM(F8:F9)</f>
        <v>#DIV/0!</v>
      </c>
      <c r="G10" s="82"/>
    </row>
    <row r="11" spans="1:7" ht="16.149999999999999" customHeight="1" x14ac:dyDescent="0.25">
      <c r="A11" s="153">
        <v>2</v>
      </c>
      <c r="B11" s="152" t="s">
        <v>95</v>
      </c>
      <c r="C11" s="151"/>
      <c r="D11" s="150"/>
      <c r="E11" s="354"/>
      <c r="F11" s="355"/>
      <c r="G11" s="51"/>
    </row>
    <row r="12" spans="1:7" ht="16.149999999999999" customHeight="1" x14ac:dyDescent="0.25">
      <c r="A12" s="59" t="s">
        <v>17</v>
      </c>
      <c r="B12" s="175" t="s">
        <v>468</v>
      </c>
      <c r="C12" s="59" t="s">
        <v>94</v>
      </c>
      <c r="D12" s="176">
        <f>'9.4 DIM ROÇADA'!E26</f>
        <v>3</v>
      </c>
      <c r="E12" s="356" t="e">
        <f>'9.2 MAO DE OBRA'!F37</f>
        <v>#DIV/0!</v>
      </c>
      <c r="F12" s="356" t="e">
        <f t="shared" ref="F12:F15" si="0">E12*D12</f>
        <v>#DIV/0!</v>
      </c>
      <c r="G12" s="178"/>
    </row>
    <row r="13" spans="1:7" ht="16.149999999999999" customHeight="1" x14ac:dyDescent="0.25">
      <c r="A13" s="59" t="s">
        <v>15</v>
      </c>
      <c r="B13" s="175" t="s">
        <v>478</v>
      </c>
      <c r="C13" s="59" t="s">
        <v>94</v>
      </c>
      <c r="D13" s="578">
        <f>'9.4 DIM ROÇADA'!E27</f>
        <v>33</v>
      </c>
      <c r="E13" s="356" t="e">
        <f>'9.2 MAO DE OBRA'!F177</f>
        <v>#DIV/0!</v>
      </c>
      <c r="F13" s="356" t="e">
        <f t="shared" si="0"/>
        <v>#DIV/0!</v>
      </c>
      <c r="G13" s="178"/>
    </row>
    <row r="14" spans="1:7" ht="16.149999999999999" customHeight="1" x14ac:dyDescent="0.25">
      <c r="A14" s="59" t="s">
        <v>13</v>
      </c>
      <c r="B14" s="175" t="s">
        <v>472</v>
      </c>
      <c r="C14" s="59" t="s">
        <v>94</v>
      </c>
      <c r="D14" s="176">
        <f>'9.4 DIM ROÇADA'!E28</f>
        <v>5</v>
      </c>
      <c r="E14" s="356" t="e">
        <f>'9.2 MAO DE OBRA'!F72</f>
        <v>#DIV/0!</v>
      </c>
      <c r="F14" s="356" t="e">
        <f t="shared" si="0"/>
        <v>#DIV/0!</v>
      </c>
      <c r="G14" s="178"/>
    </row>
    <row r="15" spans="1:7" ht="16.149999999999999" customHeight="1" x14ac:dyDescent="0.25">
      <c r="A15" s="582" t="s">
        <v>11</v>
      </c>
      <c r="B15" s="583" t="s">
        <v>471</v>
      </c>
      <c r="C15" s="59" t="s">
        <v>94</v>
      </c>
      <c r="D15" s="581">
        <f>2*D13</f>
        <v>66</v>
      </c>
      <c r="E15" s="356" t="e">
        <f>'9.2 MAO DE OBRA'!F109</f>
        <v>#DIV/0!</v>
      </c>
      <c r="F15" s="356" t="e">
        <f t="shared" si="0"/>
        <v>#DIV/0!</v>
      </c>
      <c r="G15" s="178"/>
    </row>
    <row r="16" spans="1:7" ht="16.149999999999999" customHeight="1" x14ac:dyDescent="0.25">
      <c r="A16" s="59"/>
      <c r="B16" s="175" t="s">
        <v>122</v>
      </c>
      <c r="C16" s="57" t="s">
        <v>121</v>
      </c>
      <c r="D16" s="63"/>
      <c r="E16" s="357" t="s">
        <v>93</v>
      </c>
      <c r="F16" s="357" t="e">
        <f>SUM(F12:F15)</f>
        <v>#DIV/0!</v>
      </c>
      <c r="G16" s="51"/>
    </row>
    <row r="17" spans="1:8" ht="16.149999999999999" customHeight="1" x14ac:dyDescent="0.25">
      <c r="A17" s="153">
        <v>3</v>
      </c>
      <c r="B17" s="152" t="s">
        <v>92</v>
      </c>
      <c r="C17" s="151"/>
      <c r="D17" s="150"/>
      <c r="E17" s="354"/>
      <c r="F17" s="355"/>
      <c r="G17" s="82"/>
    </row>
    <row r="18" spans="1:8" ht="16.149999999999999" customHeight="1" x14ac:dyDescent="0.25">
      <c r="B18" s="177" t="s">
        <v>123</v>
      </c>
      <c r="C18" s="59"/>
      <c r="D18" s="63"/>
      <c r="E18" s="356"/>
      <c r="F18" s="357"/>
      <c r="G18" s="51"/>
    </row>
    <row r="19" spans="1:8" ht="16.149999999999999" customHeight="1" x14ac:dyDescent="0.25">
      <c r="A19" s="59" t="s">
        <v>91</v>
      </c>
      <c r="B19" s="177" t="s">
        <v>90</v>
      </c>
      <c r="C19" s="59" t="s">
        <v>85</v>
      </c>
      <c r="D19" s="63">
        <f>(8/12)*D13</f>
        <v>22</v>
      </c>
      <c r="E19" s="69" t="e">
        <f>VLOOKUP(B19,'1.1 CUSTO FERRAME-UNIFORME-EPI'!B:C,2,FALSE)</f>
        <v>#DIV/0!</v>
      </c>
      <c r="F19" s="356" t="e">
        <f>E19*D19</f>
        <v>#DIV/0!</v>
      </c>
      <c r="G19" s="82"/>
    </row>
    <row r="20" spans="1:8" ht="16.149999999999999" customHeight="1" x14ac:dyDescent="0.25">
      <c r="A20" s="59" t="s">
        <v>89</v>
      </c>
      <c r="B20" s="177" t="s">
        <v>115</v>
      </c>
      <c r="C20" s="59" t="s">
        <v>85</v>
      </c>
      <c r="D20" s="63">
        <f>(6/12)*D13</f>
        <v>16.5</v>
      </c>
      <c r="E20" s="69" t="e">
        <f>VLOOKUP(B20,'1.1 CUSTO FERRAME-UNIFORME-EPI'!B:C,2,FALSE)</f>
        <v>#DIV/0!</v>
      </c>
      <c r="F20" s="356" t="e">
        <f t="shared" ref="F20:F25" si="1">E20*D20</f>
        <v>#DIV/0!</v>
      </c>
      <c r="G20" s="51"/>
    </row>
    <row r="21" spans="1:8" ht="16.149999999999999" customHeight="1" x14ac:dyDescent="0.25">
      <c r="A21" s="59" t="s">
        <v>87</v>
      </c>
      <c r="B21" s="177" t="s">
        <v>88</v>
      </c>
      <c r="C21" s="59" t="s">
        <v>85</v>
      </c>
      <c r="D21" s="63">
        <f>(4/12)*D13</f>
        <v>11</v>
      </c>
      <c r="E21" s="69">
        <f>VLOOKUP(B21,'1.1 CUSTO FERRAME-UNIFORME-EPI'!B:C,2,FALSE)</f>
        <v>0</v>
      </c>
      <c r="F21" s="356">
        <f t="shared" si="1"/>
        <v>0</v>
      </c>
      <c r="G21" s="82"/>
    </row>
    <row r="22" spans="1:8" ht="16.149999999999999" customHeight="1" x14ac:dyDescent="0.25">
      <c r="A22" s="59" t="s">
        <v>116</v>
      </c>
      <c r="B22" s="177" t="s">
        <v>86</v>
      </c>
      <c r="C22" s="59" t="s">
        <v>85</v>
      </c>
      <c r="D22" s="63">
        <f>D14*2</f>
        <v>10</v>
      </c>
      <c r="E22" s="69">
        <f>VLOOKUP(B22,'1.1 CUSTO FERRAME-UNIFORME-EPI'!B:C,2,FALSE)</f>
        <v>0</v>
      </c>
      <c r="F22" s="356">
        <f t="shared" si="1"/>
        <v>0</v>
      </c>
      <c r="G22" s="51"/>
    </row>
    <row r="23" spans="1:8" ht="16.149999999999999" customHeight="1" x14ac:dyDescent="0.25">
      <c r="A23" s="59" t="s">
        <v>487</v>
      </c>
      <c r="B23" s="177" t="s">
        <v>215</v>
      </c>
      <c r="C23" s="59" t="s">
        <v>85</v>
      </c>
      <c r="D23" s="63">
        <f>(9/12)*D15</f>
        <v>49.5</v>
      </c>
      <c r="E23" s="69">
        <f>VLOOKUP(B23,'1.1 CUSTO FERRAME-UNIFORME-EPI'!B:C,2,FALSE)</f>
        <v>0</v>
      </c>
      <c r="F23" s="356">
        <f t="shared" si="1"/>
        <v>0</v>
      </c>
      <c r="G23" s="51"/>
    </row>
    <row r="24" spans="1:8" ht="16.149999999999999" customHeight="1" x14ac:dyDescent="0.25">
      <c r="A24" s="59" t="s">
        <v>488</v>
      </c>
      <c r="B24" s="177" t="s">
        <v>214</v>
      </c>
      <c r="C24" s="59" t="s">
        <v>85</v>
      </c>
      <c r="D24" s="63">
        <f>(3/12)*D13</f>
        <v>8.25</v>
      </c>
      <c r="E24" s="69" t="e">
        <f>VLOOKUP(B24,'1.1 CUSTO FERRAME-UNIFORME-EPI'!B:C,2,FALSE)</f>
        <v>#DIV/0!</v>
      </c>
      <c r="F24" s="356" t="e">
        <f t="shared" si="1"/>
        <v>#DIV/0!</v>
      </c>
      <c r="G24" s="51"/>
    </row>
    <row r="25" spans="1:8" ht="16.149999999999999" customHeight="1" x14ac:dyDescent="0.25">
      <c r="A25" s="59" t="s">
        <v>491</v>
      </c>
      <c r="B25" s="177" t="s">
        <v>492</v>
      </c>
      <c r="C25" s="59" t="s">
        <v>85</v>
      </c>
      <c r="D25" s="63">
        <f>D13</f>
        <v>33</v>
      </c>
      <c r="E25" s="436">
        <f>'12 EQUIP. VEICULOS'!D38</f>
        <v>0</v>
      </c>
      <c r="F25" s="356">
        <f t="shared" si="1"/>
        <v>0</v>
      </c>
      <c r="G25" s="51"/>
    </row>
    <row r="26" spans="1:8" ht="16.149999999999999" customHeight="1" x14ac:dyDescent="0.25">
      <c r="A26" s="59"/>
      <c r="B26" s="175" t="s">
        <v>122</v>
      </c>
      <c r="C26" s="57" t="s">
        <v>121</v>
      </c>
      <c r="D26" s="63"/>
      <c r="E26" s="357" t="s">
        <v>84</v>
      </c>
      <c r="F26" s="357" t="e">
        <f>SUM(F19:F25)</f>
        <v>#DIV/0!</v>
      </c>
      <c r="G26" s="82"/>
      <c r="H26" s="48"/>
    </row>
    <row r="27" spans="1:8" ht="16.149999999999999" customHeight="1" x14ac:dyDescent="0.25">
      <c r="A27" s="174"/>
      <c r="B27" s="163" t="s">
        <v>83</v>
      </c>
      <c r="C27" s="163"/>
      <c r="D27" s="163"/>
      <c r="E27" s="163"/>
      <c r="F27" s="173"/>
      <c r="G27" s="82"/>
    </row>
    <row r="28" spans="1:8" ht="16.149999999999999" customHeight="1" x14ac:dyDescent="0.25">
      <c r="A28" s="172"/>
      <c r="B28" s="167" t="s">
        <v>82</v>
      </c>
      <c r="C28" s="169" t="s">
        <v>81</v>
      </c>
      <c r="D28" s="167"/>
      <c r="E28" s="165"/>
      <c r="F28" s="66" t="e">
        <f>SUM(F16,F26,F10)</f>
        <v>#DIV/0!</v>
      </c>
      <c r="G28" s="82"/>
    </row>
    <row r="29" spans="1:8" ht="16.149999999999999" customHeight="1" x14ac:dyDescent="0.25">
      <c r="A29" s="172"/>
      <c r="B29" s="171" t="s">
        <v>80</v>
      </c>
      <c r="C29" s="166" t="s">
        <v>490</v>
      </c>
      <c r="D29" s="170"/>
      <c r="E29" s="165"/>
      <c r="F29" s="576">
        <f>'9.4 DIM ROÇADA'!I11</f>
        <v>656290.125</v>
      </c>
      <c r="G29" s="82"/>
    </row>
    <row r="30" spans="1:8" ht="16.149999999999999" customHeight="1" x14ac:dyDescent="0.25">
      <c r="A30" s="168"/>
      <c r="B30" s="167" t="s">
        <v>78</v>
      </c>
      <c r="C30" s="169" t="s">
        <v>489</v>
      </c>
      <c r="D30" s="167"/>
      <c r="E30" s="165"/>
      <c r="F30" s="61" t="e">
        <f>F28/F29</f>
        <v>#DIV/0!</v>
      </c>
      <c r="G30" s="82"/>
    </row>
    <row r="31" spans="1:8" ht="16.149999999999999" customHeight="1" x14ac:dyDescent="0.25">
      <c r="A31" s="168"/>
      <c r="B31" s="167" t="s">
        <v>77</v>
      </c>
      <c r="C31" s="166" t="s">
        <v>76</v>
      </c>
      <c r="D31" s="58">
        <f>'BDI '!$C$22</f>
        <v>5.2600000000000001E-2</v>
      </c>
      <c r="E31" s="165"/>
      <c r="F31" s="56" t="e">
        <f>F30*D31</f>
        <v>#DIV/0!</v>
      </c>
      <c r="G31" s="82"/>
    </row>
    <row r="32" spans="1:8" x14ac:dyDescent="0.25">
      <c r="A32" s="163"/>
      <c r="B32" s="163" t="s">
        <v>75</v>
      </c>
      <c r="C32" s="164" t="s">
        <v>489</v>
      </c>
      <c r="D32" s="163"/>
      <c r="E32" s="163"/>
      <c r="F32" s="162" t="e">
        <f>ROUND(F31+F30,2)</f>
        <v>#DIV/0!</v>
      </c>
      <c r="G32" s="82"/>
    </row>
    <row r="33" spans="5:7" ht="19.149999999999999" customHeight="1" x14ac:dyDescent="0.25">
      <c r="E33" s="89"/>
      <c r="F33" s="161"/>
      <c r="G33" s="82"/>
    </row>
    <row r="34" spans="5:7" x14ac:dyDescent="0.25">
      <c r="G34" s="159"/>
    </row>
    <row r="35" spans="5:7" x14ac:dyDescent="0.25">
      <c r="G35" s="159"/>
    </row>
    <row r="36" spans="5:7" x14ac:dyDescent="0.25">
      <c r="G36" s="159"/>
    </row>
    <row r="37" spans="5:7" x14ac:dyDescent="0.25">
      <c r="G37" s="159"/>
    </row>
    <row r="38" spans="5:7" x14ac:dyDescent="0.25">
      <c r="G38" s="51"/>
    </row>
    <row r="39" spans="5:7" x14ac:dyDescent="0.25">
      <c r="G39" s="160"/>
    </row>
    <row r="40" spans="5:7" x14ac:dyDescent="0.25">
      <c r="G40" s="51"/>
    </row>
    <row r="41" spans="5:7" x14ac:dyDescent="0.25">
      <c r="G41" s="82"/>
    </row>
    <row r="42" spans="5:7" x14ac:dyDescent="0.25">
      <c r="G42" s="82"/>
    </row>
    <row r="43" spans="5:7" x14ac:dyDescent="0.25">
      <c r="G43" s="82"/>
    </row>
    <row r="44" spans="5:7" x14ac:dyDescent="0.25">
      <c r="G44" s="159"/>
    </row>
    <row r="45" spans="5:7" x14ac:dyDescent="0.25">
      <c r="G45" s="159"/>
    </row>
    <row r="46" spans="5:7" x14ac:dyDescent="0.25">
      <c r="G46" s="158"/>
    </row>
    <row r="47" spans="5:7" x14ac:dyDescent="0.25">
      <c r="G47" s="157"/>
    </row>
    <row r="48" spans="5:7" x14ac:dyDescent="0.25">
      <c r="G48" s="156"/>
    </row>
    <row r="49" spans="7:7" x14ac:dyDescent="0.25">
      <c r="G49" s="155"/>
    </row>
    <row r="50" spans="7:7" x14ac:dyDescent="0.25">
      <c r="G50" s="154"/>
    </row>
    <row r="51" spans="7:7" x14ac:dyDescent="0.25">
      <c r="G51" s="155"/>
    </row>
    <row r="52" spans="7:7" x14ac:dyDescent="0.25">
      <c r="G52" s="154"/>
    </row>
  </sheetData>
  <sheetProtection selectLockedCells="1" selectUnlockedCells="1"/>
  <mergeCells count="2">
    <mergeCell ref="A3:F3"/>
    <mergeCell ref="A4:F4"/>
  </mergeCells>
  <phoneticPr fontId="10" type="noConversion"/>
  <pageMargins left="0.98425196850393704" right="0.59055118110236215" top="1.1811023622047243" bottom="0.59055118110236215" header="0.11811023622047244" footer="0.51181102362204722"/>
  <pageSetup paperSize="9" scale="58" firstPageNumber="0" fitToHeight="0" orientation="portrait" horizontalDpi="300" verticalDpi="300" r:id="rId1"/>
  <headerFooter alignWithMargins="0">
    <oddHeader>&amp;L&amp;G</oddHeader>
  </headerFooter>
  <legacyDrawingHF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4" tint="0.39997558519241921"/>
    <pageSetUpPr fitToPage="1"/>
  </sheetPr>
  <dimension ref="B1:F177"/>
  <sheetViews>
    <sheetView view="pageBreakPreview" topLeftCell="A136" zoomScale="85" zoomScaleNormal="100" zoomScaleSheetLayoutView="85" workbookViewId="0">
      <selection activeCell="C121" sqref="C121"/>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5" spans="2:6" x14ac:dyDescent="0.25">
      <c r="B5" s="313" t="s">
        <v>54</v>
      </c>
      <c r="C5" s="314" t="s">
        <v>53</v>
      </c>
      <c r="D5" s="705" t="s">
        <v>63</v>
      </c>
      <c r="E5" s="706"/>
      <c r="F5" s="707"/>
    </row>
    <row r="6" spans="2:6" x14ac:dyDescent="0.25">
      <c r="B6" s="315"/>
      <c r="C6" s="316"/>
      <c r="D6" s="709"/>
      <c r="E6" s="710"/>
      <c r="F6" s="711"/>
    </row>
    <row r="7" spans="2:6" x14ac:dyDescent="0.25">
      <c r="B7" s="317" t="s">
        <v>52</v>
      </c>
      <c r="C7" s="318" t="s">
        <v>51</v>
      </c>
      <c r="D7" s="319" t="s">
        <v>50</v>
      </c>
      <c r="E7" s="319" t="s">
        <v>49</v>
      </c>
      <c r="F7" s="319" t="s">
        <v>48</v>
      </c>
    </row>
    <row r="8" spans="2:6" x14ac:dyDescent="0.25">
      <c r="B8" s="317" t="s">
        <v>47</v>
      </c>
      <c r="C8" s="318" t="s">
        <v>46</v>
      </c>
      <c r="D8" s="319"/>
      <c r="E8" s="319"/>
      <c r="F8" s="319"/>
    </row>
    <row r="9" spans="2:6" x14ac:dyDescent="0.25">
      <c r="B9" s="31" t="s">
        <v>45</v>
      </c>
      <c r="C9" s="36" t="s">
        <v>44</v>
      </c>
      <c r="D9" s="11">
        <f>'1.1 SALÁRIOS'!F10</f>
        <v>0</v>
      </c>
      <c r="E9" s="17">
        <v>1</v>
      </c>
      <c r="F9" s="11">
        <f>E9*D9</f>
        <v>0</v>
      </c>
    </row>
    <row r="10" spans="2:6" x14ac:dyDescent="0.25">
      <c r="B10" s="31" t="s">
        <v>43</v>
      </c>
      <c r="C10" s="36" t="s">
        <v>42</v>
      </c>
      <c r="D10" s="11">
        <f>'1.1 SALÁRIOS'!$F$23</f>
        <v>0</v>
      </c>
      <c r="E10" s="34">
        <v>0</v>
      </c>
      <c r="F10" s="11">
        <f>E10*D10</f>
        <v>0</v>
      </c>
    </row>
    <row r="11" spans="2:6" x14ac:dyDescent="0.25">
      <c r="B11" s="31" t="s">
        <v>41</v>
      </c>
      <c r="C11" s="36" t="s">
        <v>40</v>
      </c>
      <c r="D11" s="11"/>
      <c r="E11" s="17"/>
      <c r="F11" s="11"/>
    </row>
    <row r="12" spans="2:6" x14ac:dyDescent="0.25">
      <c r="B12" s="31" t="s">
        <v>39</v>
      </c>
      <c r="C12" s="36" t="s">
        <v>38</v>
      </c>
      <c r="D12" s="11"/>
      <c r="E12" s="17"/>
      <c r="F12" s="11"/>
    </row>
    <row r="13" spans="2:6" x14ac:dyDescent="0.25">
      <c r="B13" s="31" t="s">
        <v>37</v>
      </c>
      <c r="C13" s="36" t="s">
        <v>36</v>
      </c>
      <c r="D13" s="11"/>
      <c r="E13" s="17"/>
      <c r="F13" s="11"/>
    </row>
    <row r="14" spans="2:6" x14ac:dyDescent="0.25">
      <c r="B14" s="31" t="s">
        <v>35</v>
      </c>
      <c r="C14" s="36" t="s">
        <v>34</v>
      </c>
      <c r="D14" s="11"/>
      <c r="E14" s="17"/>
      <c r="F14" s="11"/>
    </row>
    <row r="15" spans="2:6" x14ac:dyDescent="0.25">
      <c r="B15" s="320"/>
      <c r="C15" s="318" t="s">
        <v>32</v>
      </c>
      <c r="D15" s="322"/>
      <c r="E15" s="322"/>
      <c r="F15" s="323">
        <f>SUM(F9:F14)</f>
        <v>0</v>
      </c>
    </row>
    <row r="16" spans="2:6" x14ac:dyDescent="0.25">
      <c r="B16" s="317" t="s">
        <v>31</v>
      </c>
      <c r="C16" s="324" t="s">
        <v>30</v>
      </c>
      <c r="D16" s="322">
        <f>F15</f>
        <v>0</v>
      </c>
      <c r="E16" s="14">
        <f>'1.1 SALÁRIOS'!$F$33</f>
        <v>0</v>
      </c>
      <c r="F16" s="322">
        <f>E16*D16</f>
        <v>0</v>
      </c>
    </row>
    <row r="17" spans="2:6" x14ac:dyDescent="0.25">
      <c r="B17" s="317" t="s">
        <v>29</v>
      </c>
      <c r="C17" s="325" t="s">
        <v>28</v>
      </c>
      <c r="D17" s="322"/>
      <c r="E17" s="322"/>
      <c r="F17" s="323">
        <f>SUM(F15:F16)</f>
        <v>0</v>
      </c>
    </row>
    <row r="18" spans="2:6" x14ac:dyDescent="0.25">
      <c r="B18" s="317" t="s">
        <v>27</v>
      </c>
      <c r="C18" s="325" t="s">
        <v>26</v>
      </c>
      <c r="D18" s="322"/>
      <c r="E18" s="322"/>
      <c r="F18" s="322"/>
    </row>
    <row r="19" spans="2:6" x14ac:dyDescent="0.25">
      <c r="B19" s="9" t="s">
        <v>25</v>
      </c>
      <c r="C19" s="15" t="s">
        <v>24</v>
      </c>
      <c r="D19" s="11">
        <f>'1.1 SALÁRIOS'!$F$35</f>
        <v>0</v>
      </c>
      <c r="E19" s="11">
        <v>25.25</v>
      </c>
      <c r="F19" s="11">
        <f>IF(2*E19*D19-0.06*D9&lt;0,0,2*E19*D19-0.06*D9)</f>
        <v>0</v>
      </c>
    </row>
    <row r="20" spans="2:6" x14ac:dyDescent="0.25">
      <c r="B20" s="9" t="s">
        <v>23</v>
      </c>
      <c r="C20" s="15" t="s">
        <v>369</v>
      </c>
      <c r="D20" s="11">
        <f>('1.1 SALÁRIOS'!$F$36+'1.1 SALÁRIOS'!$F$37)/12</f>
        <v>0</v>
      </c>
      <c r="E20" s="11">
        <v>1</v>
      </c>
      <c r="F20" s="11">
        <f>E20*D20</f>
        <v>0</v>
      </c>
    </row>
    <row r="21" spans="2:6" x14ac:dyDescent="0.25">
      <c r="B21" s="9" t="s">
        <v>22</v>
      </c>
      <c r="C21" s="15" t="s">
        <v>370</v>
      </c>
      <c r="D21" s="11">
        <f>'1.1 SALÁRIOS'!$F$38</f>
        <v>0</v>
      </c>
      <c r="E21" s="11">
        <f>E19</f>
        <v>25.25</v>
      </c>
      <c r="F21" s="11">
        <f>E21*D21</f>
        <v>0</v>
      </c>
    </row>
    <row r="22" spans="2:6" x14ac:dyDescent="0.25">
      <c r="B22" s="9" t="s">
        <v>21</v>
      </c>
      <c r="C22" s="15" t="s">
        <v>371</v>
      </c>
      <c r="D22" s="11">
        <f>'1.1 SALÁRIOS'!$F$39</f>
        <v>0</v>
      </c>
      <c r="E22" s="11">
        <v>1</v>
      </c>
      <c r="F22" s="11">
        <f>E22*D22</f>
        <v>0</v>
      </c>
    </row>
    <row r="23" spans="2:6" x14ac:dyDescent="0.25">
      <c r="B23" s="9" t="s">
        <v>374</v>
      </c>
      <c r="C23" s="15" t="s">
        <v>372</v>
      </c>
      <c r="D23" s="11">
        <f>'1.1 SALÁRIOS'!$F$40</f>
        <v>0</v>
      </c>
      <c r="E23" s="11">
        <v>1</v>
      </c>
      <c r="F23" s="11">
        <f>E23*D23</f>
        <v>0</v>
      </c>
    </row>
    <row r="24" spans="2:6" x14ac:dyDescent="0.25">
      <c r="B24" s="9" t="s">
        <v>375</v>
      </c>
      <c r="C24" s="15" t="s">
        <v>373</v>
      </c>
      <c r="D24" s="11">
        <f>'1.1 SALÁRIOS'!$F$41</f>
        <v>0</v>
      </c>
      <c r="E24" s="11">
        <v>1</v>
      </c>
      <c r="F24" s="11">
        <f>E24*D24</f>
        <v>0</v>
      </c>
    </row>
    <row r="25" spans="2:6" x14ac:dyDescent="0.25">
      <c r="B25" s="320"/>
      <c r="C25" s="325" t="s">
        <v>20</v>
      </c>
      <c r="D25" s="323"/>
      <c r="E25" s="323"/>
      <c r="F25" s="323">
        <f>SUM(F19:F24)</f>
        <v>0</v>
      </c>
    </row>
    <row r="26" spans="2:6" x14ac:dyDescent="0.25">
      <c r="B26" s="317" t="s">
        <v>19</v>
      </c>
      <c r="C26" s="325" t="s">
        <v>18</v>
      </c>
      <c r="D26" s="322"/>
      <c r="E26" s="322"/>
      <c r="F26" s="322"/>
    </row>
    <row r="27" spans="2:6" x14ac:dyDescent="0.25">
      <c r="B27" s="320" t="s">
        <v>17</v>
      </c>
      <c r="C27" s="326" t="s">
        <v>16</v>
      </c>
      <c r="D27" s="11" t="e">
        <f>VLOOKUP(C27,'1.1 CUSTO FERRAME-UNIFORME-EPI'!B:C,2,FALSE)</f>
        <v>#DIV/0!</v>
      </c>
      <c r="E27" s="328">
        <v>0.17</v>
      </c>
      <c r="F27" s="322" t="e">
        <f t="shared" ref="F27:F34" si="0">E27*D27</f>
        <v>#DIV/0!</v>
      </c>
    </row>
    <row r="28" spans="2:6" x14ac:dyDescent="0.25">
      <c r="B28" s="320" t="s">
        <v>15</v>
      </c>
      <c r="C28" s="326" t="s">
        <v>14</v>
      </c>
      <c r="D28" s="11" t="e">
        <f>VLOOKUP(C28,'1.1 CUSTO FERRAME-UNIFORME-EPI'!B:C,2,FALSE)</f>
        <v>#DIV/0!</v>
      </c>
      <c r="E28" s="328">
        <v>0.33</v>
      </c>
      <c r="F28" s="322" t="e">
        <f t="shared" si="0"/>
        <v>#DIV/0!</v>
      </c>
    </row>
    <row r="29" spans="2:6" x14ac:dyDescent="0.25">
      <c r="B29" s="320" t="s">
        <v>13</v>
      </c>
      <c r="C29" s="326" t="s">
        <v>12</v>
      </c>
      <c r="D29" s="11" t="e">
        <f>VLOOKUP(C29,'1.1 CUSTO FERRAME-UNIFORME-EPI'!B:C,2,FALSE)</f>
        <v>#DIV/0!</v>
      </c>
      <c r="E29" s="328">
        <v>0.33</v>
      </c>
      <c r="F29" s="322" t="e">
        <f t="shared" si="0"/>
        <v>#DIV/0!</v>
      </c>
    </row>
    <row r="30" spans="2:6" x14ac:dyDescent="0.25">
      <c r="B30" s="320" t="s">
        <v>11</v>
      </c>
      <c r="C30" s="326" t="s">
        <v>10</v>
      </c>
      <c r="D30" s="11">
        <f>VLOOKUP(C30,'1.1 CUSTO FERRAME-UNIFORME-EPI'!B:C,2,FALSE)</f>
        <v>0</v>
      </c>
      <c r="E30" s="328">
        <v>0.17</v>
      </c>
      <c r="F30" s="322">
        <f t="shared" si="0"/>
        <v>0</v>
      </c>
    </row>
    <row r="31" spans="2:6" x14ac:dyDescent="0.25">
      <c r="B31" s="320" t="s">
        <v>9</v>
      </c>
      <c r="C31" s="326" t="s">
        <v>8</v>
      </c>
      <c r="D31" s="11">
        <f>VLOOKUP(C31,'1.1 CUSTO FERRAME-UNIFORME-EPI'!B:C,2,FALSE)</f>
        <v>0</v>
      </c>
      <c r="E31" s="328">
        <v>0.17</v>
      </c>
      <c r="F31" s="322">
        <f t="shared" si="0"/>
        <v>0</v>
      </c>
    </row>
    <row r="32" spans="2:6" x14ac:dyDescent="0.25">
      <c r="B32" s="320" t="s">
        <v>7</v>
      </c>
      <c r="C32" s="326" t="s">
        <v>6</v>
      </c>
      <c r="D32" s="11">
        <f>VLOOKUP(C32,'1.1 CUSTO FERRAME-UNIFORME-EPI'!B:C,2,FALSE)</f>
        <v>0</v>
      </c>
      <c r="E32" s="328">
        <v>0.3</v>
      </c>
      <c r="F32" s="322">
        <f t="shared" si="0"/>
        <v>0</v>
      </c>
    </row>
    <row r="33" spans="2:6" x14ac:dyDescent="0.25">
      <c r="B33" s="320" t="s">
        <v>5</v>
      </c>
      <c r="C33" s="326" t="s">
        <v>4</v>
      </c>
      <c r="D33" s="11" t="e">
        <f>VLOOKUP(C33,'1.1 CUSTO FERRAME-UNIFORME-EPI'!B:C,2,FALSE)</f>
        <v>#DIV/0!</v>
      </c>
      <c r="E33" s="328">
        <v>0</v>
      </c>
      <c r="F33" s="322" t="e">
        <f t="shared" si="0"/>
        <v>#DIV/0!</v>
      </c>
    </row>
    <row r="34" spans="2:6" x14ac:dyDescent="0.25">
      <c r="B34" s="320" t="s">
        <v>3</v>
      </c>
      <c r="C34" s="326" t="s">
        <v>202</v>
      </c>
      <c r="D34" s="11" t="e">
        <f>VLOOKUP(C34,'1.1 CUSTO FERRAME-UNIFORME-EPI'!B:C,2,FALSE)</f>
        <v>#DIV/0!</v>
      </c>
      <c r="E34" s="329">
        <v>0.08</v>
      </c>
      <c r="F34" s="322" t="e">
        <f t="shared" si="0"/>
        <v>#DIV/0!</v>
      </c>
    </row>
    <row r="35" spans="2:6" x14ac:dyDescent="0.25">
      <c r="B35" s="320"/>
      <c r="C35" s="325" t="s">
        <v>2</v>
      </c>
      <c r="D35" s="330"/>
      <c r="E35" s="330"/>
      <c r="F35" s="331" t="e">
        <f>SUM(F27:F34)</f>
        <v>#DIV/0!</v>
      </c>
    </row>
    <row r="36" spans="2:6" x14ac:dyDescent="0.25">
      <c r="B36" s="320"/>
      <c r="C36" s="332"/>
      <c r="D36" s="330"/>
      <c r="E36" s="330"/>
      <c r="F36" s="331"/>
    </row>
    <row r="37" spans="2:6" x14ac:dyDescent="0.25">
      <c r="B37" s="333" t="s">
        <v>1</v>
      </c>
      <c r="C37" s="334" t="s">
        <v>0</v>
      </c>
      <c r="D37" s="335"/>
      <c r="E37" s="335"/>
      <c r="F37" s="336" t="e">
        <f>SUM(F17,F25,F35)</f>
        <v>#DIV/0!</v>
      </c>
    </row>
    <row r="40" spans="2:6" x14ac:dyDescent="0.25">
      <c r="B40" s="313" t="s">
        <v>54</v>
      </c>
      <c r="C40" s="313" t="s">
        <v>53</v>
      </c>
      <c r="D40" s="714" t="s">
        <v>402</v>
      </c>
      <c r="E40" s="714"/>
      <c r="F40" s="714"/>
    </row>
    <row r="41" spans="2:6" x14ac:dyDescent="0.25">
      <c r="B41" s="315"/>
      <c r="C41" s="315"/>
      <c r="D41" s="713"/>
      <c r="E41" s="713"/>
      <c r="F41" s="713"/>
    </row>
    <row r="42" spans="2:6" x14ac:dyDescent="0.25">
      <c r="B42" s="317" t="s">
        <v>52</v>
      </c>
      <c r="C42" s="337" t="s">
        <v>51</v>
      </c>
      <c r="D42" s="319" t="s">
        <v>50</v>
      </c>
      <c r="E42" s="319" t="s">
        <v>49</v>
      </c>
      <c r="F42" s="319" t="s">
        <v>48</v>
      </c>
    </row>
    <row r="43" spans="2:6" x14ac:dyDescent="0.25">
      <c r="B43" s="317" t="s">
        <v>47</v>
      </c>
      <c r="C43" s="337" t="s">
        <v>46</v>
      </c>
      <c r="D43" s="319"/>
      <c r="E43" s="319"/>
      <c r="F43" s="319"/>
    </row>
    <row r="44" spans="2:6" x14ac:dyDescent="0.25">
      <c r="B44" s="320" t="s">
        <v>45</v>
      </c>
      <c r="C44" s="338" t="s">
        <v>44</v>
      </c>
      <c r="D44" s="339">
        <f>'1.1 SALÁRIOS'!F26</f>
        <v>0</v>
      </c>
      <c r="E44" s="322">
        <v>1</v>
      </c>
      <c r="F44" s="322">
        <f>E44*D44</f>
        <v>0</v>
      </c>
    </row>
    <row r="45" spans="2:6" x14ac:dyDescent="0.25">
      <c r="B45" s="320" t="s">
        <v>43</v>
      </c>
      <c r="C45" s="338" t="s">
        <v>42</v>
      </c>
      <c r="D45" s="11">
        <f>'1.1 SALÁRIOS'!$F$23</f>
        <v>0</v>
      </c>
      <c r="E45" s="34">
        <v>0</v>
      </c>
      <c r="F45" s="11">
        <f>E45*D45</f>
        <v>0</v>
      </c>
    </row>
    <row r="46" spans="2:6" x14ac:dyDescent="0.25">
      <c r="B46" s="320" t="s">
        <v>41</v>
      </c>
      <c r="C46" s="338" t="s">
        <v>56</v>
      </c>
      <c r="D46" s="322"/>
      <c r="E46" s="322"/>
      <c r="F46" s="322"/>
    </row>
    <row r="47" spans="2:6" x14ac:dyDescent="0.25">
      <c r="B47" s="320" t="s">
        <v>39</v>
      </c>
      <c r="C47" s="338" t="s">
        <v>38</v>
      </c>
      <c r="D47" s="322"/>
      <c r="E47" s="322"/>
      <c r="F47" s="322"/>
    </row>
    <row r="48" spans="2:6" x14ac:dyDescent="0.25">
      <c r="B48" s="320" t="s">
        <v>37</v>
      </c>
      <c r="C48" s="338" t="s">
        <v>36</v>
      </c>
      <c r="D48" s="322"/>
      <c r="E48" s="322"/>
      <c r="F48" s="322"/>
    </row>
    <row r="49" spans="2:6" x14ac:dyDescent="0.25">
      <c r="B49" s="320" t="s">
        <v>35</v>
      </c>
      <c r="C49" s="338" t="s">
        <v>34</v>
      </c>
      <c r="D49" s="322"/>
      <c r="E49" s="322"/>
      <c r="F49" s="322"/>
    </row>
    <row r="50" spans="2:6" x14ac:dyDescent="0.25">
      <c r="B50" s="320" t="s">
        <v>33</v>
      </c>
      <c r="C50" s="337" t="s">
        <v>32</v>
      </c>
      <c r="D50" s="322"/>
      <c r="E50" s="322"/>
      <c r="F50" s="323">
        <f>SUM(F44:F49)</f>
        <v>0</v>
      </c>
    </row>
    <row r="51" spans="2:6" x14ac:dyDescent="0.25">
      <c r="B51" s="317" t="s">
        <v>31</v>
      </c>
      <c r="C51" s="324" t="s">
        <v>30</v>
      </c>
      <c r="D51" s="322">
        <f>F50</f>
        <v>0</v>
      </c>
      <c r="E51" s="14">
        <f>'1.1 SALÁRIOS'!$F$33</f>
        <v>0</v>
      </c>
      <c r="F51" s="323">
        <f>E51*D51</f>
        <v>0</v>
      </c>
    </row>
    <row r="52" spans="2:6" x14ac:dyDescent="0.25">
      <c r="B52" s="317" t="s">
        <v>29</v>
      </c>
      <c r="C52" s="324" t="s">
        <v>28</v>
      </c>
      <c r="D52" s="322"/>
      <c r="E52" s="322"/>
      <c r="F52" s="323">
        <f>SUM(F50:F51)</f>
        <v>0</v>
      </c>
    </row>
    <row r="53" spans="2:6" x14ac:dyDescent="0.25">
      <c r="B53" s="317" t="s">
        <v>27</v>
      </c>
      <c r="C53" s="324" t="s">
        <v>26</v>
      </c>
      <c r="D53" s="322"/>
      <c r="E53" s="322"/>
      <c r="F53" s="322"/>
    </row>
    <row r="54" spans="2:6" x14ac:dyDescent="0.25">
      <c r="B54" s="9" t="s">
        <v>25</v>
      </c>
      <c r="C54" s="15" t="s">
        <v>24</v>
      </c>
      <c r="D54" s="11">
        <f>'1.1 SALÁRIOS'!$F$35</f>
        <v>0</v>
      </c>
      <c r="E54" s="11">
        <v>25.25</v>
      </c>
      <c r="F54" s="11">
        <f>IF(2*E54*D54-0.06*D44&lt;0,0,2*E54*D54-0.06*D44)</f>
        <v>0</v>
      </c>
    </row>
    <row r="55" spans="2:6" x14ac:dyDescent="0.25">
      <c r="B55" s="9" t="s">
        <v>23</v>
      </c>
      <c r="C55" s="15" t="s">
        <v>369</v>
      </c>
      <c r="D55" s="11">
        <f>('1.1 SALÁRIOS'!$F$36+'1.1 SALÁRIOS'!$F$37)/12</f>
        <v>0</v>
      </c>
      <c r="E55" s="11">
        <v>1</v>
      </c>
      <c r="F55" s="11">
        <f>E55*D55</f>
        <v>0</v>
      </c>
    </row>
    <row r="56" spans="2:6" x14ac:dyDescent="0.25">
      <c r="B56" s="9" t="s">
        <v>22</v>
      </c>
      <c r="C56" s="15" t="s">
        <v>370</v>
      </c>
      <c r="D56" s="11">
        <f>'1.1 SALÁRIOS'!$F$38</f>
        <v>0</v>
      </c>
      <c r="E56" s="11">
        <f>E54</f>
        <v>25.25</v>
      </c>
      <c r="F56" s="11">
        <f>E56*D56</f>
        <v>0</v>
      </c>
    </row>
    <row r="57" spans="2:6" x14ac:dyDescent="0.25">
      <c r="B57" s="9" t="s">
        <v>21</v>
      </c>
      <c r="C57" s="15" t="s">
        <v>371</v>
      </c>
      <c r="D57" s="11">
        <f>'1.1 SALÁRIOS'!$F$39</f>
        <v>0</v>
      </c>
      <c r="E57" s="11">
        <v>1</v>
      </c>
      <c r="F57" s="11">
        <f>E57*D57</f>
        <v>0</v>
      </c>
    </row>
    <row r="58" spans="2:6" x14ac:dyDescent="0.25">
      <c r="B58" s="9" t="s">
        <v>374</v>
      </c>
      <c r="C58" s="15" t="s">
        <v>372</v>
      </c>
      <c r="D58" s="11">
        <f>'1.1 SALÁRIOS'!$F$40</f>
        <v>0</v>
      </c>
      <c r="E58" s="11">
        <v>1</v>
      </c>
      <c r="F58" s="11">
        <f>E58*D58</f>
        <v>0</v>
      </c>
    </row>
    <row r="59" spans="2:6" x14ac:dyDescent="0.25">
      <c r="B59" s="9" t="s">
        <v>375</v>
      </c>
      <c r="C59" s="15" t="s">
        <v>373</v>
      </c>
      <c r="D59" s="11">
        <f>'1.1 SALÁRIOS'!$F$41</f>
        <v>0</v>
      </c>
      <c r="E59" s="11">
        <v>1</v>
      </c>
      <c r="F59" s="11">
        <f>E59*D59</f>
        <v>0</v>
      </c>
    </row>
    <row r="60" spans="2:6" x14ac:dyDescent="0.25">
      <c r="B60" s="320" t="s">
        <v>57</v>
      </c>
      <c r="C60" s="324" t="s">
        <v>20</v>
      </c>
      <c r="D60" s="323"/>
      <c r="E60" s="323"/>
      <c r="F60" s="323">
        <f>SUM(F54:F59)</f>
        <v>0</v>
      </c>
    </row>
    <row r="61" spans="2:6" x14ac:dyDescent="0.25">
      <c r="B61" s="317" t="s">
        <v>19</v>
      </c>
      <c r="C61" s="324" t="s">
        <v>18</v>
      </c>
      <c r="D61" s="322"/>
      <c r="E61" s="322"/>
      <c r="F61" s="322"/>
    </row>
    <row r="62" spans="2:6" x14ac:dyDescent="0.25">
      <c r="B62" s="320" t="s">
        <v>17</v>
      </c>
      <c r="C62" s="340" t="s">
        <v>16</v>
      </c>
      <c r="D62" s="11" t="e">
        <f>VLOOKUP(C62,'1.1 CUSTO FERRAME-UNIFORME-EPI'!B:C,2,FALSE)</f>
        <v>#DIV/0!</v>
      </c>
      <c r="E62" s="328">
        <v>0.17</v>
      </c>
      <c r="F62" s="322" t="e">
        <f t="shared" ref="F62:F69" si="1">E62*D62</f>
        <v>#DIV/0!</v>
      </c>
    </row>
    <row r="63" spans="2:6" x14ac:dyDescent="0.25">
      <c r="B63" s="320" t="s">
        <v>15</v>
      </c>
      <c r="C63" s="340" t="s">
        <v>14</v>
      </c>
      <c r="D63" s="11" t="e">
        <f>VLOOKUP(C63,'1.1 CUSTO FERRAME-UNIFORME-EPI'!B:C,2,FALSE)</f>
        <v>#DIV/0!</v>
      </c>
      <c r="E63" s="328">
        <v>0.33</v>
      </c>
      <c r="F63" s="322" t="e">
        <f t="shared" si="1"/>
        <v>#DIV/0!</v>
      </c>
    </row>
    <row r="64" spans="2:6" x14ac:dyDescent="0.25">
      <c r="B64" s="320" t="s">
        <v>13</v>
      </c>
      <c r="C64" s="340" t="s">
        <v>12</v>
      </c>
      <c r="D64" s="11" t="e">
        <f>VLOOKUP(C64,'1.1 CUSTO FERRAME-UNIFORME-EPI'!B:C,2,FALSE)</f>
        <v>#DIV/0!</v>
      </c>
      <c r="E64" s="328">
        <v>0.33</v>
      </c>
      <c r="F64" s="322" t="e">
        <f t="shared" si="1"/>
        <v>#DIV/0!</v>
      </c>
    </row>
    <row r="65" spans="2:6" x14ac:dyDescent="0.25">
      <c r="B65" s="320" t="s">
        <v>11</v>
      </c>
      <c r="C65" s="340" t="s">
        <v>10</v>
      </c>
      <c r="D65" s="11">
        <f>VLOOKUP(C65,'1.1 CUSTO FERRAME-UNIFORME-EPI'!B:C,2,FALSE)</f>
        <v>0</v>
      </c>
      <c r="E65" s="328">
        <v>0.17</v>
      </c>
      <c r="F65" s="322">
        <f t="shared" si="1"/>
        <v>0</v>
      </c>
    </row>
    <row r="66" spans="2:6" x14ac:dyDescent="0.25">
      <c r="B66" s="320" t="s">
        <v>9</v>
      </c>
      <c r="C66" s="340" t="s">
        <v>8</v>
      </c>
      <c r="D66" s="11">
        <f>VLOOKUP(C66,'1.1 CUSTO FERRAME-UNIFORME-EPI'!B:C,2,FALSE)</f>
        <v>0</v>
      </c>
      <c r="E66" s="328">
        <v>0.17</v>
      </c>
      <c r="F66" s="322">
        <f t="shared" si="1"/>
        <v>0</v>
      </c>
    </row>
    <row r="67" spans="2:6" x14ac:dyDescent="0.25">
      <c r="B67" s="320" t="s">
        <v>7</v>
      </c>
      <c r="C67" s="340" t="s">
        <v>6</v>
      </c>
      <c r="D67" s="11">
        <f>VLOOKUP(C67,'1.1 CUSTO FERRAME-UNIFORME-EPI'!B:C,2,FALSE)</f>
        <v>0</v>
      </c>
      <c r="E67" s="328">
        <v>0.3</v>
      </c>
      <c r="F67" s="322">
        <f t="shared" si="1"/>
        <v>0</v>
      </c>
    </row>
    <row r="68" spans="2:6" x14ac:dyDescent="0.25">
      <c r="B68" s="320" t="s">
        <v>5</v>
      </c>
      <c r="C68" s="340" t="s">
        <v>4</v>
      </c>
      <c r="D68" s="11" t="e">
        <f>VLOOKUP(C68,'1.1 CUSTO FERRAME-UNIFORME-EPI'!B:C,2,FALSE)</f>
        <v>#DIV/0!</v>
      </c>
      <c r="E68" s="328">
        <v>0</v>
      </c>
      <c r="F68" s="322" t="e">
        <f t="shared" si="1"/>
        <v>#DIV/0!</v>
      </c>
    </row>
    <row r="69" spans="2:6" x14ac:dyDescent="0.25">
      <c r="B69" s="320" t="s">
        <v>3</v>
      </c>
      <c r="C69" s="326" t="s">
        <v>202</v>
      </c>
      <c r="D69" s="11" t="e">
        <f>VLOOKUP(C69,'1.1 CUSTO FERRAME-UNIFORME-EPI'!B:C,2,FALSE)</f>
        <v>#DIV/0!</v>
      </c>
      <c r="E69" s="329">
        <v>0.08</v>
      </c>
      <c r="F69" s="322" t="e">
        <f t="shared" si="1"/>
        <v>#DIV/0!</v>
      </c>
    </row>
    <row r="70" spans="2:6" x14ac:dyDescent="0.25">
      <c r="B70" s="320"/>
      <c r="C70" s="341" t="s">
        <v>2</v>
      </c>
      <c r="D70" s="330"/>
      <c r="E70" s="330"/>
      <c r="F70" s="331" t="e">
        <f>SUM(F62:F69)</f>
        <v>#DIV/0!</v>
      </c>
    </row>
    <row r="71" spans="2:6" x14ac:dyDescent="0.25">
      <c r="B71" s="342"/>
      <c r="C71" s="343"/>
      <c r="D71" s="344"/>
      <c r="E71" s="344"/>
      <c r="F71" s="345"/>
    </row>
    <row r="72" spans="2:6" x14ac:dyDescent="0.25">
      <c r="B72" s="333" t="s">
        <v>1</v>
      </c>
      <c r="C72" s="346" t="s">
        <v>0</v>
      </c>
      <c r="D72" s="335"/>
      <c r="E72" s="335"/>
      <c r="F72" s="336" t="e">
        <f>SUM(F70,F60,F52)</f>
        <v>#DIV/0!</v>
      </c>
    </row>
    <row r="75" spans="2:6" x14ac:dyDescent="0.25">
      <c r="B75" s="313" t="s">
        <v>54</v>
      </c>
      <c r="C75" s="313" t="s">
        <v>53</v>
      </c>
      <c r="D75" s="708" t="s">
        <v>403</v>
      </c>
      <c r="E75" s="708"/>
      <c r="F75" s="708"/>
    </row>
    <row r="76" spans="2:6" x14ac:dyDescent="0.25">
      <c r="B76" s="315"/>
      <c r="C76" s="315"/>
      <c r="D76" s="713"/>
      <c r="E76" s="713"/>
      <c r="F76" s="713"/>
    </row>
    <row r="77" spans="2:6" x14ac:dyDescent="0.25">
      <c r="B77" s="317" t="s">
        <v>52</v>
      </c>
      <c r="C77" s="337" t="s">
        <v>51</v>
      </c>
      <c r="D77" s="319" t="s">
        <v>50</v>
      </c>
      <c r="E77" s="319" t="s">
        <v>49</v>
      </c>
      <c r="F77" s="319" t="s">
        <v>48</v>
      </c>
    </row>
    <row r="78" spans="2:6" x14ac:dyDescent="0.25">
      <c r="B78" s="317" t="s">
        <v>47</v>
      </c>
      <c r="C78" s="337" t="s">
        <v>46</v>
      </c>
      <c r="D78" s="319"/>
      <c r="E78" s="319"/>
      <c r="F78" s="319"/>
    </row>
    <row r="79" spans="2:6" x14ac:dyDescent="0.25">
      <c r="B79" s="320" t="s">
        <v>45</v>
      </c>
      <c r="C79" s="338" t="s">
        <v>44</v>
      </c>
      <c r="D79" s="339">
        <f>'1.1 SALÁRIOS'!F7</f>
        <v>0</v>
      </c>
      <c r="E79" s="322">
        <v>1</v>
      </c>
      <c r="F79" s="322">
        <f>E79*D79</f>
        <v>0</v>
      </c>
    </row>
    <row r="80" spans="2:6" x14ac:dyDescent="0.25">
      <c r="B80" s="320" t="s">
        <v>43</v>
      </c>
      <c r="C80" s="338" t="s">
        <v>42</v>
      </c>
      <c r="D80" s="11">
        <f>'1.1 SALÁRIOS'!$F$23</f>
        <v>0</v>
      </c>
      <c r="E80" s="34">
        <v>0.2</v>
      </c>
      <c r="F80" s="11">
        <f>E80*D80</f>
        <v>0</v>
      </c>
    </row>
    <row r="81" spans="2:6" x14ac:dyDescent="0.25">
      <c r="B81" s="320" t="s">
        <v>41</v>
      </c>
      <c r="C81" s="338" t="s">
        <v>56</v>
      </c>
      <c r="D81" s="322"/>
      <c r="E81" s="322"/>
      <c r="F81" s="322"/>
    </row>
    <row r="82" spans="2:6" x14ac:dyDescent="0.25">
      <c r="B82" s="320" t="s">
        <v>39</v>
      </c>
      <c r="C82" s="338" t="s">
        <v>38</v>
      </c>
      <c r="D82" s="322"/>
      <c r="E82" s="322"/>
      <c r="F82" s="322"/>
    </row>
    <row r="83" spans="2:6" x14ac:dyDescent="0.25">
      <c r="B83" s="320" t="s">
        <v>37</v>
      </c>
      <c r="C83" s="338" t="s">
        <v>36</v>
      </c>
      <c r="D83" s="322"/>
      <c r="E83" s="322"/>
      <c r="F83" s="322"/>
    </row>
    <row r="84" spans="2:6" x14ac:dyDescent="0.25">
      <c r="B84" s="320" t="s">
        <v>35</v>
      </c>
      <c r="C84" s="338" t="s">
        <v>34</v>
      </c>
      <c r="D84" s="322"/>
      <c r="E84" s="322"/>
      <c r="F84" s="322"/>
    </row>
    <row r="85" spans="2:6" x14ac:dyDescent="0.25">
      <c r="B85" s="320"/>
      <c r="C85" s="337" t="s">
        <v>32</v>
      </c>
      <c r="D85" s="322"/>
      <c r="E85" s="322"/>
      <c r="F85" s="323">
        <f>SUM(F79:F84)</f>
        <v>0</v>
      </c>
    </row>
    <row r="86" spans="2:6" x14ac:dyDescent="0.25">
      <c r="B86" s="317" t="s">
        <v>31</v>
      </c>
      <c r="C86" s="347" t="s">
        <v>30</v>
      </c>
      <c r="D86" s="348">
        <f>F85</f>
        <v>0</v>
      </c>
      <c r="E86" s="14">
        <f>'1.1 SALÁRIOS'!$F$33</f>
        <v>0</v>
      </c>
      <c r="F86" s="322">
        <f>E86*D86</f>
        <v>0</v>
      </c>
    </row>
    <row r="87" spans="2:6" x14ac:dyDescent="0.25">
      <c r="B87" s="317" t="s">
        <v>29</v>
      </c>
      <c r="C87" s="324" t="s">
        <v>28</v>
      </c>
      <c r="D87" s="322"/>
      <c r="E87" s="322"/>
      <c r="F87" s="323">
        <f>SUM(F85:F86)</f>
        <v>0</v>
      </c>
    </row>
    <row r="88" spans="2:6" x14ac:dyDescent="0.25">
      <c r="B88" s="317" t="s">
        <v>27</v>
      </c>
      <c r="C88" s="324" t="s">
        <v>26</v>
      </c>
      <c r="D88" s="322"/>
      <c r="E88" s="322"/>
      <c r="F88" s="322"/>
    </row>
    <row r="89" spans="2:6" x14ac:dyDescent="0.25">
      <c r="B89" s="9" t="s">
        <v>25</v>
      </c>
      <c r="C89" s="15" t="s">
        <v>24</v>
      </c>
      <c r="D89" s="11">
        <f>'1.1 SALÁRIOS'!$F$35</f>
        <v>0</v>
      </c>
      <c r="E89" s="11">
        <v>25.25</v>
      </c>
      <c r="F89" s="11">
        <f>IF(2*E89*D89-0.06*D79&lt;0,0,2*E89*D89-0.06*D79)</f>
        <v>0</v>
      </c>
    </row>
    <row r="90" spans="2:6" x14ac:dyDescent="0.25">
      <c r="B90" s="9" t="s">
        <v>23</v>
      </c>
      <c r="C90" s="15" t="s">
        <v>369</v>
      </c>
      <c r="D90" s="11">
        <f>('1.1 SALÁRIOS'!$F$36+'1.1 SALÁRIOS'!$F$37)/12</f>
        <v>0</v>
      </c>
      <c r="E90" s="11">
        <v>1</v>
      </c>
      <c r="F90" s="11">
        <f>E90*D90</f>
        <v>0</v>
      </c>
    </row>
    <row r="91" spans="2:6" x14ac:dyDescent="0.25">
      <c r="B91" s="9" t="s">
        <v>22</v>
      </c>
      <c r="C91" s="15" t="s">
        <v>370</v>
      </c>
      <c r="D91" s="11">
        <f>'1.1 SALÁRIOS'!$F$38</f>
        <v>0</v>
      </c>
      <c r="E91" s="11">
        <f>E89</f>
        <v>25.25</v>
      </c>
      <c r="F91" s="11">
        <f>E91*D91</f>
        <v>0</v>
      </c>
    </row>
    <row r="92" spans="2:6" x14ac:dyDescent="0.25">
      <c r="B92" s="9" t="s">
        <v>21</v>
      </c>
      <c r="C92" s="15" t="s">
        <v>371</v>
      </c>
      <c r="D92" s="11">
        <f>'1.1 SALÁRIOS'!$F$39</f>
        <v>0</v>
      </c>
      <c r="E92" s="11">
        <v>1</v>
      </c>
      <c r="F92" s="11">
        <f>E92*D92</f>
        <v>0</v>
      </c>
    </row>
    <row r="93" spans="2:6" x14ac:dyDescent="0.25">
      <c r="B93" s="9" t="s">
        <v>374</v>
      </c>
      <c r="C93" s="15" t="s">
        <v>372</v>
      </c>
      <c r="D93" s="11">
        <f>'1.1 SALÁRIOS'!$F$40</f>
        <v>0</v>
      </c>
      <c r="E93" s="11">
        <v>1</v>
      </c>
      <c r="F93" s="11">
        <f>E93*D93</f>
        <v>0</v>
      </c>
    </row>
    <row r="94" spans="2:6" x14ac:dyDescent="0.25">
      <c r="B94" s="9" t="s">
        <v>375</v>
      </c>
      <c r="C94" s="15" t="s">
        <v>373</v>
      </c>
      <c r="D94" s="11">
        <f>'1.1 SALÁRIOS'!$F$41</f>
        <v>0</v>
      </c>
      <c r="E94" s="11">
        <v>1</v>
      </c>
      <c r="F94" s="11">
        <f>E94*D94</f>
        <v>0</v>
      </c>
    </row>
    <row r="95" spans="2:6" x14ac:dyDescent="0.25">
      <c r="B95" s="320"/>
      <c r="C95" s="324" t="s">
        <v>20</v>
      </c>
      <c r="D95" s="323"/>
      <c r="E95" s="323"/>
      <c r="F95" s="323">
        <f>SUM(F89:F94)</f>
        <v>0</v>
      </c>
    </row>
    <row r="96" spans="2:6" x14ac:dyDescent="0.25">
      <c r="B96" s="317" t="s">
        <v>19</v>
      </c>
      <c r="C96" s="324" t="s">
        <v>18</v>
      </c>
      <c r="D96" s="322"/>
      <c r="E96" s="322"/>
      <c r="F96" s="322"/>
    </row>
    <row r="97" spans="2:6" x14ac:dyDescent="0.25">
      <c r="B97" s="320" t="s">
        <v>17</v>
      </c>
      <c r="C97" s="340" t="s">
        <v>16</v>
      </c>
      <c r="D97" s="11" t="e">
        <f>VLOOKUP(C97,'1.1 CUSTO FERRAME-UNIFORME-EPI'!B:C,2,FALSE)</f>
        <v>#DIV/0!</v>
      </c>
      <c r="E97" s="328">
        <v>0.25</v>
      </c>
      <c r="F97" s="322" t="e">
        <f t="shared" ref="F97:F106" si="2">E97*D97</f>
        <v>#DIV/0!</v>
      </c>
    </row>
    <row r="98" spans="2:6" x14ac:dyDescent="0.25">
      <c r="B98" s="320" t="s">
        <v>15</v>
      </c>
      <c r="C98" s="340" t="s">
        <v>210</v>
      </c>
      <c r="D98" s="11">
        <f>VLOOKUP(C98,'1.1 CUSTO FERRAME-UNIFORME-EPI'!B:C,2,FALSE)</f>
        <v>0</v>
      </c>
      <c r="E98" s="328">
        <v>0.5</v>
      </c>
      <c r="F98" s="322">
        <f t="shared" si="2"/>
        <v>0</v>
      </c>
    </row>
    <row r="99" spans="2:6" x14ac:dyDescent="0.25">
      <c r="B99" s="320" t="s">
        <v>13</v>
      </c>
      <c r="C99" s="340" t="s">
        <v>209</v>
      </c>
      <c r="D99" s="11">
        <f>VLOOKUP(C99,'1.1 CUSTO FERRAME-UNIFORME-EPI'!B:C,2,FALSE)</f>
        <v>0</v>
      </c>
      <c r="E99" s="328">
        <v>0.5</v>
      </c>
      <c r="F99" s="322">
        <f t="shared" si="2"/>
        <v>0</v>
      </c>
    </row>
    <row r="100" spans="2:6" x14ac:dyDescent="0.25">
      <c r="B100" s="320" t="s">
        <v>11</v>
      </c>
      <c r="C100" s="340" t="s">
        <v>205</v>
      </c>
      <c r="D100" s="11">
        <f>VLOOKUP(C100,'1.1 CUSTO FERRAME-UNIFORME-EPI'!B:C,2,FALSE)</f>
        <v>0</v>
      </c>
      <c r="E100" s="328">
        <v>0.25</v>
      </c>
      <c r="F100" s="322">
        <f t="shared" si="2"/>
        <v>0</v>
      </c>
    </row>
    <row r="101" spans="2:6" x14ac:dyDescent="0.25">
      <c r="B101" s="320" t="s">
        <v>9</v>
      </c>
      <c r="C101" s="340" t="s">
        <v>58</v>
      </c>
      <c r="D101" s="11" t="e">
        <f>VLOOKUP(C101,'1.1 CUSTO FERRAME-UNIFORME-EPI'!B:C,2,FALSE)</f>
        <v>#DIV/0!</v>
      </c>
      <c r="E101" s="328">
        <v>0.25</v>
      </c>
      <c r="F101" s="322" t="e">
        <f t="shared" si="2"/>
        <v>#DIV/0!</v>
      </c>
    </row>
    <row r="102" spans="2:6" x14ac:dyDescent="0.25">
      <c r="B102" s="320" t="s">
        <v>7</v>
      </c>
      <c r="C102" s="340" t="s">
        <v>8</v>
      </c>
      <c r="D102" s="11">
        <f>VLOOKUP(C102,'1.1 CUSTO FERRAME-UNIFORME-EPI'!B:C,2,FALSE)</f>
        <v>0</v>
      </c>
      <c r="E102" s="328">
        <v>0.17</v>
      </c>
      <c r="F102" s="322">
        <f t="shared" si="2"/>
        <v>0</v>
      </c>
    </row>
    <row r="103" spans="2:6" x14ac:dyDescent="0.25">
      <c r="B103" s="320" t="s">
        <v>5</v>
      </c>
      <c r="C103" s="340" t="s">
        <v>204</v>
      </c>
      <c r="D103" s="11">
        <f>VLOOKUP(C103,'1.1 CUSTO FERRAME-UNIFORME-EPI'!B:C,2,FALSE)</f>
        <v>0</v>
      </c>
      <c r="E103" s="328">
        <v>0.5</v>
      </c>
      <c r="F103" s="322">
        <f t="shared" si="2"/>
        <v>0</v>
      </c>
    </row>
    <row r="104" spans="2:6" x14ac:dyDescent="0.25">
      <c r="B104" s="320" t="s">
        <v>3</v>
      </c>
      <c r="C104" s="340" t="s">
        <v>203</v>
      </c>
      <c r="D104" s="11">
        <f>VLOOKUP(C104,'1.1 CUSTO FERRAME-UNIFORME-EPI'!B:C,2,FALSE)</f>
        <v>0</v>
      </c>
      <c r="E104" s="328">
        <v>2.17</v>
      </c>
      <c r="F104" s="322">
        <f t="shared" si="2"/>
        <v>0</v>
      </c>
    </row>
    <row r="105" spans="2:6" x14ac:dyDescent="0.25">
      <c r="B105" s="320" t="s">
        <v>60</v>
      </c>
      <c r="C105" s="340" t="s">
        <v>6</v>
      </c>
      <c r="D105" s="11">
        <f>VLOOKUP(C105,'1.1 CUSTO FERRAME-UNIFORME-EPI'!B:C,2,FALSE)</f>
        <v>0</v>
      </c>
      <c r="E105" s="328">
        <v>0.3</v>
      </c>
      <c r="F105" s="322">
        <f t="shared" si="2"/>
        <v>0</v>
      </c>
    </row>
    <row r="106" spans="2:6" x14ac:dyDescent="0.25">
      <c r="B106" s="320" t="s">
        <v>400</v>
      </c>
      <c r="C106" s="326" t="s">
        <v>202</v>
      </c>
      <c r="D106" s="11" t="e">
        <f>VLOOKUP(C106,'1.1 CUSTO FERRAME-UNIFORME-EPI'!B:C,2,FALSE)</f>
        <v>#DIV/0!</v>
      </c>
      <c r="E106" s="329">
        <v>0.08</v>
      </c>
      <c r="F106" s="322" t="e">
        <f t="shared" si="2"/>
        <v>#DIV/0!</v>
      </c>
    </row>
    <row r="107" spans="2:6" x14ac:dyDescent="0.25">
      <c r="B107" s="320"/>
      <c r="C107" s="341" t="s">
        <v>2</v>
      </c>
      <c r="D107" s="330"/>
      <c r="E107" s="330"/>
      <c r="F107" s="331" t="e">
        <f>SUM(F97:F106)</f>
        <v>#DIV/0!</v>
      </c>
    </row>
    <row r="108" spans="2:6" x14ac:dyDescent="0.25">
      <c r="B108" s="342"/>
      <c r="C108" s="343"/>
      <c r="D108" s="344"/>
      <c r="E108" s="344"/>
      <c r="F108" s="345"/>
    </row>
    <row r="109" spans="2:6" x14ac:dyDescent="0.25">
      <c r="B109" s="333" t="s">
        <v>1</v>
      </c>
      <c r="C109" s="346" t="s">
        <v>0</v>
      </c>
      <c r="D109" s="335"/>
      <c r="E109" s="335"/>
      <c r="F109" s="336" t="e">
        <f>F107+F95+F87</f>
        <v>#DIV/0!</v>
      </c>
    </row>
    <row r="112" spans="2:6" x14ac:dyDescent="0.25">
      <c r="B112" s="313" t="s">
        <v>54</v>
      </c>
      <c r="C112" s="313" t="s">
        <v>53</v>
      </c>
      <c r="D112" s="705" t="s">
        <v>486</v>
      </c>
      <c r="E112" s="706"/>
      <c r="F112" s="707"/>
    </row>
    <row r="113" spans="2:6" x14ac:dyDescent="0.25">
      <c r="B113" s="317" t="s">
        <v>52</v>
      </c>
      <c r="C113" s="324" t="s">
        <v>51</v>
      </c>
      <c r="D113" s="323"/>
      <c r="E113" s="349"/>
      <c r="F113" s="323"/>
    </row>
    <row r="114" spans="2:6" x14ac:dyDescent="0.25">
      <c r="B114" s="317" t="s">
        <v>47</v>
      </c>
      <c r="C114" s="324" t="s">
        <v>46</v>
      </c>
      <c r="D114" s="323"/>
      <c r="E114" s="349"/>
      <c r="F114" s="323"/>
    </row>
    <row r="115" spans="2:6" x14ac:dyDescent="0.25">
      <c r="B115" s="320" t="s">
        <v>45</v>
      </c>
      <c r="C115" s="340" t="s">
        <v>44</v>
      </c>
      <c r="D115" s="322">
        <f>'1.1 SALÁRIOS'!F21</f>
        <v>0</v>
      </c>
      <c r="E115" s="328">
        <v>1</v>
      </c>
      <c r="F115" s="322">
        <f>E115*D115</f>
        <v>0</v>
      </c>
    </row>
    <row r="116" spans="2:6" x14ac:dyDescent="0.25">
      <c r="B116" s="320" t="s">
        <v>43</v>
      </c>
      <c r="C116" s="340" t="s">
        <v>42</v>
      </c>
      <c r="D116" s="11">
        <f>'1.1 SALÁRIOS'!$F$23</f>
        <v>0</v>
      </c>
      <c r="E116" s="34">
        <v>0.2</v>
      </c>
      <c r="F116" s="11">
        <f>E116*D116</f>
        <v>0</v>
      </c>
    </row>
    <row r="117" spans="2:6" x14ac:dyDescent="0.25">
      <c r="B117" s="320" t="s">
        <v>41</v>
      </c>
      <c r="C117" s="340" t="s">
        <v>40</v>
      </c>
      <c r="D117" s="322"/>
      <c r="E117" s="328"/>
      <c r="F117" s="322"/>
    </row>
    <row r="118" spans="2:6" x14ac:dyDescent="0.25">
      <c r="B118" s="320" t="s">
        <v>39</v>
      </c>
      <c r="C118" s="340" t="s">
        <v>38</v>
      </c>
      <c r="D118" s="322"/>
      <c r="E118" s="328"/>
      <c r="F118" s="322"/>
    </row>
    <row r="119" spans="2:6" x14ac:dyDescent="0.25">
      <c r="B119" s="320" t="s">
        <v>37</v>
      </c>
      <c r="C119" s="340" t="s">
        <v>36</v>
      </c>
      <c r="D119" s="322"/>
      <c r="E119" s="328"/>
      <c r="F119" s="322"/>
    </row>
    <row r="120" spans="2:6" x14ac:dyDescent="0.25">
      <c r="B120" s="320" t="s">
        <v>35</v>
      </c>
      <c r="C120" s="340" t="s">
        <v>34</v>
      </c>
      <c r="D120" s="322"/>
      <c r="E120" s="328"/>
      <c r="F120" s="322"/>
    </row>
    <row r="121" spans="2:6" x14ac:dyDescent="0.25">
      <c r="B121" s="317"/>
      <c r="C121" s="324" t="s">
        <v>32</v>
      </c>
      <c r="D121" s="323"/>
      <c r="E121" s="349"/>
      <c r="F121" s="323">
        <f>SUM(F115:F120)</f>
        <v>0</v>
      </c>
    </row>
    <row r="122" spans="2:6" x14ac:dyDescent="0.25">
      <c r="B122" s="317" t="s">
        <v>31</v>
      </c>
      <c r="C122" s="324" t="s">
        <v>65</v>
      </c>
      <c r="D122" s="322">
        <f>F121</f>
        <v>0</v>
      </c>
      <c r="E122" s="14">
        <f>'1.1 SALÁRIOS'!$F$33</f>
        <v>0</v>
      </c>
      <c r="F122" s="322">
        <f>E122*D122</f>
        <v>0</v>
      </c>
    </row>
    <row r="123" spans="2:6" x14ac:dyDescent="0.25">
      <c r="B123" s="317" t="s">
        <v>29</v>
      </c>
      <c r="C123" s="324" t="s">
        <v>28</v>
      </c>
      <c r="D123" s="323"/>
      <c r="E123" s="349"/>
      <c r="F123" s="323">
        <f>SUM(F121:F122)</f>
        <v>0</v>
      </c>
    </row>
    <row r="124" spans="2:6" x14ac:dyDescent="0.25">
      <c r="B124" s="317" t="s">
        <v>27</v>
      </c>
      <c r="C124" s="324" t="s">
        <v>26</v>
      </c>
      <c r="D124" s="322"/>
      <c r="E124" s="328"/>
      <c r="F124" s="322"/>
    </row>
    <row r="125" spans="2:6" x14ac:dyDescent="0.25">
      <c r="B125" s="9" t="s">
        <v>25</v>
      </c>
      <c r="C125" s="15" t="s">
        <v>24</v>
      </c>
      <c r="D125" s="11">
        <f>'1.1 SALÁRIOS'!$F$35</f>
        <v>0</v>
      </c>
      <c r="E125" s="11">
        <v>25.25</v>
      </c>
      <c r="F125" s="11">
        <f>IF(2*E125*D125-0.06*D115&lt;0,0,2*E125*D125-0.06*D115)</f>
        <v>0</v>
      </c>
    </row>
    <row r="126" spans="2:6" x14ac:dyDescent="0.25">
      <c r="B126" s="9" t="s">
        <v>23</v>
      </c>
      <c r="C126" s="15" t="s">
        <v>369</v>
      </c>
      <c r="D126" s="11">
        <f>('1.1 SALÁRIOS'!$F$36+'1.1 SALÁRIOS'!$F$37)/12</f>
        <v>0</v>
      </c>
      <c r="E126" s="11">
        <v>1</v>
      </c>
      <c r="F126" s="11">
        <f>E126*D126</f>
        <v>0</v>
      </c>
    </row>
    <row r="127" spans="2:6" x14ac:dyDescent="0.25">
      <c r="B127" s="9" t="s">
        <v>22</v>
      </c>
      <c r="C127" s="15" t="s">
        <v>370</v>
      </c>
      <c r="D127" s="11">
        <f>'1.1 SALÁRIOS'!$F$38</f>
        <v>0</v>
      </c>
      <c r="E127" s="11">
        <f>E125</f>
        <v>25.25</v>
      </c>
      <c r="F127" s="11">
        <f>E127*D127</f>
        <v>0</v>
      </c>
    </row>
    <row r="128" spans="2:6" x14ac:dyDescent="0.25">
      <c r="B128" s="9" t="s">
        <v>21</v>
      </c>
      <c r="C128" s="15" t="s">
        <v>371</v>
      </c>
      <c r="D128" s="11">
        <f>'1.1 SALÁRIOS'!$F$39</f>
        <v>0</v>
      </c>
      <c r="E128" s="11">
        <v>1</v>
      </c>
      <c r="F128" s="11">
        <f>E128*D128</f>
        <v>0</v>
      </c>
    </row>
    <row r="129" spans="2:6" x14ac:dyDescent="0.25">
      <c r="B129" s="9" t="s">
        <v>374</v>
      </c>
      <c r="C129" s="15" t="s">
        <v>372</v>
      </c>
      <c r="D129" s="11">
        <f>'1.1 SALÁRIOS'!$F$40</f>
        <v>0</v>
      </c>
      <c r="E129" s="11">
        <v>1</v>
      </c>
      <c r="F129" s="11">
        <f>E129*D129</f>
        <v>0</v>
      </c>
    </row>
    <row r="130" spans="2:6" x14ac:dyDescent="0.25">
      <c r="B130" s="9" t="s">
        <v>375</v>
      </c>
      <c r="C130" s="15" t="s">
        <v>373</v>
      </c>
      <c r="D130" s="11">
        <f>'1.1 SALÁRIOS'!$F$41</f>
        <v>0</v>
      </c>
      <c r="E130" s="11">
        <v>1</v>
      </c>
      <c r="F130" s="11">
        <f>E130*D130</f>
        <v>0</v>
      </c>
    </row>
    <row r="131" spans="2:6" x14ac:dyDescent="0.25">
      <c r="B131" s="317"/>
      <c r="C131" s="324" t="s">
        <v>20</v>
      </c>
      <c r="D131" s="323"/>
      <c r="E131" s="349"/>
      <c r="F131" s="323">
        <f>SUM(F125:F130)</f>
        <v>0</v>
      </c>
    </row>
    <row r="132" spans="2:6" x14ac:dyDescent="0.25">
      <c r="B132" s="317" t="s">
        <v>19</v>
      </c>
      <c r="C132" s="324" t="s">
        <v>18</v>
      </c>
      <c r="D132" s="322"/>
      <c r="E132" s="328"/>
      <c r="F132" s="322"/>
    </row>
    <row r="133" spans="2:6" x14ac:dyDescent="0.25">
      <c r="B133" s="320" t="s">
        <v>17</v>
      </c>
      <c r="C133" s="340" t="s">
        <v>16</v>
      </c>
      <c r="D133" s="11" t="e">
        <f>VLOOKUP(C133,'1.1 CUSTO FERRAME-UNIFORME-EPI'!B:C,2,FALSE)</f>
        <v>#DIV/0!</v>
      </c>
      <c r="E133" s="328">
        <v>0.2</v>
      </c>
      <c r="F133" s="322" t="e">
        <f t="shared" ref="F133:F140" si="3">E133*D133</f>
        <v>#DIV/0!</v>
      </c>
    </row>
    <row r="134" spans="2:6" x14ac:dyDescent="0.25">
      <c r="B134" s="320" t="s">
        <v>15</v>
      </c>
      <c r="C134" s="340" t="s">
        <v>14</v>
      </c>
      <c r="D134" s="11" t="e">
        <f>VLOOKUP(C134,'1.1 CUSTO FERRAME-UNIFORME-EPI'!B:C,2,FALSE)</f>
        <v>#DIV/0!</v>
      </c>
      <c r="E134" s="328">
        <v>0.4</v>
      </c>
      <c r="F134" s="322" t="e">
        <f t="shared" si="3"/>
        <v>#DIV/0!</v>
      </c>
    </row>
    <row r="135" spans="2:6" x14ac:dyDescent="0.25">
      <c r="B135" s="320" t="s">
        <v>13</v>
      </c>
      <c r="C135" s="340" t="s">
        <v>12</v>
      </c>
      <c r="D135" s="11" t="e">
        <f>VLOOKUP(C135,'1.1 CUSTO FERRAME-UNIFORME-EPI'!B:C,2,FALSE)</f>
        <v>#DIV/0!</v>
      </c>
      <c r="E135" s="328">
        <v>0.4</v>
      </c>
      <c r="F135" s="322" t="e">
        <f t="shared" si="3"/>
        <v>#DIV/0!</v>
      </c>
    </row>
    <row r="136" spans="2:6" x14ac:dyDescent="0.25">
      <c r="B136" s="320" t="s">
        <v>11</v>
      </c>
      <c r="C136" s="340" t="s">
        <v>10</v>
      </c>
      <c r="D136" s="11">
        <f>VLOOKUP(C136,'1.1 CUSTO FERRAME-UNIFORME-EPI'!B:C,2,FALSE)</f>
        <v>0</v>
      </c>
      <c r="E136" s="328">
        <v>0.2</v>
      </c>
      <c r="F136" s="322">
        <f t="shared" si="3"/>
        <v>0</v>
      </c>
    </row>
    <row r="137" spans="2:6" x14ac:dyDescent="0.25">
      <c r="B137" s="320" t="s">
        <v>9</v>
      </c>
      <c r="C137" s="340" t="s">
        <v>8</v>
      </c>
      <c r="D137" s="11">
        <f>VLOOKUP(C137,'1.1 CUSTO FERRAME-UNIFORME-EPI'!B:C,2,FALSE)</f>
        <v>0</v>
      </c>
      <c r="E137" s="328">
        <v>0.17</v>
      </c>
      <c r="F137" s="322">
        <f t="shared" si="3"/>
        <v>0</v>
      </c>
    </row>
    <row r="138" spans="2:6" x14ac:dyDescent="0.25">
      <c r="B138" s="320" t="s">
        <v>7</v>
      </c>
      <c r="C138" s="340" t="s">
        <v>208</v>
      </c>
      <c r="D138" s="11">
        <f>VLOOKUP(C138,'1.1 CUSTO FERRAME-UNIFORME-EPI'!B:C,2,FALSE)</f>
        <v>0</v>
      </c>
      <c r="E138" s="328">
        <v>0.25</v>
      </c>
      <c r="F138" s="322">
        <f t="shared" si="3"/>
        <v>0</v>
      </c>
    </row>
    <row r="139" spans="2:6" x14ac:dyDescent="0.25">
      <c r="B139" s="320" t="s">
        <v>5</v>
      </c>
      <c r="C139" s="340" t="str">
        <f>'2.2 MAO DE OBRA'!C32</f>
        <v>Colete refletor (trabalho noturno)</v>
      </c>
      <c r="D139" s="11" t="e">
        <f>VLOOKUP(C139,'1.1 CUSTO FERRAME-UNIFORME-EPI'!B:C,2,FALSE)</f>
        <v>#DIV/0!</v>
      </c>
      <c r="E139" s="328">
        <v>0.3</v>
      </c>
      <c r="F139" s="322" t="e">
        <f t="shared" si="3"/>
        <v>#DIV/0!</v>
      </c>
    </row>
    <row r="140" spans="2:6" x14ac:dyDescent="0.25">
      <c r="B140" s="320" t="s">
        <v>3</v>
      </c>
      <c r="C140" s="340" t="s">
        <v>6</v>
      </c>
      <c r="D140" s="11">
        <f>VLOOKUP(C140,'1.1 CUSTO FERRAME-UNIFORME-EPI'!B:C,2,FALSE)</f>
        <v>0</v>
      </c>
      <c r="E140" s="328">
        <v>0.33</v>
      </c>
      <c r="F140" s="322">
        <f t="shared" si="3"/>
        <v>0</v>
      </c>
    </row>
    <row r="141" spans="2:6" x14ac:dyDescent="0.25">
      <c r="B141" s="317"/>
      <c r="C141" s="324" t="s">
        <v>2</v>
      </c>
      <c r="D141" s="323"/>
      <c r="E141" s="349"/>
      <c r="F141" s="323" t="e">
        <f>SUM(F133:F140)</f>
        <v>#DIV/0!</v>
      </c>
    </row>
    <row r="142" spans="2:6" x14ac:dyDescent="0.25">
      <c r="B142" s="333" t="s">
        <v>1</v>
      </c>
      <c r="C142" s="346" t="s">
        <v>0</v>
      </c>
      <c r="D142" s="335"/>
      <c r="E142" s="335"/>
      <c r="F142" s="336" t="e">
        <f>F141+F131+F123</f>
        <v>#DIV/0!</v>
      </c>
    </row>
    <row r="144" spans="2:6" x14ac:dyDescent="0.25">
      <c r="B144" s="313" t="s">
        <v>54</v>
      </c>
      <c r="C144" s="313" t="s">
        <v>53</v>
      </c>
      <c r="D144" s="705" t="s">
        <v>493</v>
      </c>
      <c r="E144" s="706"/>
      <c r="F144" s="707"/>
    </row>
    <row r="145" spans="2:6" x14ac:dyDescent="0.25">
      <c r="B145" s="320"/>
      <c r="C145" s="340"/>
      <c r="D145" s="322"/>
      <c r="E145" s="328"/>
      <c r="F145" s="322"/>
    </row>
    <row r="146" spans="2:6" x14ac:dyDescent="0.25">
      <c r="B146" s="317" t="s">
        <v>52</v>
      </c>
      <c r="C146" s="324" t="s">
        <v>51</v>
      </c>
      <c r="D146" s="323"/>
      <c r="E146" s="349"/>
      <c r="F146" s="323"/>
    </row>
    <row r="147" spans="2:6" x14ac:dyDescent="0.25">
      <c r="B147" s="317" t="s">
        <v>47</v>
      </c>
      <c r="C147" s="324" t="s">
        <v>46</v>
      </c>
      <c r="D147" s="323"/>
      <c r="E147" s="349"/>
      <c r="F147" s="323"/>
    </row>
    <row r="148" spans="2:6" x14ac:dyDescent="0.25">
      <c r="B148" s="320" t="s">
        <v>45</v>
      </c>
      <c r="C148" s="340" t="s">
        <v>44</v>
      </c>
      <c r="D148" s="322">
        <f>'1.1 SALÁRIOS'!F14</f>
        <v>0</v>
      </c>
      <c r="E148" s="328">
        <v>1</v>
      </c>
      <c r="F148" s="322">
        <f>E148*D148</f>
        <v>0</v>
      </c>
    </row>
    <row r="149" spans="2:6" x14ac:dyDescent="0.25">
      <c r="B149" s="320" t="s">
        <v>43</v>
      </c>
      <c r="C149" s="340" t="s">
        <v>42</v>
      </c>
      <c r="D149" s="11">
        <f>'1.1 SALÁRIOS'!$F$23</f>
        <v>0</v>
      </c>
      <c r="E149" s="34">
        <v>0.2</v>
      </c>
      <c r="F149" s="11">
        <f>E149*D149</f>
        <v>0</v>
      </c>
    </row>
    <row r="150" spans="2:6" x14ac:dyDescent="0.25">
      <c r="B150" s="320" t="s">
        <v>41</v>
      </c>
      <c r="C150" s="340" t="s">
        <v>40</v>
      </c>
      <c r="D150" s="322"/>
      <c r="E150" s="328"/>
      <c r="F150" s="322"/>
    </row>
    <row r="151" spans="2:6" x14ac:dyDescent="0.25">
      <c r="B151" s="320" t="s">
        <v>39</v>
      </c>
      <c r="C151" s="340" t="s">
        <v>38</v>
      </c>
      <c r="D151" s="322"/>
      <c r="E151" s="328"/>
      <c r="F151" s="322"/>
    </row>
    <row r="152" spans="2:6" x14ac:dyDescent="0.25">
      <c r="B152" s="320" t="s">
        <v>37</v>
      </c>
      <c r="C152" s="340" t="s">
        <v>36</v>
      </c>
      <c r="D152" s="322"/>
      <c r="E152" s="328"/>
      <c r="F152" s="322"/>
    </row>
    <row r="153" spans="2:6" x14ac:dyDescent="0.25">
      <c r="B153" s="320" t="s">
        <v>35</v>
      </c>
      <c r="C153" s="340" t="s">
        <v>34</v>
      </c>
      <c r="D153" s="322"/>
      <c r="E153" s="328"/>
      <c r="F153" s="322"/>
    </row>
    <row r="154" spans="2:6" x14ac:dyDescent="0.25">
      <c r="B154" s="317"/>
      <c r="C154" s="324" t="s">
        <v>32</v>
      </c>
      <c r="D154" s="323"/>
      <c r="E154" s="349"/>
      <c r="F154" s="323">
        <f>SUM(F148:F153)</f>
        <v>0</v>
      </c>
    </row>
    <row r="155" spans="2:6" x14ac:dyDescent="0.25">
      <c r="B155" s="317" t="s">
        <v>31</v>
      </c>
      <c r="C155" s="324" t="s">
        <v>65</v>
      </c>
      <c r="D155" s="322">
        <f>F154</f>
        <v>0</v>
      </c>
      <c r="E155" s="14">
        <f>'1.1 SALÁRIOS'!$F$33</f>
        <v>0</v>
      </c>
      <c r="F155" s="322">
        <f>E155*D155</f>
        <v>0</v>
      </c>
    </row>
    <row r="156" spans="2:6" x14ac:dyDescent="0.25">
      <c r="B156" s="317" t="s">
        <v>29</v>
      </c>
      <c r="C156" s="324" t="s">
        <v>28</v>
      </c>
      <c r="D156" s="323"/>
      <c r="E156" s="349"/>
      <c r="F156" s="323">
        <f>SUM(F154:F155)</f>
        <v>0</v>
      </c>
    </row>
    <row r="157" spans="2:6" x14ac:dyDescent="0.25">
      <c r="B157" s="317" t="s">
        <v>27</v>
      </c>
      <c r="C157" s="324" t="s">
        <v>26</v>
      </c>
      <c r="D157" s="322"/>
      <c r="E157" s="328"/>
      <c r="F157" s="322"/>
    </row>
    <row r="158" spans="2:6" x14ac:dyDescent="0.25">
      <c r="B158" s="9" t="s">
        <v>25</v>
      </c>
      <c r="C158" s="15" t="s">
        <v>24</v>
      </c>
      <c r="D158" s="11">
        <f>'1.1 SALÁRIOS'!$F$35</f>
        <v>0</v>
      </c>
      <c r="E158" s="11">
        <v>25.25</v>
      </c>
      <c r="F158" s="11">
        <f>IF(2*E158*D158-0.06*D148&lt;0,0,2*E158*D158-0.06*D148)</f>
        <v>0</v>
      </c>
    </row>
    <row r="159" spans="2:6" x14ac:dyDescent="0.25">
      <c r="B159" s="9" t="s">
        <v>23</v>
      </c>
      <c r="C159" s="15" t="s">
        <v>369</v>
      </c>
      <c r="D159" s="11">
        <f>('1.1 SALÁRIOS'!$F$36+'1.1 SALÁRIOS'!$F$37)/12</f>
        <v>0</v>
      </c>
      <c r="E159" s="11">
        <v>1</v>
      </c>
      <c r="F159" s="11">
        <f>E159*D159</f>
        <v>0</v>
      </c>
    </row>
    <row r="160" spans="2:6" x14ac:dyDescent="0.25">
      <c r="B160" s="9" t="s">
        <v>22</v>
      </c>
      <c r="C160" s="15" t="s">
        <v>370</v>
      </c>
      <c r="D160" s="11">
        <f>'1.1 SALÁRIOS'!$F$38</f>
        <v>0</v>
      </c>
      <c r="E160" s="11">
        <f>E158</f>
        <v>25.25</v>
      </c>
      <c r="F160" s="11">
        <f>E160*D160</f>
        <v>0</v>
      </c>
    </row>
    <row r="161" spans="2:6" x14ac:dyDescent="0.25">
      <c r="B161" s="9" t="s">
        <v>21</v>
      </c>
      <c r="C161" s="15" t="s">
        <v>371</v>
      </c>
      <c r="D161" s="11">
        <f>'1.1 SALÁRIOS'!$F$39</f>
        <v>0</v>
      </c>
      <c r="E161" s="11">
        <v>1</v>
      </c>
      <c r="F161" s="11">
        <f>E161*D161</f>
        <v>0</v>
      </c>
    </row>
    <row r="162" spans="2:6" x14ac:dyDescent="0.25">
      <c r="B162" s="9" t="s">
        <v>374</v>
      </c>
      <c r="C162" s="15" t="s">
        <v>372</v>
      </c>
      <c r="D162" s="11">
        <f>'1.1 SALÁRIOS'!$F$40</f>
        <v>0</v>
      </c>
      <c r="E162" s="11">
        <v>1</v>
      </c>
      <c r="F162" s="11">
        <f>E162*D162</f>
        <v>0</v>
      </c>
    </row>
    <row r="163" spans="2:6" x14ac:dyDescent="0.25">
      <c r="B163" s="9" t="s">
        <v>375</v>
      </c>
      <c r="C163" s="15" t="s">
        <v>373</v>
      </c>
      <c r="D163" s="11">
        <f>'1.1 SALÁRIOS'!$F$41</f>
        <v>0</v>
      </c>
      <c r="E163" s="11">
        <v>1</v>
      </c>
      <c r="F163" s="11">
        <f>E163*D163</f>
        <v>0</v>
      </c>
    </row>
    <row r="164" spans="2:6" x14ac:dyDescent="0.25">
      <c r="B164" s="317"/>
      <c r="C164" s="324" t="s">
        <v>20</v>
      </c>
      <c r="D164" s="323"/>
      <c r="E164" s="349"/>
      <c r="F164" s="323">
        <f>SUM(F158:F163)</f>
        <v>0</v>
      </c>
    </row>
    <row r="165" spans="2:6" x14ac:dyDescent="0.25">
      <c r="B165" s="317" t="s">
        <v>19</v>
      </c>
      <c r="C165" s="324" t="s">
        <v>18</v>
      </c>
      <c r="D165" s="322"/>
      <c r="E165" s="328"/>
      <c r="F165" s="322"/>
    </row>
    <row r="166" spans="2:6" x14ac:dyDescent="0.25">
      <c r="B166" s="320" t="s">
        <v>17</v>
      </c>
      <c r="C166" s="340" t="s">
        <v>16</v>
      </c>
      <c r="D166" s="11" t="e">
        <f>VLOOKUP(C166,'1.1 CUSTO FERRAME-UNIFORME-EPI'!B:C,2,FALSE)</f>
        <v>#DIV/0!</v>
      </c>
      <c r="E166" s="328">
        <v>0.2</v>
      </c>
      <c r="F166" s="322" t="e">
        <f t="shared" ref="F166:F175" si="4">E166*D166</f>
        <v>#DIV/0!</v>
      </c>
    </row>
    <row r="167" spans="2:6" x14ac:dyDescent="0.25">
      <c r="B167" s="320" t="s">
        <v>15</v>
      </c>
      <c r="C167" s="340" t="s">
        <v>14</v>
      </c>
      <c r="D167" s="11" t="e">
        <f>VLOOKUP(C167,'1.1 CUSTO FERRAME-UNIFORME-EPI'!B:C,2,FALSE)</f>
        <v>#DIV/0!</v>
      </c>
      <c r="E167" s="328">
        <v>0.4</v>
      </c>
      <c r="F167" s="322" t="e">
        <f t="shared" si="4"/>
        <v>#DIV/0!</v>
      </c>
    </row>
    <row r="168" spans="2:6" x14ac:dyDescent="0.25">
      <c r="B168" s="320" t="s">
        <v>13</v>
      </c>
      <c r="C168" s="340" t="s">
        <v>12</v>
      </c>
      <c r="D168" s="11" t="e">
        <f>VLOOKUP(C168,'1.1 CUSTO FERRAME-UNIFORME-EPI'!B:C,2,FALSE)</f>
        <v>#DIV/0!</v>
      </c>
      <c r="E168" s="328">
        <v>0.4</v>
      </c>
      <c r="F168" s="322" t="e">
        <f t="shared" si="4"/>
        <v>#DIV/0!</v>
      </c>
    </row>
    <row r="169" spans="2:6" x14ac:dyDescent="0.25">
      <c r="B169" s="320" t="s">
        <v>11</v>
      </c>
      <c r="C169" s="340" t="s">
        <v>10</v>
      </c>
      <c r="D169" s="11">
        <f>VLOOKUP(C169,'1.1 CUSTO FERRAME-UNIFORME-EPI'!B:C,2,FALSE)</f>
        <v>0</v>
      </c>
      <c r="E169" s="328">
        <v>0.2</v>
      </c>
      <c r="F169" s="322">
        <f t="shared" si="4"/>
        <v>0</v>
      </c>
    </row>
    <row r="170" spans="2:6" x14ac:dyDescent="0.25">
      <c r="B170" s="320" t="s">
        <v>9</v>
      </c>
      <c r="C170" s="340" t="s">
        <v>8</v>
      </c>
      <c r="D170" s="11">
        <f>VLOOKUP(C170,'1.1 CUSTO FERRAME-UNIFORME-EPI'!B:C,2,FALSE)</f>
        <v>0</v>
      </c>
      <c r="E170" s="328">
        <v>0.17</v>
      </c>
      <c r="F170" s="322">
        <f t="shared" si="4"/>
        <v>0</v>
      </c>
    </row>
    <row r="171" spans="2:6" x14ac:dyDescent="0.25">
      <c r="B171" s="320" t="s">
        <v>7</v>
      </c>
      <c r="C171" s="340" t="s">
        <v>208</v>
      </c>
      <c r="D171" s="11">
        <f>VLOOKUP(C171,'1.1 CUSTO FERRAME-UNIFORME-EPI'!B:C,2,FALSE)</f>
        <v>0</v>
      </c>
      <c r="E171" s="328">
        <v>0.25</v>
      </c>
      <c r="F171" s="322">
        <f t="shared" si="4"/>
        <v>0</v>
      </c>
    </row>
    <row r="172" spans="2:6" x14ac:dyDescent="0.25">
      <c r="B172" s="320" t="s">
        <v>5</v>
      </c>
      <c r="C172" s="340" t="str">
        <f>'2.2 MAO DE OBRA'!C66</f>
        <v>Capa de chuva, com capuz</v>
      </c>
      <c r="D172" s="11">
        <f>VLOOKUP(C172,'1.1 CUSTO FERRAME-UNIFORME-EPI'!B:C,2,FALSE)</f>
        <v>0</v>
      </c>
      <c r="E172" s="328">
        <v>0.3</v>
      </c>
      <c r="F172" s="322">
        <f t="shared" si="4"/>
        <v>0</v>
      </c>
    </row>
    <row r="173" spans="2:6" x14ac:dyDescent="0.25">
      <c r="B173" s="320" t="s">
        <v>3</v>
      </c>
      <c r="C173" s="340" t="s">
        <v>6</v>
      </c>
      <c r="D173" s="11">
        <f>VLOOKUP(C173,'1.1 CUSTO FERRAME-UNIFORME-EPI'!B:C,2,FALSE)</f>
        <v>0</v>
      </c>
      <c r="E173" s="328">
        <v>0.17</v>
      </c>
      <c r="F173" s="322">
        <f t="shared" si="4"/>
        <v>0</v>
      </c>
    </row>
    <row r="174" spans="2:6" x14ac:dyDescent="0.25">
      <c r="B174" s="320" t="s">
        <v>59</v>
      </c>
      <c r="C174" s="340" t="s">
        <v>207</v>
      </c>
      <c r="D174" s="11">
        <f>VLOOKUP(C174,'1.1 CUSTO FERRAME-UNIFORME-EPI'!B:C,2,FALSE)</f>
        <v>0</v>
      </c>
      <c r="E174" s="328">
        <v>0.33</v>
      </c>
      <c r="F174" s="322">
        <f t="shared" si="4"/>
        <v>0</v>
      </c>
    </row>
    <row r="175" spans="2:6" x14ac:dyDescent="0.25">
      <c r="B175" s="320" t="s">
        <v>60</v>
      </c>
      <c r="C175" s="340" t="s">
        <v>206</v>
      </c>
      <c r="D175" s="11">
        <f>VLOOKUP(C175,'1.1 CUSTO FERRAME-UNIFORME-EPI'!B:C,2,FALSE)</f>
        <v>0</v>
      </c>
      <c r="E175" s="328">
        <v>0.33</v>
      </c>
      <c r="F175" s="322">
        <f t="shared" si="4"/>
        <v>0</v>
      </c>
    </row>
    <row r="176" spans="2:6" x14ac:dyDescent="0.25">
      <c r="B176" s="317"/>
      <c r="C176" s="324" t="s">
        <v>2</v>
      </c>
      <c r="D176" s="323"/>
      <c r="E176" s="349"/>
      <c r="F176" s="323" t="e">
        <f>SUM(F166:F175)</f>
        <v>#DIV/0!</v>
      </c>
    </row>
    <row r="177" spans="2:6" x14ac:dyDescent="0.25">
      <c r="B177" s="333" t="s">
        <v>1</v>
      </c>
      <c r="C177" s="346" t="s">
        <v>0</v>
      </c>
      <c r="D177" s="335"/>
      <c r="E177" s="335"/>
      <c r="F177" s="336" t="e">
        <f>F176+F164+F156</f>
        <v>#DIV/0!</v>
      </c>
    </row>
  </sheetData>
  <mergeCells count="9">
    <mergeCell ref="D76:F76"/>
    <mergeCell ref="D112:F112"/>
    <mergeCell ref="D144:F144"/>
    <mergeCell ref="B2:F2"/>
    <mergeCell ref="D5:F5"/>
    <mergeCell ref="D6:F6"/>
    <mergeCell ref="D40:F40"/>
    <mergeCell ref="D41:F41"/>
    <mergeCell ref="D75:F75"/>
  </mergeCells>
  <phoneticPr fontId="10" type="noConversion"/>
  <pageMargins left="0.98425196850393704" right="0.59055118110236215" top="1.1811023622047243" bottom="0.59055118110236215" header="0.11811023622047244" footer="0.51181102362204722"/>
  <pageSetup paperSize="9" scale="71" fitToHeight="0" orientation="portrait" r:id="rId1"/>
  <headerFooter>
    <oddHeader>&amp;L&amp;G</oddHeader>
  </headerFooter>
  <rowBreaks count="2" manualBreakCount="2">
    <brk id="60" max="6" man="1"/>
    <brk id="111" max="6" man="1"/>
  </rowBreaks>
  <legacyDrawingHF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4" tint="0.39997558519241921"/>
    <pageSetUpPr fitToPage="1"/>
  </sheetPr>
  <dimension ref="A1:F44"/>
  <sheetViews>
    <sheetView showGridLines="0" view="pageLayout" zoomScaleNormal="110" zoomScaleSheetLayoutView="100" workbookViewId="0">
      <selection activeCell="H7" sqref="H7"/>
    </sheetView>
  </sheetViews>
  <sheetFormatPr defaultColWidth="9" defaultRowHeight="13.5" x14ac:dyDescent="0.25"/>
  <cols>
    <col min="1" max="1" width="5.140625" style="181" customWidth="1"/>
    <col min="2" max="2" width="28.85546875" style="181" customWidth="1"/>
    <col min="3" max="5" width="17" style="181" customWidth="1"/>
    <col min="6" max="16384" width="9" style="181"/>
  </cols>
  <sheetData>
    <row r="1" spans="1:5" ht="11.1" customHeight="1" x14ac:dyDescent="0.25"/>
    <row r="2" spans="1:5" ht="15.75" x14ac:dyDescent="0.25">
      <c r="A2" s="642" t="s">
        <v>187</v>
      </c>
      <c r="B2" s="642"/>
      <c r="C2" s="642"/>
      <c r="D2" s="642"/>
      <c r="E2" s="642"/>
    </row>
    <row r="4" spans="1:5" ht="12" customHeight="1" x14ac:dyDescent="0.25">
      <c r="B4" s="220"/>
      <c r="C4" s="220"/>
      <c r="D4" s="220"/>
    </row>
    <row r="5" spans="1:5" ht="12.95" customHeight="1" x14ac:dyDescent="0.25"/>
    <row r="6" spans="1:5" s="193" customFormat="1" ht="52.5" customHeight="1" x14ac:dyDescent="0.25">
      <c r="A6" s="643" t="s">
        <v>54</v>
      </c>
      <c r="B6" s="644" t="s">
        <v>53</v>
      </c>
      <c r="C6" s="217" t="s">
        <v>190</v>
      </c>
      <c r="D6" s="437" t="s">
        <v>494</v>
      </c>
      <c r="E6" s="236" t="s">
        <v>193</v>
      </c>
    </row>
    <row r="7" spans="1:5" s="193" customFormat="1" ht="18" customHeight="1" x14ac:dyDescent="0.25">
      <c r="A7" s="643"/>
      <c r="B7" s="644"/>
      <c r="C7" s="217" t="s">
        <v>184</v>
      </c>
      <c r="D7" s="437" t="s">
        <v>184</v>
      </c>
      <c r="E7" s="236" t="s">
        <v>184</v>
      </c>
    </row>
    <row r="8" spans="1:5" s="193" customFormat="1" ht="14.1" customHeight="1" x14ac:dyDescent="0.25">
      <c r="A8" s="202" t="s">
        <v>183</v>
      </c>
      <c r="B8" s="201" t="s">
        <v>182</v>
      </c>
      <c r="C8" s="200">
        <f>(C9-C11)/C43/12</f>
        <v>0</v>
      </c>
      <c r="D8" s="438">
        <f>(D9-D11)/D43/12</f>
        <v>0</v>
      </c>
      <c r="E8" s="200" t="e">
        <f>(E9-E11)/E43/12</f>
        <v>#DIV/0!</v>
      </c>
    </row>
    <row r="9" spans="1:5" s="209" customFormat="1" ht="14.1" customHeight="1" x14ac:dyDescent="0.2">
      <c r="A9" s="208" t="s">
        <v>181</v>
      </c>
      <c r="B9" s="187" t="s">
        <v>180</v>
      </c>
      <c r="C9" s="186">
        <f>'1.1 REF EQUIPAMENTOS E DIV'!E4+'1.1 REF EQUIPAMENTOS E DIV'!E7</f>
        <v>0</v>
      </c>
      <c r="D9" s="439">
        <f>'1.1 REF EQUIPAMENTOS E DIV'!E27</f>
        <v>0</v>
      </c>
      <c r="E9" s="186" t="e">
        <f>'1.1 REF EQUIPAMENTOS E DIV'!E9+'1.1 REF EQUIPAMENTOS E DIV'!E4+'1.1 REF EQUIPAMENTOS E DIV'!E13</f>
        <v>#DIV/0!</v>
      </c>
    </row>
    <row r="10" spans="1:5" s="209" customFormat="1" ht="9.9499999999999993" customHeight="1" x14ac:dyDescent="0.2">
      <c r="A10" s="207"/>
      <c r="B10" s="187"/>
      <c r="C10" s="186"/>
      <c r="D10" s="440"/>
      <c r="E10" s="186"/>
    </row>
    <row r="11" spans="1:5" s="209" customFormat="1" ht="14.1" customHeight="1" x14ac:dyDescent="0.2">
      <c r="A11" s="208" t="s">
        <v>179</v>
      </c>
      <c r="B11" s="187" t="s">
        <v>148</v>
      </c>
      <c r="C11" s="186">
        <f>C9*C42</f>
        <v>0</v>
      </c>
      <c r="D11" s="440">
        <f>D9*D42</f>
        <v>0</v>
      </c>
      <c r="E11" s="186" t="e">
        <f>E9*E42</f>
        <v>#DIV/0!</v>
      </c>
    </row>
    <row r="12" spans="1:5" s="209" customFormat="1" ht="9.9499999999999993" customHeight="1" x14ac:dyDescent="0.2">
      <c r="A12" s="213"/>
      <c r="B12" s="204"/>
      <c r="C12" s="203"/>
      <c r="D12" s="441"/>
      <c r="E12" s="203"/>
    </row>
    <row r="13" spans="1:5" s="209" customFormat="1" ht="14.1" customHeight="1" x14ac:dyDescent="0.2">
      <c r="A13" s="212" t="s">
        <v>178</v>
      </c>
      <c r="B13" s="211" t="s">
        <v>177</v>
      </c>
      <c r="C13" s="210">
        <f>C17*C19/12</f>
        <v>0</v>
      </c>
      <c r="D13" s="442">
        <f t="shared" ref="D13" si="0">D17*D19/12</f>
        <v>0</v>
      </c>
      <c r="E13" s="210" t="e">
        <f>E17*E19/12</f>
        <v>#DIV/0!</v>
      </c>
    </row>
    <row r="14" spans="1:5" s="209" customFormat="1" ht="9.9499999999999993" customHeight="1" x14ac:dyDescent="0.2">
      <c r="A14" s="232"/>
      <c r="B14" s="187"/>
      <c r="C14" s="186"/>
      <c r="D14" s="439"/>
      <c r="E14" s="186"/>
    </row>
    <row r="15" spans="1:5" s="209" customFormat="1" ht="14.1" customHeight="1" x14ac:dyDescent="0.2">
      <c r="A15" s="188" t="s">
        <v>176</v>
      </c>
      <c r="B15" s="187" t="s">
        <v>175</v>
      </c>
      <c r="C15" s="186">
        <f>C9</f>
        <v>0</v>
      </c>
      <c r="D15" s="440">
        <f t="shared" ref="D15" si="1">D9</f>
        <v>0</v>
      </c>
      <c r="E15" s="186" t="e">
        <f>E9</f>
        <v>#DIV/0!</v>
      </c>
    </row>
    <row r="16" spans="1:5" s="209" customFormat="1" ht="9.9499999999999993" customHeight="1" x14ac:dyDescent="0.2">
      <c r="A16" s="232"/>
      <c r="B16" s="187"/>
      <c r="C16" s="186"/>
      <c r="D16" s="439"/>
      <c r="E16" s="186"/>
    </row>
    <row r="17" spans="1:6" s="209" customFormat="1" ht="14.1" customHeight="1" x14ac:dyDescent="0.2">
      <c r="A17" s="188" t="s">
        <v>174</v>
      </c>
      <c r="B17" s="187" t="s">
        <v>173</v>
      </c>
      <c r="C17" s="186">
        <f>(C9-C11)*((1+C43)/(2*C43))/1.25</f>
        <v>0</v>
      </c>
      <c r="D17" s="440">
        <f>(D9-D11)*((1+D43)/(2*D43))/1.25</f>
        <v>0</v>
      </c>
      <c r="E17" s="186" t="e">
        <f>(E9-E11)*((1+E43)/(2*E43))/1.25</f>
        <v>#DIV/0!</v>
      </c>
    </row>
    <row r="18" spans="1:6" s="209" customFormat="1" ht="9.9499999999999993" customHeight="1" x14ac:dyDescent="0.2">
      <c r="A18" s="232"/>
      <c r="B18" s="187"/>
      <c r="C18" s="186"/>
      <c r="D18" s="439"/>
      <c r="E18" s="186"/>
    </row>
    <row r="19" spans="1:6" s="209" customFormat="1" ht="14.1" customHeight="1" x14ac:dyDescent="0.2">
      <c r="A19" s="184" t="s">
        <v>146</v>
      </c>
      <c r="B19" s="183" t="s">
        <v>145</v>
      </c>
      <c r="C19" s="182">
        <v>0.13250000000000001</v>
      </c>
      <c r="D19" s="443">
        <v>0.13250000000000001</v>
      </c>
      <c r="E19" s="182">
        <v>0.13250000000000001</v>
      </c>
    </row>
    <row r="20" spans="1:6" s="209" customFormat="1" ht="11.25" x14ac:dyDescent="0.2">
      <c r="A20" s="230" t="s">
        <v>172</v>
      </c>
      <c r="B20" s="229" t="s">
        <v>171</v>
      </c>
      <c r="C20" s="228">
        <f>C25*7.33*25.25</f>
        <v>0</v>
      </c>
      <c r="D20" s="444">
        <f>D25*7.33*25.25</f>
        <v>0</v>
      </c>
      <c r="E20" s="228">
        <f>E25*7.33*25.25</f>
        <v>0</v>
      </c>
    </row>
    <row r="21" spans="1:6" s="193" customFormat="1" ht="14.1" customHeight="1" x14ac:dyDescent="0.25">
      <c r="A21" s="208" t="s">
        <v>170</v>
      </c>
      <c r="B21" s="187" t="s">
        <v>169</v>
      </c>
      <c r="C21" s="186">
        <f>277*0.735*0.1</f>
        <v>20.359500000000001</v>
      </c>
      <c r="D21" s="439">
        <f>1.1*1.4</f>
        <v>1.54</v>
      </c>
      <c r="E21" s="186">
        <f>277*0.735*0.1</f>
        <v>20.359500000000001</v>
      </c>
      <c r="F21" s="209"/>
    </row>
    <row r="22" spans="1:6" s="193" customFormat="1" ht="14.1" customHeight="1" x14ac:dyDescent="0.25">
      <c r="A22" s="208"/>
      <c r="B22" s="187"/>
      <c r="C22" s="186"/>
      <c r="D22" s="439"/>
      <c r="E22" s="186"/>
      <c r="F22" s="209"/>
    </row>
    <row r="23" spans="1:6" s="193" customFormat="1" ht="14.1" customHeight="1" x14ac:dyDescent="0.25">
      <c r="A23" s="208"/>
      <c r="B23" s="187" t="s">
        <v>168</v>
      </c>
      <c r="C23" s="186">
        <f>'1.1 REF EQUIPAMENTOS E DIV'!$E$38</f>
        <v>0</v>
      </c>
      <c r="D23" s="440">
        <f>'1.1 REF EQUIPAMENTOS E DIV'!E39</f>
        <v>0</v>
      </c>
      <c r="E23" s="186">
        <f>'1.1 REF EQUIPAMENTOS E DIV'!$E$38</f>
        <v>0</v>
      </c>
      <c r="F23" s="209"/>
    </row>
    <row r="24" spans="1:6" s="209" customFormat="1" ht="14.1" customHeight="1" x14ac:dyDescent="0.2">
      <c r="A24" s="207"/>
      <c r="B24" s="187"/>
      <c r="C24" s="186"/>
      <c r="D24" s="439"/>
      <c r="E24" s="186"/>
    </row>
    <row r="25" spans="1:6" s="209" customFormat="1" ht="11.25" x14ac:dyDescent="0.2">
      <c r="A25" s="208" t="s">
        <v>167</v>
      </c>
      <c r="B25" s="187" t="s">
        <v>166</v>
      </c>
      <c r="C25" s="186">
        <f>C23*C21</f>
        <v>0</v>
      </c>
      <c r="D25" s="440">
        <f t="shared" ref="D25" si="2">D23*D21</f>
        <v>0</v>
      </c>
      <c r="E25" s="186">
        <f>E23*E21</f>
        <v>0</v>
      </c>
    </row>
    <row r="26" spans="1:6" s="193" customFormat="1" ht="14.1" customHeight="1" x14ac:dyDescent="0.25">
      <c r="A26" s="202" t="s">
        <v>165</v>
      </c>
      <c r="B26" s="201" t="s">
        <v>164</v>
      </c>
      <c r="C26" s="200">
        <f>C29</f>
        <v>0</v>
      </c>
      <c r="D26" s="438">
        <f t="shared" ref="D26" si="3">D29</f>
        <v>0</v>
      </c>
      <c r="E26" s="200">
        <f>E29</f>
        <v>0</v>
      </c>
    </row>
    <row r="27" spans="1:6" s="209" customFormat="1" ht="14.1" customHeight="1" x14ac:dyDescent="0.2">
      <c r="A27" s="208" t="s">
        <v>163</v>
      </c>
      <c r="B27" s="187" t="s">
        <v>162</v>
      </c>
      <c r="C27" s="186">
        <v>0.1</v>
      </c>
      <c r="D27" s="439">
        <v>0.28000000000000003</v>
      </c>
      <c r="E27" s="186">
        <v>0.1</v>
      </c>
    </row>
    <row r="28" spans="1:6" s="209" customFormat="1" ht="9.9499999999999993" customHeight="1" x14ac:dyDescent="0.2">
      <c r="A28" s="207"/>
      <c r="B28" s="187"/>
      <c r="C28" s="186"/>
      <c r="D28" s="439"/>
      <c r="E28" s="186"/>
    </row>
    <row r="29" spans="1:6" s="209" customFormat="1" ht="14.1" customHeight="1" x14ac:dyDescent="0.2">
      <c r="A29" s="208" t="s">
        <v>161</v>
      </c>
      <c r="B29" s="187" t="s">
        <v>160</v>
      </c>
      <c r="C29" s="186">
        <f>C27*C20</f>
        <v>0</v>
      </c>
      <c r="D29" s="440">
        <f t="shared" ref="D29" si="4">D27*D20</f>
        <v>0</v>
      </c>
      <c r="E29" s="186">
        <f>E27*E20</f>
        <v>0</v>
      </c>
    </row>
    <row r="30" spans="1:6" s="209" customFormat="1" ht="9.9499999999999993" customHeight="1" x14ac:dyDescent="0.2">
      <c r="A30" s="207"/>
      <c r="B30" s="187"/>
      <c r="C30" s="186"/>
      <c r="D30" s="439"/>
      <c r="E30" s="186"/>
    </row>
    <row r="31" spans="1:6" s="209" customFormat="1" ht="14.1" customHeight="1" x14ac:dyDescent="0.2">
      <c r="A31" s="202" t="s">
        <v>159</v>
      </c>
      <c r="B31" s="201" t="s">
        <v>158</v>
      </c>
      <c r="C31" s="200">
        <f>C37</f>
        <v>0</v>
      </c>
      <c r="D31" s="438">
        <f>D37</f>
        <v>0</v>
      </c>
      <c r="E31" s="200" t="e">
        <f>E37</f>
        <v>#DIV/0!</v>
      </c>
    </row>
    <row r="32" spans="1:6" s="209" customFormat="1" ht="18" customHeight="1" x14ac:dyDescent="0.2">
      <c r="A32" s="208" t="s">
        <v>157</v>
      </c>
      <c r="B32" s="187" t="s">
        <v>156</v>
      </c>
      <c r="C32" s="186">
        <f>C8</f>
        <v>0</v>
      </c>
      <c r="D32" s="440">
        <f t="shared" ref="D32" si="5">D8</f>
        <v>0</v>
      </c>
      <c r="E32" s="186" t="e">
        <f>E8</f>
        <v>#DIV/0!</v>
      </c>
    </row>
    <row r="33" spans="1:5" s="193" customFormat="1" ht="21.75" customHeight="1" x14ac:dyDescent="0.25">
      <c r="A33" s="207"/>
      <c r="B33" s="187"/>
      <c r="C33" s="186"/>
      <c r="D33" s="439"/>
      <c r="E33" s="186"/>
    </row>
    <row r="34" spans="1:5" s="193" customFormat="1" x14ac:dyDescent="0.25">
      <c r="A34" s="208" t="s">
        <v>155</v>
      </c>
      <c r="B34" s="187" t="s">
        <v>154</v>
      </c>
      <c r="C34" s="186">
        <v>0.8</v>
      </c>
      <c r="D34" s="439">
        <v>1</v>
      </c>
      <c r="E34" s="186">
        <v>0.6</v>
      </c>
    </row>
    <row r="35" spans="1:5" s="193" customFormat="1" x14ac:dyDescent="0.25">
      <c r="A35" s="208" t="s">
        <v>153</v>
      </c>
      <c r="B35" s="187" t="s">
        <v>386</v>
      </c>
      <c r="C35" s="310">
        <v>2.5000000000000001E-2</v>
      </c>
      <c r="D35" s="439"/>
      <c r="E35" s="310">
        <v>2.5000000000000001E-2</v>
      </c>
    </row>
    <row r="36" spans="1:5" s="193" customFormat="1" x14ac:dyDescent="0.25">
      <c r="A36" s="207"/>
      <c r="B36" s="187"/>
      <c r="C36" s="186"/>
      <c r="E36" s="186"/>
    </row>
    <row r="37" spans="1:5" s="193" customFormat="1" x14ac:dyDescent="0.25">
      <c r="A37" s="208" t="s">
        <v>387</v>
      </c>
      <c r="B37" s="204" t="s">
        <v>152</v>
      </c>
      <c r="C37" s="203">
        <f>(C34+C35)*C32</f>
        <v>0</v>
      </c>
      <c r="D37" s="440">
        <f>D34*D32</f>
        <v>0</v>
      </c>
      <c r="E37" s="203" t="e">
        <f>(E34+E35)*E32</f>
        <v>#DIV/0!</v>
      </c>
    </row>
    <row r="38" spans="1:5" s="193" customFormat="1" x14ac:dyDescent="0.25">
      <c r="A38" s="202" t="s">
        <v>151</v>
      </c>
      <c r="B38" s="201" t="s">
        <v>150</v>
      </c>
      <c r="C38" s="200" t="e">
        <f>'1.1 REF EQUIPAMENTOS E DIV'!$E$35</f>
        <v>#DIV/0!</v>
      </c>
      <c r="D38" s="200" t="e">
        <f>'1.1 REF EQUIPAMENTOS E DIV'!$E$35</f>
        <v>#DIV/0!</v>
      </c>
      <c r="E38" s="200" t="e">
        <f>'1.1 REF EQUIPAMENTOS E DIV'!$E$35</f>
        <v>#DIV/0!</v>
      </c>
    </row>
    <row r="39" spans="1:5" x14ac:dyDescent="0.25">
      <c r="A39" s="225"/>
      <c r="B39" s="224" t="s">
        <v>149</v>
      </c>
      <c r="C39" s="223" t="e">
        <f>C31++C26+C20+C13+C8+C38</f>
        <v>#DIV/0!</v>
      </c>
      <c r="D39" s="445" t="e">
        <f>D31++D26+D20+D13+D8+D38</f>
        <v>#DIV/0!</v>
      </c>
      <c r="E39" s="223" t="e">
        <f>E31++E26+E20+E13+E8+E38</f>
        <v>#DIV/0!</v>
      </c>
    </row>
    <row r="40" spans="1:5" x14ac:dyDescent="0.25">
      <c r="A40" s="196"/>
      <c r="B40" s="195"/>
      <c r="C40" s="194"/>
      <c r="D40" s="446"/>
      <c r="E40" s="222"/>
    </row>
    <row r="41" spans="1:5" x14ac:dyDescent="0.25">
      <c r="D41" s="447"/>
    </row>
    <row r="42" spans="1:5" x14ac:dyDescent="0.25">
      <c r="A42" s="192"/>
      <c r="B42" s="191" t="s">
        <v>148</v>
      </c>
      <c r="C42" s="190">
        <v>0.4</v>
      </c>
      <c r="D42" s="190">
        <v>0.2</v>
      </c>
      <c r="E42" s="190">
        <v>0.4</v>
      </c>
    </row>
    <row r="43" spans="1:5" x14ac:dyDescent="0.25">
      <c r="A43" s="188"/>
      <c r="B43" s="187" t="s">
        <v>147</v>
      </c>
      <c r="C43" s="186">
        <v>7</v>
      </c>
      <c r="D43" s="440">
        <v>1</v>
      </c>
      <c r="E43" s="186">
        <v>7</v>
      </c>
    </row>
    <row r="44" spans="1:5" x14ac:dyDescent="0.25">
      <c r="D44" s="447"/>
    </row>
  </sheetData>
  <sheetProtection selectLockedCells="1" selectUnlockedCells="1"/>
  <mergeCells count="3">
    <mergeCell ref="A6:A7"/>
    <mergeCell ref="B6:B7"/>
    <mergeCell ref="A2:E2"/>
  </mergeCells>
  <pageMargins left="0.98425196850393704" right="0.59055118110236215" top="1.1811023622047243" bottom="0.59055118110236215" header="0.11811023622047244" footer="0.51181102362204722"/>
  <pageSetup paperSize="9" firstPageNumber="0" fitToHeight="0" orientation="portrait" r:id="rId1"/>
  <headerFooter alignWithMargins="0">
    <oddHeader>&amp;L&amp;G</oddHeader>
  </headerFooter>
  <legacyDrawingHF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4" tint="0.39997558519241921"/>
    <pageSetUpPr fitToPage="1"/>
  </sheetPr>
  <dimension ref="B2:S29"/>
  <sheetViews>
    <sheetView view="pageLayout" zoomScaleNormal="100" workbookViewId="0">
      <selection sqref="A1:J31"/>
    </sheetView>
  </sheetViews>
  <sheetFormatPr defaultColWidth="9.140625" defaultRowHeight="13.5" x14ac:dyDescent="0.25"/>
  <cols>
    <col min="1" max="1" width="9.140625" style="358"/>
    <col min="2" max="2" width="6" style="358" customWidth="1"/>
    <col min="3" max="3" width="34.140625" style="358" customWidth="1"/>
    <col min="4" max="4" width="11.28515625" style="358" bestFit="1" customWidth="1"/>
    <col min="5" max="5" width="10.7109375" style="358" customWidth="1"/>
    <col min="6" max="6" width="11.28515625" style="358" customWidth="1"/>
    <col min="7" max="8" width="16.7109375" style="358" customWidth="1"/>
    <col min="9" max="9" width="20.28515625" style="358" customWidth="1"/>
    <col min="10" max="11" width="9.140625" style="358"/>
    <col min="12" max="12" width="9.85546875" style="358" bestFit="1" customWidth="1"/>
    <col min="13" max="16384" width="9.140625" style="358"/>
  </cols>
  <sheetData>
    <row r="2" spans="2:19" s="365" customFormat="1" x14ac:dyDescent="0.25">
      <c r="B2" s="586" t="s">
        <v>419</v>
      </c>
      <c r="C2" s="586"/>
      <c r="D2" s="586"/>
      <c r="E2" s="586"/>
      <c r="F2" s="586"/>
      <c r="G2" s="586"/>
      <c r="H2" s="586"/>
      <c r="I2" s="586"/>
    </row>
    <row r="3" spans="2:19" s="365" customFormat="1" x14ac:dyDescent="0.25">
      <c r="B3" s="587" t="s">
        <v>599</v>
      </c>
      <c r="C3" s="587"/>
      <c r="D3" s="587"/>
      <c r="E3" s="587"/>
      <c r="F3" s="587"/>
      <c r="G3" s="587"/>
      <c r="H3" s="587"/>
      <c r="I3" s="587"/>
    </row>
    <row r="4" spans="2:19" s="359" customFormat="1" ht="40.5" x14ac:dyDescent="0.25">
      <c r="B4" s="505" t="s">
        <v>248</v>
      </c>
      <c r="C4" s="506" t="s">
        <v>417</v>
      </c>
      <c r="D4" s="505" t="s">
        <v>592</v>
      </c>
      <c r="E4" s="588" t="s">
        <v>608</v>
      </c>
      <c r="F4" s="588"/>
      <c r="G4" s="505" t="s">
        <v>616</v>
      </c>
      <c r="H4" s="505" t="s">
        <v>622</v>
      </c>
      <c r="I4" s="505" t="s">
        <v>601</v>
      </c>
    </row>
    <row r="5" spans="2:19" s="359" customFormat="1" x14ac:dyDescent="0.25">
      <c r="B5" s="480">
        <v>1</v>
      </c>
      <c r="C5" s="507" t="s">
        <v>607</v>
      </c>
      <c r="D5" s="508">
        <f>271230</f>
        <v>271230</v>
      </c>
      <c r="E5" s="589">
        <v>3.5</v>
      </c>
      <c r="F5" s="589"/>
      <c r="G5" s="509" t="s">
        <v>620</v>
      </c>
      <c r="H5" s="518">
        <v>0.65</v>
      </c>
      <c r="I5" s="493">
        <f>E5*D5/2*H5</f>
        <v>308524.125</v>
      </c>
    </row>
    <row r="6" spans="2:19" s="359" customFormat="1" x14ac:dyDescent="0.25">
      <c r="B6" s="480">
        <v>2</v>
      </c>
      <c r="C6" s="507" t="s">
        <v>600</v>
      </c>
      <c r="D6" s="508"/>
      <c r="E6" s="589"/>
      <c r="F6" s="589"/>
      <c r="G6" s="509" t="s">
        <v>617</v>
      </c>
      <c r="H6" s="518">
        <v>1</v>
      </c>
      <c r="I6" s="493">
        <v>347766</v>
      </c>
    </row>
    <row r="7" spans="2:19" s="359" customFormat="1" x14ac:dyDescent="0.25">
      <c r="B7" s="480"/>
      <c r="C7" s="507"/>
      <c r="D7" s="508"/>
      <c r="E7" s="589"/>
      <c r="F7" s="589"/>
      <c r="G7" s="509"/>
      <c r="H7" s="509"/>
      <c r="I7" s="493"/>
      <c r="L7" s="448"/>
    </row>
    <row r="8" spans="2:19" s="365" customFormat="1" x14ac:dyDescent="0.25">
      <c r="B8" s="480"/>
      <c r="C8" s="507"/>
      <c r="D8" s="510"/>
      <c r="E8" s="585" t="str">
        <f>I4</f>
        <v>ÁREA DE ROÇADA (M2)</v>
      </c>
      <c r="F8" s="585"/>
      <c r="G8" s="511"/>
      <c r="H8" s="511"/>
      <c r="I8" s="512">
        <f>SUM(I5:I7)</f>
        <v>656290.125</v>
      </c>
      <c r="P8" s="359"/>
      <c r="Q8" s="359"/>
      <c r="R8" s="359"/>
      <c r="S8" s="359"/>
    </row>
    <row r="9" spans="2:19" s="359" customFormat="1" x14ac:dyDescent="0.25">
      <c r="B9" s="584"/>
      <c r="C9" s="584"/>
      <c r="D9" s="584"/>
      <c r="E9" s="584"/>
      <c r="F9" s="584"/>
      <c r="G9" s="513"/>
      <c r="H9" s="513"/>
      <c r="I9" s="493"/>
    </row>
    <row r="10" spans="2:19" s="359" customFormat="1" x14ac:dyDescent="0.25">
      <c r="B10" s="584" t="s">
        <v>410</v>
      </c>
      <c r="C10" s="584"/>
      <c r="D10" s="584"/>
      <c r="E10" s="584"/>
      <c r="F10" s="584"/>
      <c r="G10" s="513"/>
      <c r="H10" s="513"/>
      <c r="I10" s="493">
        <v>25.25</v>
      </c>
    </row>
    <row r="11" spans="2:19" s="359" customFormat="1" x14ac:dyDescent="0.25">
      <c r="B11" s="584" t="s">
        <v>602</v>
      </c>
      <c r="C11" s="584"/>
      <c r="D11" s="584"/>
      <c r="E11" s="584"/>
      <c r="F11" s="584"/>
      <c r="G11" s="513"/>
      <c r="H11" s="513"/>
      <c r="I11" s="493">
        <f>I8</f>
        <v>656290.125</v>
      </c>
    </row>
    <row r="12" spans="2:19" s="359" customFormat="1" x14ac:dyDescent="0.25">
      <c r="B12" s="584" t="s">
        <v>603</v>
      </c>
      <c r="C12" s="584"/>
      <c r="D12" s="584"/>
      <c r="E12" s="584"/>
      <c r="F12" s="584"/>
      <c r="G12" s="513"/>
      <c r="H12" s="513"/>
      <c r="I12" s="493">
        <f>I11/25.25</f>
        <v>25991.688118811882</v>
      </c>
    </row>
    <row r="13" spans="2:19" s="359" customFormat="1" x14ac:dyDescent="0.25">
      <c r="B13" s="584" t="s">
        <v>604</v>
      </c>
      <c r="C13" s="584"/>
      <c r="D13" s="584"/>
      <c r="E13" s="584"/>
      <c r="F13" s="584"/>
      <c r="G13" s="513"/>
      <c r="H13" s="513"/>
      <c r="I13" s="493">
        <v>800</v>
      </c>
    </row>
    <row r="14" spans="2:19" s="359" customFormat="1" x14ac:dyDescent="0.25">
      <c r="B14" s="584"/>
      <c r="C14" s="584"/>
      <c r="D14" s="584"/>
      <c r="E14" s="584"/>
      <c r="F14" s="584"/>
      <c r="G14" s="513"/>
      <c r="H14" s="513"/>
      <c r="I14" s="493"/>
    </row>
    <row r="15" spans="2:19" s="359" customFormat="1" x14ac:dyDescent="0.25">
      <c r="B15" s="584" t="s">
        <v>605</v>
      </c>
      <c r="C15" s="584"/>
      <c r="D15" s="584"/>
      <c r="E15" s="584"/>
      <c r="F15" s="584"/>
      <c r="G15" s="513"/>
      <c r="H15" s="513"/>
      <c r="I15" s="493">
        <f>I12/I13</f>
        <v>32.489610148514856</v>
      </c>
    </row>
    <row r="16" spans="2:19" s="359" customFormat="1" x14ac:dyDescent="0.25">
      <c r="B16" s="590" t="s">
        <v>606</v>
      </c>
      <c r="C16" s="590"/>
      <c r="D16" s="590"/>
      <c r="E16" s="590"/>
      <c r="F16" s="590"/>
      <c r="G16" s="514"/>
      <c r="H16" s="514"/>
      <c r="I16" s="515">
        <f>ROUNDUP(I15,0)</f>
        <v>33</v>
      </c>
    </row>
    <row r="17" spans="2:14" s="359" customFormat="1" x14ac:dyDescent="0.25">
      <c r="B17" s="584"/>
      <c r="C17" s="584"/>
      <c r="D17" s="584"/>
      <c r="E17" s="584"/>
      <c r="F17" s="584"/>
      <c r="G17" s="513"/>
      <c r="H17" s="513"/>
      <c r="I17" s="516"/>
    </row>
    <row r="18" spans="2:14" x14ac:dyDescent="0.25">
      <c r="B18" s="590" t="s">
        <v>623</v>
      </c>
      <c r="C18" s="590"/>
      <c r="D18" s="590"/>
      <c r="E18" s="590"/>
      <c r="F18" s="590"/>
      <c r="G18" s="514"/>
      <c r="H18" s="514"/>
      <c r="I18" s="515">
        <f>ROUND(I16/10,0)</f>
        <v>3</v>
      </c>
    </row>
    <row r="21" spans="2:14" x14ac:dyDescent="0.25">
      <c r="C21" s="521" t="s">
        <v>99</v>
      </c>
      <c r="D21" s="522"/>
      <c r="E21" s="522"/>
    </row>
    <row r="22" spans="2:14" x14ac:dyDescent="0.25">
      <c r="C22" s="365" t="s">
        <v>476</v>
      </c>
      <c r="D22" s="523"/>
      <c r="E22" s="523">
        <v>2</v>
      </c>
      <c r="N22" s="358">
        <v>656290.13</v>
      </c>
    </row>
    <row r="23" spans="2:14" x14ac:dyDescent="0.25">
      <c r="C23" s="365" t="s">
        <v>485</v>
      </c>
      <c r="D23" s="523"/>
      <c r="E23" s="523">
        <v>3</v>
      </c>
    </row>
    <row r="24" spans="2:14" x14ac:dyDescent="0.25">
      <c r="C24" s="365" t="s">
        <v>122</v>
      </c>
      <c r="D24" s="524"/>
      <c r="E24" s="524"/>
    </row>
    <row r="25" spans="2:14" x14ac:dyDescent="0.25">
      <c r="C25" s="521" t="s">
        <v>95</v>
      </c>
      <c r="D25" s="522"/>
      <c r="E25" s="522"/>
    </row>
    <row r="26" spans="2:14" x14ac:dyDescent="0.25">
      <c r="C26" s="365" t="s">
        <v>468</v>
      </c>
      <c r="D26" s="524"/>
      <c r="E26" s="524">
        <f>I18</f>
        <v>3</v>
      </c>
    </row>
    <row r="27" spans="2:14" x14ac:dyDescent="0.25">
      <c r="C27" s="365" t="s">
        <v>478</v>
      </c>
      <c r="D27" s="524"/>
      <c r="E27" s="524">
        <f>I16</f>
        <v>33</v>
      </c>
    </row>
    <row r="28" spans="2:14" x14ac:dyDescent="0.25">
      <c r="C28" s="365" t="s">
        <v>472</v>
      </c>
      <c r="D28" s="524"/>
      <c r="E28" s="524">
        <f>E23+E22</f>
        <v>5</v>
      </c>
    </row>
    <row r="29" spans="2:14" x14ac:dyDescent="0.25">
      <c r="C29" s="365" t="s">
        <v>471</v>
      </c>
      <c r="D29" s="523"/>
      <c r="E29" s="523">
        <f>2*(E22+E23)</f>
        <v>10</v>
      </c>
    </row>
  </sheetData>
  <mergeCells count="17">
    <mergeCell ref="E8:F8"/>
    <mergeCell ref="E6:F6"/>
    <mergeCell ref="B2:I2"/>
    <mergeCell ref="B3:I3"/>
    <mergeCell ref="E4:F4"/>
    <mergeCell ref="E5:F5"/>
    <mergeCell ref="E7:F7"/>
    <mergeCell ref="B9:F9"/>
    <mergeCell ref="B10:F10"/>
    <mergeCell ref="B11:F11"/>
    <mergeCell ref="B12:F12"/>
    <mergeCell ref="B13:F13"/>
    <mergeCell ref="B14:F14"/>
    <mergeCell ref="B15:F15"/>
    <mergeCell ref="B16:F16"/>
    <mergeCell ref="B17:F17"/>
    <mergeCell ref="B18:F18"/>
  </mergeCells>
  <pageMargins left="0.98425196850393704" right="0.59055118110236215" top="1.1811023622047243" bottom="0.59055118110236215" header="0.11811023622047244" footer="0.51181102362204722"/>
  <pageSetup paperSize="9" scale="37" fitToHeight="0" orientation="portrait" r:id="rId1"/>
  <headerFooter>
    <oddHeader>&amp;L&amp;G</oddHeader>
  </headerFooter>
  <legacyDrawingHF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8" tint="0.39997558519241921"/>
    <pageSetUpPr fitToPage="1"/>
  </sheetPr>
  <dimension ref="A1:G39"/>
  <sheetViews>
    <sheetView view="pageLayout" zoomScaleNormal="89" zoomScaleSheetLayoutView="85" workbookViewId="0">
      <selection activeCell="H9" sqref="H9"/>
    </sheetView>
  </sheetViews>
  <sheetFormatPr defaultColWidth="9.140625" defaultRowHeight="13.5" x14ac:dyDescent="0.25"/>
  <cols>
    <col min="1" max="1" width="7.5703125" style="47" customWidth="1"/>
    <col min="2" max="2" width="63.140625" style="47" customWidth="1"/>
    <col min="3" max="3" width="17.28515625" style="47" customWidth="1"/>
    <col min="4" max="4" width="19.42578125" style="52" customWidth="1"/>
    <col min="5" max="5" width="19.28515625" style="47" customWidth="1"/>
    <col min="6" max="6" width="22.7109375" style="47" customWidth="1"/>
    <col min="7" max="7" width="3.28515625" style="47" customWidth="1"/>
    <col min="8" max="16384" width="9.140625" style="47"/>
  </cols>
  <sheetData>
    <row r="1" spans="1:7" ht="20.25" customHeight="1" x14ac:dyDescent="0.25">
      <c r="G1" s="179"/>
    </row>
    <row r="2" spans="1:7" x14ac:dyDescent="0.25">
      <c r="A2" s="89"/>
      <c r="B2" s="89"/>
      <c r="D2" s="47"/>
      <c r="G2" s="179"/>
    </row>
    <row r="3" spans="1:7" ht="22.15" customHeight="1" x14ac:dyDescent="0.25">
      <c r="A3" s="704" t="s">
        <v>105</v>
      </c>
      <c r="B3" s="704"/>
      <c r="C3" s="704"/>
      <c r="D3" s="704"/>
      <c r="E3" s="704"/>
      <c r="F3" s="704"/>
      <c r="G3" s="179"/>
    </row>
    <row r="4" spans="1:7" ht="11.25" customHeight="1" x14ac:dyDescent="0.25">
      <c r="A4" s="703" t="str">
        <f>'ORÇAMENTO GERAL'!B16</f>
        <v>Poda de Árvores e Trituração de Troncos e Galhos</v>
      </c>
      <c r="B4" s="703"/>
      <c r="C4" s="703"/>
      <c r="D4" s="703"/>
      <c r="E4" s="703"/>
      <c r="F4" s="703"/>
    </row>
    <row r="5" spans="1:7" ht="15" customHeight="1" thickBot="1" x14ac:dyDescent="0.3">
      <c r="A5" s="179"/>
      <c r="B5" s="179"/>
      <c r="C5" s="179"/>
      <c r="D5" s="179"/>
      <c r="E5" s="567" t="s">
        <v>104</v>
      </c>
      <c r="F5" s="567" t="s">
        <v>501</v>
      </c>
      <c r="G5" s="51"/>
    </row>
    <row r="6" spans="1:7" ht="15.6" customHeight="1" thickBot="1" x14ac:dyDescent="0.3">
      <c r="A6" s="88" t="s">
        <v>54</v>
      </c>
      <c r="B6" s="87" t="s">
        <v>53</v>
      </c>
      <c r="C6" s="86" t="s">
        <v>102</v>
      </c>
      <c r="D6" s="85" t="s">
        <v>49</v>
      </c>
      <c r="E6" s="352" t="s">
        <v>101</v>
      </c>
      <c r="F6" s="353" t="s">
        <v>100</v>
      </c>
      <c r="G6" s="82"/>
    </row>
    <row r="7" spans="1:7" ht="16.149999999999999" customHeight="1" x14ac:dyDescent="0.25">
      <c r="A7" s="153">
        <v>1</v>
      </c>
      <c r="B7" s="152" t="s">
        <v>99</v>
      </c>
      <c r="C7" s="151"/>
      <c r="D7" s="150"/>
      <c r="E7" s="354"/>
      <c r="F7" s="355"/>
    </row>
    <row r="8" spans="1:7" ht="16.149999999999999" customHeight="1" x14ac:dyDescent="0.25">
      <c r="A8" s="59" t="s">
        <v>47</v>
      </c>
      <c r="B8" s="175" t="s">
        <v>639</v>
      </c>
      <c r="C8" s="59" t="s">
        <v>85</v>
      </c>
      <c r="D8" s="176">
        <f>'10.4 DIM PODA'!C12</f>
        <v>1</v>
      </c>
      <c r="E8" s="356" t="e">
        <f>'10.3 EQUIP. VEICULOS '!C39</f>
        <v>#DIV/0!</v>
      </c>
      <c r="F8" s="356" t="e">
        <f>E8*D8</f>
        <v>#DIV/0!</v>
      </c>
    </row>
    <row r="9" spans="1:7" ht="16.149999999999999" customHeight="1" x14ac:dyDescent="0.25">
      <c r="A9" s="59" t="s">
        <v>31</v>
      </c>
      <c r="B9" s="175" t="s">
        <v>130</v>
      </c>
      <c r="C9" s="59" t="s">
        <v>85</v>
      </c>
      <c r="D9" s="176">
        <f>'10.4 DIM PODA'!C9</f>
        <v>2</v>
      </c>
      <c r="E9" s="356" t="e">
        <f>'10.3 EQUIP. VEICULOS '!F39</f>
        <v>#DIV/0!</v>
      </c>
      <c r="F9" s="356" t="e">
        <f>E9*D9</f>
        <v>#DIV/0!</v>
      </c>
      <c r="G9" s="82"/>
    </row>
    <row r="10" spans="1:7" ht="16.149999999999999" customHeight="1" x14ac:dyDescent="0.25">
      <c r="A10" s="59" t="s">
        <v>29</v>
      </c>
      <c r="B10" s="175" t="s">
        <v>633</v>
      </c>
      <c r="C10" s="59" t="s">
        <v>85</v>
      </c>
      <c r="D10" s="176">
        <f>'10.4 DIM PODA'!C10</f>
        <v>4</v>
      </c>
      <c r="E10" s="356" t="e">
        <f>'10.3 EQUIP. VEICULOS '!D39</f>
        <v>#DIV/0!</v>
      </c>
      <c r="F10" s="356" t="e">
        <f>E10*D10</f>
        <v>#DIV/0!</v>
      </c>
      <c r="G10" s="82"/>
    </row>
    <row r="11" spans="1:7" ht="16.149999999999999" customHeight="1" x14ac:dyDescent="0.25">
      <c r="A11" s="59" t="s">
        <v>27</v>
      </c>
      <c r="B11" s="175" t="s">
        <v>129</v>
      </c>
      <c r="C11" s="59" t="s">
        <v>85</v>
      </c>
      <c r="D11" s="176">
        <f>'10.4 DIM PODA'!C11</f>
        <v>1</v>
      </c>
      <c r="E11" s="356" t="e">
        <f>'10.3 EQUIP. VEICULOS '!E39</f>
        <v>#DIV/0!</v>
      </c>
      <c r="F11" s="356" t="e">
        <f>E11*D11</f>
        <v>#DIV/0!</v>
      </c>
      <c r="G11" s="82"/>
    </row>
    <row r="12" spans="1:7" ht="16.149999999999999" customHeight="1" x14ac:dyDescent="0.25">
      <c r="A12" s="175"/>
      <c r="B12" s="175" t="s">
        <v>122</v>
      </c>
      <c r="C12" s="57" t="s">
        <v>121</v>
      </c>
      <c r="D12" s="63"/>
      <c r="E12" s="357" t="s">
        <v>96</v>
      </c>
      <c r="F12" s="357" t="e">
        <f>SUM(F8:F11)</f>
        <v>#DIV/0!</v>
      </c>
      <c r="G12" s="82"/>
    </row>
    <row r="13" spans="1:7" ht="16.149999999999999" customHeight="1" x14ac:dyDescent="0.25">
      <c r="A13" s="153">
        <v>2</v>
      </c>
      <c r="B13" s="152" t="s">
        <v>95</v>
      </c>
      <c r="C13" s="151"/>
      <c r="D13" s="150"/>
      <c r="E13" s="354"/>
      <c r="F13" s="355"/>
      <c r="G13" s="51"/>
    </row>
    <row r="14" spans="1:7" ht="16.149999999999999" customHeight="1" x14ac:dyDescent="0.25">
      <c r="A14" s="59" t="s">
        <v>17</v>
      </c>
      <c r="B14" s="175" t="s">
        <v>468</v>
      </c>
      <c r="C14" s="59" t="s">
        <v>94</v>
      </c>
      <c r="D14" s="63">
        <f>'10.4 DIM PODA'!C17</f>
        <v>1</v>
      </c>
      <c r="E14" s="356" t="e">
        <f>'10.2 MAO DE OBRA'!F37</f>
        <v>#DIV/0!</v>
      </c>
      <c r="F14" s="356" t="e">
        <f t="shared" ref="F14:F18" si="0">E14*D14</f>
        <v>#DIV/0!</v>
      </c>
      <c r="G14" s="178"/>
    </row>
    <row r="15" spans="1:7" ht="16.149999999999999" customHeight="1" x14ac:dyDescent="0.25">
      <c r="A15" s="59" t="s">
        <v>15</v>
      </c>
      <c r="B15" s="175" t="s">
        <v>472</v>
      </c>
      <c r="C15" s="59" t="s">
        <v>94</v>
      </c>
      <c r="D15" s="63">
        <f>'10.4 DIM PODA'!C18</f>
        <v>2</v>
      </c>
      <c r="E15" s="356" t="e">
        <f>'10.2 MAO DE OBRA'!F72</f>
        <v>#DIV/0!</v>
      </c>
      <c r="F15" s="356" t="e">
        <f t="shared" si="0"/>
        <v>#DIV/0!</v>
      </c>
      <c r="G15" s="178"/>
    </row>
    <row r="16" spans="1:7" ht="16.149999999999999" customHeight="1" x14ac:dyDescent="0.25">
      <c r="A16" s="59" t="s">
        <v>13</v>
      </c>
      <c r="B16" s="175" t="s">
        <v>125</v>
      </c>
      <c r="C16" s="59" t="s">
        <v>94</v>
      </c>
      <c r="D16" s="63">
        <f>'10.4 DIM PODA'!C19</f>
        <v>1</v>
      </c>
      <c r="E16" s="356" t="e">
        <f>'10.2 MAO DE OBRA'!F142</f>
        <v>#DIV/0!</v>
      </c>
      <c r="F16" s="356" t="e">
        <f t="shared" si="0"/>
        <v>#DIV/0!</v>
      </c>
      <c r="G16" s="178"/>
    </row>
    <row r="17" spans="1:7" ht="16.149999999999999" customHeight="1" x14ac:dyDescent="0.25">
      <c r="A17" s="59" t="s">
        <v>11</v>
      </c>
      <c r="B17" s="175" t="s">
        <v>634</v>
      </c>
      <c r="C17" s="59" t="s">
        <v>94</v>
      </c>
      <c r="D17" s="63">
        <f>'10.4 DIM PODA'!C20</f>
        <v>4</v>
      </c>
      <c r="E17" s="356" t="e">
        <f>'10.2 MAO DE OBRA'!F178</f>
        <v>#DIV/0!</v>
      </c>
      <c r="F17" s="356" t="e">
        <f t="shared" si="0"/>
        <v>#DIV/0!</v>
      </c>
      <c r="G17" s="178"/>
    </row>
    <row r="18" spans="1:7" ht="16.149999999999999" customHeight="1" x14ac:dyDescent="0.25">
      <c r="A18" s="59" t="s">
        <v>7</v>
      </c>
      <c r="B18" s="175" t="s">
        <v>471</v>
      </c>
      <c r="C18" s="59" t="s">
        <v>94</v>
      </c>
      <c r="D18" s="63">
        <f>'10.4 DIM PODA'!C21</f>
        <v>6</v>
      </c>
      <c r="E18" s="356" t="e">
        <f>'10.2 MAO DE OBRA'!F109</f>
        <v>#DIV/0!</v>
      </c>
      <c r="F18" s="356" t="e">
        <f t="shared" si="0"/>
        <v>#DIV/0!</v>
      </c>
      <c r="G18" s="178"/>
    </row>
    <row r="19" spans="1:7" ht="16.149999999999999" customHeight="1" x14ac:dyDescent="0.25">
      <c r="A19" s="59"/>
      <c r="B19" s="175" t="s">
        <v>122</v>
      </c>
      <c r="C19" s="57" t="s">
        <v>121</v>
      </c>
      <c r="D19" s="63"/>
      <c r="E19" s="357" t="s">
        <v>93</v>
      </c>
      <c r="F19" s="357" t="e">
        <f>SUM(F14:F18)</f>
        <v>#DIV/0!</v>
      </c>
      <c r="G19" s="51"/>
    </row>
    <row r="20" spans="1:7" ht="16.149999999999999" customHeight="1" x14ac:dyDescent="0.25">
      <c r="A20" s="153">
        <v>3</v>
      </c>
      <c r="B20" s="152" t="s">
        <v>92</v>
      </c>
      <c r="C20" s="151"/>
      <c r="D20" s="150"/>
      <c r="E20" s="354"/>
      <c r="F20" s="355"/>
      <c r="G20" s="82"/>
    </row>
    <row r="21" spans="1:7" ht="16.149999999999999" customHeight="1" x14ac:dyDescent="0.25">
      <c r="B21" s="177" t="s">
        <v>123</v>
      </c>
      <c r="C21" s="59"/>
      <c r="D21" s="63"/>
      <c r="E21" s="356"/>
      <c r="F21" s="357"/>
      <c r="G21" s="51"/>
    </row>
    <row r="22" spans="1:7" ht="16.149999999999999" customHeight="1" x14ac:dyDescent="0.25">
      <c r="A22" s="59" t="s">
        <v>91</v>
      </c>
      <c r="B22" s="177" t="s">
        <v>90</v>
      </c>
      <c r="C22" s="59" t="s">
        <v>85</v>
      </c>
      <c r="D22" s="63">
        <v>4</v>
      </c>
      <c r="E22" s="69" t="e">
        <f>VLOOKUP(B22,'1.1 CUSTO FERRAME-UNIFORME-EPI'!B:C,2,FALSE)</f>
        <v>#DIV/0!</v>
      </c>
      <c r="F22" s="356" t="e">
        <f>E22*D22</f>
        <v>#DIV/0!</v>
      </c>
      <c r="G22" s="82"/>
    </row>
    <row r="23" spans="1:7" ht="16.149999999999999" customHeight="1" x14ac:dyDescent="0.25">
      <c r="A23" s="59" t="s">
        <v>89</v>
      </c>
      <c r="B23" s="177" t="s">
        <v>115</v>
      </c>
      <c r="C23" s="59" t="s">
        <v>85</v>
      </c>
      <c r="D23" s="63">
        <v>6</v>
      </c>
      <c r="E23" s="69" t="e">
        <f>VLOOKUP(B23,'1.1 CUSTO FERRAME-UNIFORME-EPI'!B:C,2,FALSE)</f>
        <v>#DIV/0!</v>
      </c>
      <c r="F23" s="356" t="e">
        <f>E23*D23</f>
        <v>#DIV/0!</v>
      </c>
      <c r="G23" s="51"/>
    </row>
    <row r="24" spans="1:7" ht="16.149999999999999" customHeight="1" x14ac:dyDescent="0.25">
      <c r="A24" s="59" t="s">
        <v>87</v>
      </c>
      <c r="B24" s="177" t="s">
        <v>88</v>
      </c>
      <c r="C24" s="59" t="s">
        <v>85</v>
      </c>
      <c r="D24" s="63">
        <v>6</v>
      </c>
      <c r="E24" s="69">
        <f>VLOOKUP(B24,'1.1 CUSTO FERRAME-UNIFORME-EPI'!B:C,2,FALSE)</f>
        <v>0</v>
      </c>
      <c r="F24" s="356">
        <f>E24*D24</f>
        <v>0</v>
      </c>
      <c r="G24" s="82"/>
    </row>
    <row r="25" spans="1:7" ht="16.149999999999999" customHeight="1" x14ac:dyDescent="0.25">
      <c r="A25" s="59" t="s">
        <v>116</v>
      </c>
      <c r="B25" s="177" t="s">
        <v>86</v>
      </c>
      <c r="C25" s="59" t="s">
        <v>85</v>
      </c>
      <c r="D25" s="63">
        <v>3</v>
      </c>
      <c r="E25" s="69">
        <f>VLOOKUP(B25,'1.1 CUSTO FERRAME-UNIFORME-EPI'!B:C,2,FALSE)</f>
        <v>0</v>
      </c>
      <c r="F25" s="356">
        <f>E25*D25</f>
        <v>0</v>
      </c>
      <c r="G25" s="51"/>
    </row>
    <row r="26" spans="1:7" ht="16.149999999999999" customHeight="1" x14ac:dyDescent="0.25">
      <c r="A26" s="59"/>
      <c r="B26" s="175" t="s">
        <v>122</v>
      </c>
      <c r="C26" s="57" t="s">
        <v>121</v>
      </c>
      <c r="D26" s="63"/>
      <c r="E26" s="357" t="s">
        <v>84</v>
      </c>
      <c r="F26" s="357" t="e">
        <f>SUM(F22:F25)</f>
        <v>#DIV/0!</v>
      </c>
      <c r="G26" s="82"/>
    </row>
    <row r="27" spans="1:7" ht="16.149999999999999" customHeight="1" x14ac:dyDescent="0.25">
      <c r="A27" s="174"/>
      <c r="B27" s="163" t="s">
        <v>83</v>
      </c>
      <c r="C27" s="163"/>
      <c r="D27" s="163"/>
      <c r="E27" s="163"/>
      <c r="F27" s="173"/>
      <c r="G27" s="82"/>
    </row>
    <row r="28" spans="1:7" ht="16.149999999999999" customHeight="1" x14ac:dyDescent="0.25">
      <c r="A28" s="172"/>
      <c r="B28" s="167" t="s">
        <v>82</v>
      </c>
      <c r="C28" s="169" t="s">
        <v>81</v>
      </c>
      <c r="D28" s="167"/>
      <c r="E28" s="165"/>
      <c r="F28" s="66" t="e">
        <f>SUM(F19,F26,F12)</f>
        <v>#DIV/0!</v>
      </c>
      <c r="G28" s="82"/>
    </row>
    <row r="29" spans="1:7" ht="16.149999999999999" customHeight="1" x14ac:dyDescent="0.25">
      <c r="A29" s="172"/>
      <c r="B29" s="171" t="s">
        <v>80</v>
      </c>
      <c r="C29" s="166" t="s">
        <v>120</v>
      </c>
      <c r="D29" s="170"/>
      <c r="E29" s="165"/>
      <c r="F29" s="64">
        <v>1</v>
      </c>
      <c r="G29" s="82"/>
    </row>
    <row r="30" spans="1:7" ht="16.149999999999999" customHeight="1" x14ac:dyDescent="0.25">
      <c r="A30" s="168"/>
      <c r="B30" s="167" t="s">
        <v>78</v>
      </c>
      <c r="C30" s="169" t="s">
        <v>119</v>
      </c>
      <c r="D30" s="167"/>
      <c r="E30" s="165"/>
      <c r="F30" s="61" t="e">
        <f>F28/F29</f>
        <v>#DIV/0!</v>
      </c>
      <c r="G30" s="82"/>
    </row>
    <row r="31" spans="1:7" ht="16.149999999999999" customHeight="1" x14ac:dyDescent="0.25">
      <c r="A31" s="168"/>
      <c r="B31" s="167" t="s">
        <v>77</v>
      </c>
      <c r="C31" s="166" t="s">
        <v>76</v>
      </c>
      <c r="D31" s="58">
        <f>'BDI '!$C$22</f>
        <v>5.2600000000000001E-2</v>
      </c>
      <c r="E31" s="165"/>
      <c r="F31" s="56" t="e">
        <f>F30*D31</f>
        <v>#DIV/0!</v>
      </c>
      <c r="G31" s="82"/>
    </row>
    <row r="32" spans="1:7" x14ac:dyDescent="0.25">
      <c r="A32" s="163"/>
      <c r="B32" s="163" t="s">
        <v>75</v>
      </c>
      <c r="C32" s="164" t="s">
        <v>119</v>
      </c>
      <c r="D32" s="163"/>
      <c r="E32" s="163"/>
      <c r="F32" s="162" t="e">
        <f>ROUND(F31+F30,2)</f>
        <v>#DIV/0!</v>
      </c>
      <c r="G32" s="82"/>
    </row>
    <row r="33" spans="4:7" x14ac:dyDescent="0.25">
      <c r="D33" s="47"/>
    </row>
    <row r="34" spans="4:7" x14ac:dyDescent="0.25">
      <c r="G34" s="157"/>
    </row>
    <row r="35" spans="4:7" x14ac:dyDescent="0.25">
      <c r="G35" s="156"/>
    </row>
    <row r="36" spans="4:7" x14ac:dyDescent="0.25">
      <c r="G36" s="155"/>
    </row>
    <row r="37" spans="4:7" x14ac:dyDescent="0.25">
      <c r="G37" s="154"/>
    </row>
    <row r="38" spans="4:7" x14ac:dyDescent="0.25">
      <c r="G38" s="155"/>
    </row>
    <row r="39" spans="4:7" x14ac:dyDescent="0.25">
      <c r="G39" s="154"/>
    </row>
  </sheetData>
  <sheetProtection selectLockedCells="1" selectUnlockedCells="1"/>
  <mergeCells count="2">
    <mergeCell ref="A3:F3"/>
    <mergeCell ref="A4:F4"/>
  </mergeCells>
  <pageMargins left="0.98425196850393704" right="0.59055118110236215" top="1.1811023622047243" bottom="0.59055118110236215" header="0.11811023622047244" footer="0.51181102362204722"/>
  <pageSetup paperSize="9" scale="58" firstPageNumber="0" fitToHeight="0" orientation="portrait" horizontalDpi="300" verticalDpi="300" r:id="rId1"/>
  <headerFooter alignWithMargins="0">
    <oddHeader>&amp;L&amp;G</oddHeader>
  </headerFooter>
  <legacyDrawingHF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8" tint="0.39997558519241921"/>
    <pageSetUpPr fitToPage="1"/>
  </sheetPr>
  <dimension ref="B1:J178"/>
  <sheetViews>
    <sheetView view="pageBreakPreview" topLeftCell="A43" zoomScale="85" zoomScaleNormal="100" zoomScaleSheetLayoutView="85" workbookViewId="0">
      <selection activeCell="L174" sqref="L174"/>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5" spans="2:6" x14ac:dyDescent="0.25">
      <c r="B5" s="313" t="s">
        <v>54</v>
      </c>
      <c r="C5" s="314" t="s">
        <v>53</v>
      </c>
      <c r="D5" s="705" t="s">
        <v>63</v>
      </c>
      <c r="E5" s="706"/>
      <c r="F5" s="707"/>
    </row>
    <row r="6" spans="2:6" x14ac:dyDescent="0.25">
      <c r="B6" s="315"/>
      <c r="C6" s="316"/>
      <c r="D6" s="709"/>
      <c r="E6" s="710"/>
      <c r="F6" s="711"/>
    </row>
    <row r="7" spans="2:6" x14ac:dyDescent="0.25">
      <c r="B7" s="317" t="s">
        <v>52</v>
      </c>
      <c r="C7" s="318" t="s">
        <v>51</v>
      </c>
      <c r="D7" s="319" t="s">
        <v>50</v>
      </c>
      <c r="E7" s="319" t="s">
        <v>49</v>
      </c>
      <c r="F7" s="319" t="s">
        <v>48</v>
      </c>
    </row>
    <row r="8" spans="2:6" x14ac:dyDescent="0.25">
      <c r="B8" s="317" t="s">
        <v>47</v>
      </c>
      <c r="C8" s="318" t="s">
        <v>46</v>
      </c>
      <c r="D8" s="319"/>
      <c r="E8" s="319"/>
      <c r="F8" s="319"/>
    </row>
    <row r="9" spans="2:6" x14ac:dyDescent="0.25">
      <c r="B9" s="31" t="s">
        <v>45</v>
      </c>
      <c r="C9" s="36" t="s">
        <v>44</v>
      </c>
      <c r="D9" s="11">
        <f>'1.1 SALÁRIOS'!F10</f>
        <v>0</v>
      </c>
      <c r="E9" s="17">
        <v>1</v>
      </c>
      <c r="F9" s="11">
        <f>E9*D9</f>
        <v>0</v>
      </c>
    </row>
    <row r="10" spans="2:6" x14ac:dyDescent="0.25">
      <c r="B10" s="31" t="s">
        <v>43</v>
      </c>
      <c r="C10" s="36" t="s">
        <v>42</v>
      </c>
      <c r="D10" s="11">
        <v>0</v>
      </c>
      <c r="E10" s="17">
        <v>1</v>
      </c>
      <c r="F10" s="11">
        <f>E10*D10</f>
        <v>0</v>
      </c>
    </row>
    <row r="11" spans="2:6" x14ac:dyDescent="0.25">
      <c r="B11" s="31" t="s">
        <v>41</v>
      </c>
      <c r="C11" s="36" t="s">
        <v>40</v>
      </c>
      <c r="D11" s="11"/>
      <c r="E11" s="17"/>
      <c r="F11" s="11"/>
    </row>
    <row r="12" spans="2:6" x14ac:dyDescent="0.25">
      <c r="B12" s="31" t="s">
        <v>39</v>
      </c>
      <c r="C12" s="36" t="s">
        <v>38</v>
      </c>
      <c r="D12" s="11"/>
      <c r="E12" s="17"/>
      <c r="F12" s="11"/>
    </row>
    <row r="13" spans="2:6" x14ac:dyDescent="0.25">
      <c r="B13" s="31" t="s">
        <v>37</v>
      </c>
      <c r="C13" s="36" t="s">
        <v>36</v>
      </c>
      <c r="D13" s="11"/>
      <c r="E13" s="17"/>
      <c r="F13" s="11"/>
    </row>
    <row r="14" spans="2:6" x14ac:dyDescent="0.25">
      <c r="B14" s="31" t="s">
        <v>35</v>
      </c>
      <c r="C14" s="36" t="s">
        <v>34</v>
      </c>
      <c r="D14" s="11"/>
      <c r="E14" s="17"/>
      <c r="F14" s="11"/>
    </row>
    <row r="15" spans="2:6" x14ac:dyDescent="0.25">
      <c r="B15" s="320"/>
      <c r="C15" s="318" t="s">
        <v>32</v>
      </c>
      <c r="D15" s="322"/>
      <c r="E15" s="322"/>
      <c r="F15" s="323">
        <f>SUM(F9:F14)</f>
        <v>0</v>
      </c>
    </row>
    <row r="16" spans="2:6" x14ac:dyDescent="0.25">
      <c r="B16" s="317" t="s">
        <v>31</v>
      </c>
      <c r="C16" s="324" t="s">
        <v>30</v>
      </c>
      <c r="D16" s="322">
        <f>F15</f>
        <v>0</v>
      </c>
      <c r="E16" s="14">
        <f>'1.1 SALÁRIOS'!$F$33</f>
        <v>0</v>
      </c>
      <c r="F16" s="322">
        <f>E16*D16</f>
        <v>0</v>
      </c>
    </row>
    <row r="17" spans="2:6" x14ac:dyDescent="0.25">
      <c r="B17" s="317" t="s">
        <v>29</v>
      </c>
      <c r="C17" s="325" t="s">
        <v>28</v>
      </c>
      <c r="D17" s="322"/>
      <c r="E17" s="322"/>
      <c r="F17" s="323">
        <f>SUM(F15:F16)</f>
        <v>0</v>
      </c>
    </row>
    <row r="18" spans="2:6" x14ac:dyDescent="0.25">
      <c r="B18" s="317" t="s">
        <v>27</v>
      </c>
      <c r="C18" s="325" t="s">
        <v>26</v>
      </c>
      <c r="D18" s="322"/>
      <c r="E18" s="322"/>
      <c r="F18" s="322"/>
    </row>
    <row r="19" spans="2:6" x14ac:dyDescent="0.25">
      <c r="B19" s="9" t="s">
        <v>25</v>
      </c>
      <c r="C19" s="15" t="s">
        <v>24</v>
      </c>
      <c r="D19" s="11">
        <f>'1.1 SALÁRIOS'!$F$35</f>
        <v>0</v>
      </c>
      <c r="E19" s="11">
        <v>25.25</v>
      </c>
      <c r="F19" s="11">
        <f>IF(2*E19*D19-0.06*D9&lt;0,0,2*E19*D19-0.06*D9)</f>
        <v>0</v>
      </c>
    </row>
    <row r="20" spans="2:6" x14ac:dyDescent="0.25">
      <c r="B20" s="9" t="s">
        <v>23</v>
      </c>
      <c r="C20" s="15" t="s">
        <v>369</v>
      </c>
      <c r="D20" s="11">
        <f>('1.1 SALÁRIOS'!$F$36+'1.1 SALÁRIOS'!$F$37)/12</f>
        <v>0</v>
      </c>
      <c r="E20" s="11">
        <v>1</v>
      </c>
      <c r="F20" s="11">
        <f>E20*D20</f>
        <v>0</v>
      </c>
    </row>
    <row r="21" spans="2:6" x14ac:dyDescent="0.25">
      <c r="B21" s="9" t="s">
        <v>22</v>
      </c>
      <c r="C21" s="15" t="s">
        <v>370</v>
      </c>
      <c r="D21" s="11">
        <f>'1.1 SALÁRIOS'!$F$38</f>
        <v>0</v>
      </c>
      <c r="E21" s="11">
        <f>E19</f>
        <v>25.25</v>
      </c>
      <c r="F21" s="11">
        <f>E21*D21</f>
        <v>0</v>
      </c>
    </row>
    <row r="22" spans="2:6" x14ac:dyDescent="0.25">
      <c r="B22" s="9" t="s">
        <v>21</v>
      </c>
      <c r="C22" s="15" t="s">
        <v>371</v>
      </c>
      <c r="D22" s="11">
        <f>'1.1 SALÁRIOS'!$F$39</f>
        <v>0</v>
      </c>
      <c r="E22" s="11">
        <v>1</v>
      </c>
      <c r="F22" s="11">
        <f>E22*D22</f>
        <v>0</v>
      </c>
    </row>
    <row r="23" spans="2:6" x14ac:dyDescent="0.25">
      <c r="B23" s="9" t="s">
        <v>374</v>
      </c>
      <c r="C23" s="15" t="s">
        <v>372</v>
      </c>
      <c r="D23" s="11">
        <f>'1.1 SALÁRIOS'!$F$40</f>
        <v>0</v>
      </c>
      <c r="E23" s="11">
        <v>1</v>
      </c>
      <c r="F23" s="11">
        <f>E23*D23</f>
        <v>0</v>
      </c>
    </row>
    <row r="24" spans="2:6" x14ac:dyDescent="0.25">
      <c r="B24" s="9" t="s">
        <v>375</v>
      </c>
      <c r="C24" s="15" t="s">
        <v>373</v>
      </c>
      <c r="D24" s="11">
        <f>'1.1 SALÁRIOS'!$F$41</f>
        <v>0</v>
      </c>
      <c r="E24" s="11">
        <v>1</v>
      </c>
      <c r="F24" s="11">
        <f>E24*D24</f>
        <v>0</v>
      </c>
    </row>
    <row r="25" spans="2:6" x14ac:dyDescent="0.25">
      <c r="B25" s="320"/>
      <c r="C25" s="325" t="s">
        <v>20</v>
      </c>
      <c r="D25" s="323"/>
      <c r="E25" s="323"/>
      <c r="F25" s="323">
        <f>SUM(F19:F24)</f>
        <v>0</v>
      </c>
    </row>
    <row r="26" spans="2:6" x14ac:dyDescent="0.25">
      <c r="B26" s="317" t="s">
        <v>19</v>
      </c>
      <c r="C26" s="325" t="s">
        <v>18</v>
      </c>
      <c r="D26" s="322"/>
      <c r="E26" s="322"/>
      <c r="F26" s="322"/>
    </row>
    <row r="27" spans="2:6" x14ac:dyDescent="0.25">
      <c r="B27" s="320" t="s">
        <v>17</v>
      </c>
      <c r="C27" s="326" t="s">
        <v>16</v>
      </c>
      <c r="D27" s="11" t="e">
        <f>VLOOKUP(C27,'1.1 CUSTO FERRAME-UNIFORME-EPI'!B:C,2,FALSE)</f>
        <v>#DIV/0!</v>
      </c>
      <c r="E27" s="328">
        <v>0.17</v>
      </c>
      <c r="F27" s="322" t="e">
        <f t="shared" ref="F27:F34" si="0">E27*D27</f>
        <v>#DIV/0!</v>
      </c>
    </row>
    <row r="28" spans="2:6" x14ac:dyDescent="0.25">
      <c r="B28" s="320" t="s">
        <v>15</v>
      </c>
      <c r="C28" s="326" t="s">
        <v>14</v>
      </c>
      <c r="D28" s="11" t="e">
        <f>VLOOKUP(C28,'1.1 CUSTO FERRAME-UNIFORME-EPI'!B:C,2,FALSE)</f>
        <v>#DIV/0!</v>
      </c>
      <c r="E28" s="328">
        <v>0.33</v>
      </c>
      <c r="F28" s="322" t="e">
        <f t="shared" si="0"/>
        <v>#DIV/0!</v>
      </c>
    </row>
    <row r="29" spans="2:6" x14ac:dyDescent="0.25">
      <c r="B29" s="320" t="s">
        <v>13</v>
      </c>
      <c r="C29" s="326" t="s">
        <v>12</v>
      </c>
      <c r="D29" s="11" t="e">
        <f>VLOOKUP(C29,'1.1 CUSTO FERRAME-UNIFORME-EPI'!B:C,2,FALSE)</f>
        <v>#DIV/0!</v>
      </c>
      <c r="E29" s="328">
        <v>0.33</v>
      </c>
      <c r="F29" s="322" t="e">
        <f t="shared" si="0"/>
        <v>#DIV/0!</v>
      </c>
    </row>
    <row r="30" spans="2:6" x14ac:dyDescent="0.25">
      <c r="B30" s="320" t="s">
        <v>11</v>
      </c>
      <c r="C30" s="326" t="s">
        <v>10</v>
      </c>
      <c r="D30" s="11">
        <f>VLOOKUP(C30,'1.1 CUSTO FERRAME-UNIFORME-EPI'!B:C,2,FALSE)</f>
        <v>0</v>
      </c>
      <c r="E30" s="328">
        <v>0.17</v>
      </c>
      <c r="F30" s="322">
        <f t="shared" si="0"/>
        <v>0</v>
      </c>
    </row>
    <row r="31" spans="2:6" x14ac:dyDescent="0.25">
      <c r="B31" s="320" t="s">
        <v>9</v>
      </c>
      <c r="C31" s="326" t="s">
        <v>8</v>
      </c>
      <c r="D31" s="11">
        <f>VLOOKUP(C31,'1.1 CUSTO FERRAME-UNIFORME-EPI'!B:C,2,FALSE)</f>
        <v>0</v>
      </c>
      <c r="E31" s="328">
        <v>0.17</v>
      </c>
      <c r="F31" s="322">
        <f t="shared" si="0"/>
        <v>0</v>
      </c>
    </row>
    <row r="32" spans="2:6" x14ac:dyDescent="0.25">
      <c r="B32" s="320" t="s">
        <v>7</v>
      </c>
      <c r="C32" s="326" t="s">
        <v>6</v>
      </c>
      <c r="D32" s="11">
        <f>VLOOKUP(C32,'1.1 CUSTO FERRAME-UNIFORME-EPI'!B:C,2,FALSE)</f>
        <v>0</v>
      </c>
      <c r="E32" s="328">
        <v>0.3</v>
      </c>
      <c r="F32" s="322">
        <f t="shared" si="0"/>
        <v>0</v>
      </c>
    </row>
    <row r="33" spans="2:6" x14ac:dyDescent="0.25">
      <c r="B33" s="320" t="s">
        <v>5</v>
      </c>
      <c r="C33" s="326" t="s">
        <v>4</v>
      </c>
      <c r="D33" s="11" t="e">
        <f>VLOOKUP(C33,'1.1 CUSTO FERRAME-UNIFORME-EPI'!B:C,2,FALSE)</f>
        <v>#DIV/0!</v>
      </c>
      <c r="E33" s="328">
        <v>0</v>
      </c>
      <c r="F33" s="322" t="e">
        <f t="shared" si="0"/>
        <v>#DIV/0!</v>
      </c>
    </row>
    <row r="34" spans="2:6" x14ac:dyDescent="0.25">
      <c r="B34" s="320" t="s">
        <v>3</v>
      </c>
      <c r="C34" s="326" t="s">
        <v>202</v>
      </c>
      <c r="D34" s="11" t="e">
        <f>VLOOKUP(C34,'1.1 CUSTO FERRAME-UNIFORME-EPI'!B:C,2,FALSE)</f>
        <v>#DIV/0!</v>
      </c>
      <c r="E34" s="329">
        <v>0.08</v>
      </c>
      <c r="F34" s="322" t="e">
        <f t="shared" si="0"/>
        <v>#DIV/0!</v>
      </c>
    </row>
    <row r="35" spans="2:6" x14ac:dyDescent="0.25">
      <c r="B35" s="320"/>
      <c r="C35" s="325" t="s">
        <v>2</v>
      </c>
      <c r="D35" s="330"/>
      <c r="E35" s="330"/>
      <c r="F35" s="331" t="e">
        <f>SUM(F27:F34)</f>
        <v>#DIV/0!</v>
      </c>
    </row>
    <row r="36" spans="2:6" x14ac:dyDescent="0.25">
      <c r="B36" s="320"/>
      <c r="C36" s="332"/>
      <c r="D36" s="330"/>
      <c r="E36" s="330"/>
      <c r="F36" s="331"/>
    </row>
    <row r="37" spans="2:6" x14ac:dyDescent="0.25">
      <c r="B37" s="333" t="s">
        <v>1</v>
      </c>
      <c r="C37" s="334" t="s">
        <v>0</v>
      </c>
      <c r="D37" s="335"/>
      <c r="E37" s="335"/>
      <c r="F37" s="336" t="e">
        <f>SUM(F17,F25,F35)</f>
        <v>#DIV/0!</v>
      </c>
    </row>
    <row r="40" spans="2:6" x14ac:dyDescent="0.25">
      <c r="B40" s="313" t="s">
        <v>54</v>
      </c>
      <c r="C40" s="313" t="s">
        <v>53</v>
      </c>
      <c r="D40" s="714" t="s">
        <v>402</v>
      </c>
      <c r="E40" s="714"/>
      <c r="F40" s="714"/>
    </row>
    <row r="41" spans="2:6" x14ac:dyDescent="0.25">
      <c r="B41" s="315"/>
      <c r="C41" s="315"/>
      <c r="D41" s="713"/>
      <c r="E41" s="713"/>
      <c r="F41" s="713"/>
    </row>
    <row r="42" spans="2:6" x14ac:dyDescent="0.25">
      <c r="B42" s="317" t="s">
        <v>52</v>
      </c>
      <c r="C42" s="337" t="s">
        <v>51</v>
      </c>
      <c r="D42" s="319" t="s">
        <v>50</v>
      </c>
      <c r="E42" s="319" t="s">
        <v>49</v>
      </c>
      <c r="F42" s="319" t="s">
        <v>48</v>
      </c>
    </row>
    <row r="43" spans="2:6" x14ac:dyDescent="0.25">
      <c r="B43" s="317" t="s">
        <v>47</v>
      </c>
      <c r="C43" s="337" t="s">
        <v>46</v>
      </c>
      <c r="D43" s="319"/>
      <c r="E43" s="319"/>
      <c r="F43" s="319"/>
    </row>
    <row r="44" spans="2:6" x14ac:dyDescent="0.25">
      <c r="B44" s="320" t="s">
        <v>45</v>
      </c>
      <c r="C44" s="338" t="s">
        <v>44</v>
      </c>
      <c r="D44" s="339">
        <f>'1.1 SALÁRIOS'!F26</f>
        <v>0</v>
      </c>
      <c r="E44" s="322">
        <v>1</v>
      </c>
      <c r="F44" s="322">
        <f>E44*D44</f>
        <v>0</v>
      </c>
    </row>
    <row r="45" spans="2:6" x14ac:dyDescent="0.25">
      <c r="B45" s="320" t="s">
        <v>43</v>
      </c>
      <c r="C45" s="338" t="s">
        <v>42</v>
      </c>
      <c r="D45" s="11">
        <f>'1.1 SALÁRIOS'!$F$23</f>
        <v>0</v>
      </c>
      <c r="E45" s="34">
        <v>0.2</v>
      </c>
      <c r="F45" s="11">
        <f>E45*D45</f>
        <v>0</v>
      </c>
    </row>
    <row r="46" spans="2:6" x14ac:dyDescent="0.25">
      <c r="B46" s="320" t="s">
        <v>41</v>
      </c>
      <c r="C46" s="338" t="s">
        <v>56</v>
      </c>
      <c r="D46" s="322"/>
      <c r="E46" s="322"/>
      <c r="F46" s="322"/>
    </row>
    <row r="47" spans="2:6" x14ac:dyDescent="0.25">
      <c r="B47" s="320" t="s">
        <v>39</v>
      </c>
      <c r="C47" s="338" t="s">
        <v>38</v>
      </c>
      <c r="D47" s="322"/>
      <c r="E47" s="322"/>
      <c r="F47" s="322"/>
    </row>
    <row r="48" spans="2:6" x14ac:dyDescent="0.25">
      <c r="B48" s="320" t="s">
        <v>37</v>
      </c>
      <c r="C48" s="338" t="s">
        <v>36</v>
      </c>
      <c r="D48" s="322"/>
      <c r="E48" s="322"/>
      <c r="F48" s="322"/>
    </row>
    <row r="49" spans="2:6" x14ac:dyDescent="0.25">
      <c r="B49" s="320" t="s">
        <v>35</v>
      </c>
      <c r="C49" s="338" t="s">
        <v>34</v>
      </c>
      <c r="D49" s="322"/>
      <c r="E49" s="322"/>
      <c r="F49" s="322"/>
    </row>
    <row r="50" spans="2:6" x14ac:dyDescent="0.25">
      <c r="B50" s="320" t="s">
        <v>33</v>
      </c>
      <c r="C50" s="337" t="s">
        <v>32</v>
      </c>
      <c r="D50" s="322"/>
      <c r="E50" s="322"/>
      <c r="F50" s="323">
        <f>SUM(F44:F49)</f>
        <v>0</v>
      </c>
    </row>
    <row r="51" spans="2:6" x14ac:dyDescent="0.25">
      <c r="B51" s="317" t="s">
        <v>31</v>
      </c>
      <c r="C51" s="324" t="s">
        <v>30</v>
      </c>
      <c r="D51" s="322">
        <f>F50</f>
        <v>0</v>
      </c>
      <c r="E51" s="14">
        <f>'1.1 SALÁRIOS'!$F$33</f>
        <v>0</v>
      </c>
      <c r="F51" s="323">
        <f>E51*D51</f>
        <v>0</v>
      </c>
    </row>
    <row r="52" spans="2:6" x14ac:dyDescent="0.25">
      <c r="B52" s="317" t="s">
        <v>29</v>
      </c>
      <c r="C52" s="324" t="s">
        <v>28</v>
      </c>
      <c r="D52" s="322"/>
      <c r="E52" s="322"/>
      <c r="F52" s="323">
        <f>SUM(F50:F51)</f>
        <v>0</v>
      </c>
    </row>
    <row r="53" spans="2:6" x14ac:dyDescent="0.25">
      <c r="B53" s="317" t="s">
        <v>27</v>
      </c>
      <c r="C53" s="324" t="s">
        <v>26</v>
      </c>
      <c r="D53" s="322"/>
      <c r="E53" s="322"/>
      <c r="F53" s="322"/>
    </row>
    <row r="54" spans="2:6" x14ac:dyDescent="0.25">
      <c r="B54" s="9" t="s">
        <v>25</v>
      </c>
      <c r="C54" s="15" t="s">
        <v>24</v>
      </c>
      <c r="D54" s="11">
        <f>'1.1 SALÁRIOS'!$F$35</f>
        <v>0</v>
      </c>
      <c r="E54" s="11">
        <v>25.25</v>
      </c>
      <c r="F54" s="11">
        <f>IF(2*E54*D54-0.06*D44&lt;0,0,2*E54*D54-0.06*D44)</f>
        <v>0</v>
      </c>
    </row>
    <row r="55" spans="2:6" x14ac:dyDescent="0.25">
      <c r="B55" s="9" t="s">
        <v>23</v>
      </c>
      <c r="C55" s="15" t="s">
        <v>369</v>
      </c>
      <c r="D55" s="11">
        <f>('1.1 SALÁRIOS'!$F$36+'1.1 SALÁRIOS'!$F$37)/12</f>
        <v>0</v>
      </c>
      <c r="E55" s="11">
        <v>1</v>
      </c>
      <c r="F55" s="11">
        <f>E55*D55</f>
        <v>0</v>
      </c>
    </row>
    <row r="56" spans="2:6" x14ac:dyDescent="0.25">
      <c r="B56" s="9" t="s">
        <v>22</v>
      </c>
      <c r="C56" s="15" t="s">
        <v>370</v>
      </c>
      <c r="D56" s="11">
        <f>'1.1 SALÁRIOS'!$F$38</f>
        <v>0</v>
      </c>
      <c r="E56" s="11">
        <f>E54</f>
        <v>25.25</v>
      </c>
      <c r="F56" s="11">
        <f>E56*D56</f>
        <v>0</v>
      </c>
    </row>
    <row r="57" spans="2:6" x14ac:dyDescent="0.25">
      <c r="B57" s="9" t="s">
        <v>21</v>
      </c>
      <c r="C57" s="15" t="s">
        <v>371</v>
      </c>
      <c r="D57" s="11">
        <f>'1.1 SALÁRIOS'!$F$39</f>
        <v>0</v>
      </c>
      <c r="E57" s="11">
        <v>1</v>
      </c>
      <c r="F57" s="11">
        <f>E57*D57</f>
        <v>0</v>
      </c>
    </row>
    <row r="58" spans="2:6" x14ac:dyDescent="0.25">
      <c r="B58" s="9" t="s">
        <v>374</v>
      </c>
      <c r="C58" s="15" t="s">
        <v>372</v>
      </c>
      <c r="D58" s="11">
        <f>'1.1 SALÁRIOS'!$F$40</f>
        <v>0</v>
      </c>
      <c r="E58" s="11">
        <v>1</v>
      </c>
      <c r="F58" s="11">
        <f>E58*D58</f>
        <v>0</v>
      </c>
    </row>
    <row r="59" spans="2:6" x14ac:dyDescent="0.25">
      <c r="B59" s="9" t="s">
        <v>375</v>
      </c>
      <c r="C59" s="15" t="s">
        <v>373</v>
      </c>
      <c r="D59" s="11">
        <f>'1.1 SALÁRIOS'!$F$41</f>
        <v>0</v>
      </c>
      <c r="E59" s="11">
        <v>1</v>
      </c>
      <c r="F59" s="11">
        <f>E59*D59</f>
        <v>0</v>
      </c>
    </row>
    <row r="60" spans="2:6" x14ac:dyDescent="0.25">
      <c r="B60" s="320" t="s">
        <v>57</v>
      </c>
      <c r="C60" s="324" t="s">
        <v>20</v>
      </c>
      <c r="D60" s="323"/>
      <c r="E60" s="323"/>
      <c r="F60" s="323">
        <f>SUM(F54:F59)</f>
        <v>0</v>
      </c>
    </row>
    <row r="61" spans="2:6" x14ac:dyDescent="0.25">
      <c r="B61" s="317" t="s">
        <v>19</v>
      </c>
      <c r="C61" s="324" t="s">
        <v>18</v>
      </c>
      <c r="D61" s="322"/>
      <c r="E61" s="322"/>
      <c r="F61" s="322"/>
    </row>
    <row r="62" spans="2:6" x14ac:dyDescent="0.25">
      <c r="B62" s="320" t="s">
        <v>17</v>
      </c>
      <c r="C62" s="340" t="s">
        <v>16</v>
      </c>
      <c r="D62" s="11" t="e">
        <f>VLOOKUP(C62,'1.1 CUSTO FERRAME-UNIFORME-EPI'!B:C,2,FALSE)</f>
        <v>#DIV/0!</v>
      </c>
      <c r="E62" s="328">
        <v>0.17</v>
      </c>
      <c r="F62" s="322" t="e">
        <f t="shared" ref="F62:F69" si="1">E62*D62</f>
        <v>#DIV/0!</v>
      </c>
    </row>
    <row r="63" spans="2:6" x14ac:dyDescent="0.25">
      <c r="B63" s="320" t="s">
        <v>15</v>
      </c>
      <c r="C63" s="340" t="s">
        <v>14</v>
      </c>
      <c r="D63" s="11" t="e">
        <f>VLOOKUP(C63,'1.1 CUSTO FERRAME-UNIFORME-EPI'!B:C,2,FALSE)</f>
        <v>#DIV/0!</v>
      </c>
      <c r="E63" s="328">
        <v>0.33</v>
      </c>
      <c r="F63" s="322" t="e">
        <f t="shared" si="1"/>
        <v>#DIV/0!</v>
      </c>
    </row>
    <row r="64" spans="2:6" x14ac:dyDescent="0.25">
      <c r="B64" s="320" t="s">
        <v>13</v>
      </c>
      <c r="C64" s="340" t="s">
        <v>12</v>
      </c>
      <c r="D64" s="11" t="e">
        <f>VLOOKUP(C64,'1.1 CUSTO FERRAME-UNIFORME-EPI'!B:C,2,FALSE)</f>
        <v>#DIV/0!</v>
      </c>
      <c r="E64" s="328">
        <v>0.33</v>
      </c>
      <c r="F64" s="322" t="e">
        <f t="shared" si="1"/>
        <v>#DIV/0!</v>
      </c>
    </row>
    <row r="65" spans="2:6" x14ac:dyDescent="0.25">
      <c r="B65" s="320" t="s">
        <v>11</v>
      </c>
      <c r="C65" s="340" t="s">
        <v>10</v>
      </c>
      <c r="D65" s="11">
        <f>VLOOKUP(C65,'1.1 CUSTO FERRAME-UNIFORME-EPI'!B:C,2,FALSE)</f>
        <v>0</v>
      </c>
      <c r="E65" s="328">
        <v>0.17</v>
      </c>
      <c r="F65" s="322">
        <f t="shared" si="1"/>
        <v>0</v>
      </c>
    </row>
    <row r="66" spans="2:6" x14ac:dyDescent="0.25">
      <c r="B66" s="320" t="s">
        <v>9</v>
      </c>
      <c r="C66" s="340" t="s">
        <v>8</v>
      </c>
      <c r="D66" s="11">
        <f>VLOOKUP(C66,'1.1 CUSTO FERRAME-UNIFORME-EPI'!B:C,2,FALSE)</f>
        <v>0</v>
      </c>
      <c r="E66" s="328">
        <v>0.17</v>
      </c>
      <c r="F66" s="322">
        <f t="shared" si="1"/>
        <v>0</v>
      </c>
    </row>
    <row r="67" spans="2:6" x14ac:dyDescent="0.25">
      <c r="B67" s="320" t="s">
        <v>7</v>
      </c>
      <c r="C67" s="340" t="s">
        <v>6</v>
      </c>
      <c r="D67" s="11">
        <f>VLOOKUP(C67,'1.1 CUSTO FERRAME-UNIFORME-EPI'!B:C,2,FALSE)</f>
        <v>0</v>
      </c>
      <c r="E67" s="328">
        <v>0.3</v>
      </c>
      <c r="F67" s="322">
        <f t="shared" si="1"/>
        <v>0</v>
      </c>
    </row>
    <row r="68" spans="2:6" x14ac:dyDescent="0.25">
      <c r="B68" s="320" t="s">
        <v>5</v>
      </c>
      <c r="C68" s="340" t="s">
        <v>4</v>
      </c>
      <c r="D68" s="11" t="e">
        <f>VLOOKUP(C68,'1.1 CUSTO FERRAME-UNIFORME-EPI'!B:C,2,FALSE)</f>
        <v>#DIV/0!</v>
      </c>
      <c r="E68" s="328">
        <v>0</v>
      </c>
      <c r="F68" s="322" t="e">
        <f t="shared" si="1"/>
        <v>#DIV/0!</v>
      </c>
    </row>
    <row r="69" spans="2:6" x14ac:dyDescent="0.25">
      <c r="B69" s="320" t="s">
        <v>3</v>
      </c>
      <c r="C69" s="326" t="s">
        <v>202</v>
      </c>
      <c r="D69" s="11" t="e">
        <f>VLOOKUP(C69,'1.1 CUSTO FERRAME-UNIFORME-EPI'!B:C,2,FALSE)</f>
        <v>#DIV/0!</v>
      </c>
      <c r="E69" s="329">
        <v>0.08</v>
      </c>
      <c r="F69" s="322" t="e">
        <f t="shared" si="1"/>
        <v>#DIV/0!</v>
      </c>
    </row>
    <row r="70" spans="2:6" x14ac:dyDescent="0.25">
      <c r="B70" s="320"/>
      <c r="C70" s="341" t="s">
        <v>2</v>
      </c>
      <c r="D70" s="330"/>
      <c r="E70" s="330"/>
      <c r="F70" s="331" t="e">
        <f>SUM(F62:F69)</f>
        <v>#DIV/0!</v>
      </c>
    </row>
    <row r="71" spans="2:6" x14ac:dyDescent="0.25">
      <c r="B71" s="342"/>
      <c r="C71" s="343"/>
      <c r="D71" s="344"/>
      <c r="E71" s="344"/>
      <c r="F71" s="345"/>
    </row>
    <row r="72" spans="2:6" x14ac:dyDescent="0.25">
      <c r="B72" s="333" t="s">
        <v>1</v>
      </c>
      <c r="C72" s="346" t="s">
        <v>0</v>
      </c>
      <c r="D72" s="335"/>
      <c r="E72" s="335"/>
      <c r="F72" s="336" t="e">
        <f>SUM(F70,F60,F52)</f>
        <v>#DIV/0!</v>
      </c>
    </row>
    <row r="75" spans="2:6" x14ac:dyDescent="0.25">
      <c r="B75" s="313" t="s">
        <v>54</v>
      </c>
      <c r="C75" s="313" t="s">
        <v>53</v>
      </c>
      <c r="D75" s="708" t="s">
        <v>403</v>
      </c>
      <c r="E75" s="708"/>
      <c r="F75" s="708"/>
    </row>
    <row r="76" spans="2:6" x14ac:dyDescent="0.25">
      <c r="B76" s="315"/>
      <c r="C76" s="315"/>
      <c r="D76" s="713"/>
      <c r="E76" s="713"/>
      <c r="F76" s="713"/>
    </row>
    <row r="77" spans="2:6" x14ac:dyDescent="0.25">
      <c r="B77" s="317" t="s">
        <v>52</v>
      </c>
      <c r="C77" s="337" t="s">
        <v>51</v>
      </c>
      <c r="D77" s="319" t="s">
        <v>50</v>
      </c>
      <c r="E77" s="319" t="s">
        <v>49</v>
      </c>
      <c r="F77" s="319" t="s">
        <v>48</v>
      </c>
    </row>
    <row r="78" spans="2:6" x14ac:dyDescent="0.25">
      <c r="B78" s="317" t="s">
        <v>47</v>
      </c>
      <c r="C78" s="337" t="s">
        <v>46</v>
      </c>
      <c r="D78" s="319"/>
      <c r="E78" s="319"/>
      <c r="F78" s="319"/>
    </row>
    <row r="79" spans="2:6" x14ac:dyDescent="0.25">
      <c r="B79" s="320" t="s">
        <v>45</v>
      </c>
      <c r="C79" s="338" t="s">
        <v>44</v>
      </c>
      <c r="D79" s="339">
        <f>'1.1 SALÁRIOS'!F7</f>
        <v>0</v>
      </c>
      <c r="E79" s="322">
        <v>1</v>
      </c>
      <c r="F79" s="322">
        <f>E79*D79</f>
        <v>0</v>
      </c>
    </row>
    <row r="80" spans="2:6" x14ac:dyDescent="0.25">
      <c r="B80" s="320" t="s">
        <v>43</v>
      </c>
      <c r="C80" s="338" t="s">
        <v>42</v>
      </c>
      <c r="D80" s="11">
        <f>'1.1 SALÁRIOS'!$F$23</f>
        <v>0</v>
      </c>
      <c r="E80" s="34">
        <v>0.2</v>
      </c>
      <c r="F80" s="11">
        <f>E80*D80</f>
        <v>0</v>
      </c>
    </row>
    <row r="81" spans="2:6" x14ac:dyDescent="0.25">
      <c r="B81" s="320" t="s">
        <v>41</v>
      </c>
      <c r="C81" s="338" t="s">
        <v>56</v>
      </c>
      <c r="D81" s="322"/>
      <c r="E81" s="322"/>
      <c r="F81" s="322"/>
    </row>
    <row r="82" spans="2:6" x14ac:dyDescent="0.25">
      <c r="B82" s="320" t="s">
        <v>39</v>
      </c>
      <c r="C82" s="338" t="s">
        <v>38</v>
      </c>
      <c r="D82" s="322"/>
      <c r="E82" s="322"/>
      <c r="F82" s="322"/>
    </row>
    <row r="83" spans="2:6" x14ac:dyDescent="0.25">
      <c r="B83" s="320" t="s">
        <v>37</v>
      </c>
      <c r="C83" s="338" t="s">
        <v>36</v>
      </c>
      <c r="D83" s="322"/>
      <c r="E83" s="322"/>
      <c r="F83" s="322"/>
    </row>
    <row r="84" spans="2:6" x14ac:dyDescent="0.25">
      <c r="B84" s="320" t="s">
        <v>35</v>
      </c>
      <c r="C84" s="338" t="s">
        <v>34</v>
      </c>
      <c r="D84" s="322"/>
      <c r="E84" s="322"/>
      <c r="F84" s="322"/>
    </row>
    <row r="85" spans="2:6" x14ac:dyDescent="0.25">
      <c r="B85" s="320"/>
      <c r="C85" s="337" t="s">
        <v>32</v>
      </c>
      <c r="D85" s="322"/>
      <c r="E85" s="322"/>
      <c r="F85" s="323">
        <f>SUM(F79:F84)</f>
        <v>0</v>
      </c>
    </row>
    <row r="86" spans="2:6" x14ac:dyDescent="0.25">
      <c r="B86" s="317" t="s">
        <v>31</v>
      </c>
      <c r="C86" s="347" t="s">
        <v>30</v>
      </c>
      <c r="D86" s="348">
        <f>F85</f>
        <v>0</v>
      </c>
      <c r="E86" s="14">
        <f>'1.1 SALÁRIOS'!$F$33</f>
        <v>0</v>
      </c>
      <c r="F86" s="322">
        <f>E86*D86</f>
        <v>0</v>
      </c>
    </row>
    <row r="87" spans="2:6" x14ac:dyDescent="0.25">
      <c r="B87" s="317" t="s">
        <v>29</v>
      </c>
      <c r="C87" s="324" t="s">
        <v>28</v>
      </c>
      <c r="D87" s="322"/>
      <c r="E87" s="322"/>
      <c r="F87" s="323">
        <f>SUM(F85:F86)</f>
        <v>0</v>
      </c>
    </row>
    <row r="88" spans="2:6" x14ac:dyDescent="0.25">
      <c r="B88" s="317" t="s">
        <v>27</v>
      </c>
      <c r="C88" s="324" t="s">
        <v>26</v>
      </c>
      <c r="D88" s="322"/>
      <c r="E88" s="322"/>
      <c r="F88" s="322"/>
    </row>
    <row r="89" spans="2:6" x14ac:dyDescent="0.25">
      <c r="B89" s="9" t="s">
        <v>25</v>
      </c>
      <c r="C89" s="15" t="s">
        <v>24</v>
      </c>
      <c r="D89" s="11">
        <f>'1.1 SALÁRIOS'!$F$35</f>
        <v>0</v>
      </c>
      <c r="E89" s="11">
        <v>25.25</v>
      </c>
      <c r="F89" s="11">
        <f>IF(2*E89*D89-0.06*D79&lt;0,0,2*E89*D89-0.06*D79)</f>
        <v>0</v>
      </c>
    </row>
    <row r="90" spans="2:6" x14ac:dyDescent="0.25">
      <c r="B90" s="9" t="s">
        <v>23</v>
      </c>
      <c r="C90" s="15" t="s">
        <v>369</v>
      </c>
      <c r="D90" s="11">
        <f>('1.1 SALÁRIOS'!$F$36+'1.1 SALÁRIOS'!$F$37)/12</f>
        <v>0</v>
      </c>
      <c r="E90" s="11">
        <v>1</v>
      </c>
      <c r="F90" s="11">
        <f>E90*D90</f>
        <v>0</v>
      </c>
    </row>
    <row r="91" spans="2:6" x14ac:dyDescent="0.25">
      <c r="B91" s="9" t="s">
        <v>22</v>
      </c>
      <c r="C91" s="15" t="s">
        <v>370</v>
      </c>
      <c r="D91" s="11">
        <f>'1.1 SALÁRIOS'!$F$38</f>
        <v>0</v>
      </c>
      <c r="E91" s="11">
        <f>E89</f>
        <v>25.25</v>
      </c>
      <c r="F91" s="11">
        <f>E91*D91</f>
        <v>0</v>
      </c>
    </row>
    <row r="92" spans="2:6" x14ac:dyDescent="0.25">
      <c r="B92" s="9" t="s">
        <v>21</v>
      </c>
      <c r="C92" s="15" t="s">
        <v>371</v>
      </c>
      <c r="D92" s="11">
        <f>'1.1 SALÁRIOS'!$F$39</f>
        <v>0</v>
      </c>
      <c r="E92" s="11">
        <v>1</v>
      </c>
      <c r="F92" s="11">
        <f>E92*D92</f>
        <v>0</v>
      </c>
    </row>
    <row r="93" spans="2:6" x14ac:dyDescent="0.25">
      <c r="B93" s="9" t="s">
        <v>374</v>
      </c>
      <c r="C93" s="15" t="s">
        <v>372</v>
      </c>
      <c r="D93" s="11">
        <f>'1.1 SALÁRIOS'!$F$40</f>
        <v>0</v>
      </c>
      <c r="E93" s="11">
        <v>1</v>
      </c>
      <c r="F93" s="11">
        <f>E93*D93</f>
        <v>0</v>
      </c>
    </row>
    <row r="94" spans="2:6" x14ac:dyDescent="0.25">
      <c r="B94" s="9" t="s">
        <v>375</v>
      </c>
      <c r="C94" s="15" t="s">
        <v>373</v>
      </c>
      <c r="D94" s="11">
        <f>'1.1 SALÁRIOS'!$F$41</f>
        <v>0</v>
      </c>
      <c r="E94" s="11">
        <v>1</v>
      </c>
      <c r="F94" s="11">
        <f>E94*D94</f>
        <v>0</v>
      </c>
    </row>
    <row r="95" spans="2:6" x14ac:dyDescent="0.25">
      <c r="B95" s="320"/>
      <c r="C95" s="324" t="s">
        <v>20</v>
      </c>
      <c r="D95" s="323"/>
      <c r="E95" s="323"/>
      <c r="F95" s="323">
        <f>SUM(F89:F94)</f>
        <v>0</v>
      </c>
    </row>
    <row r="96" spans="2:6" x14ac:dyDescent="0.25">
      <c r="B96" s="317" t="s">
        <v>19</v>
      </c>
      <c r="C96" s="324" t="s">
        <v>18</v>
      </c>
      <c r="D96" s="322"/>
      <c r="E96" s="322"/>
      <c r="F96" s="322"/>
    </row>
    <row r="97" spans="2:6" x14ac:dyDescent="0.25">
      <c r="B97" s="320" t="s">
        <v>17</v>
      </c>
      <c r="C97" s="340" t="s">
        <v>16</v>
      </c>
      <c r="D97" s="11" t="e">
        <f>VLOOKUP(C97,'1.1 CUSTO FERRAME-UNIFORME-EPI'!B:C,2,FALSE)</f>
        <v>#DIV/0!</v>
      </c>
      <c r="E97" s="328">
        <v>0.25</v>
      </c>
      <c r="F97" s="322" t="e">
        <f t="shared" ref="F97:F106" si="2">E97*D97</f>
        <v>#DIV/0!</v>
      </c>
    </row>
    <row r="98" spans="2:6" x14ac:dyDescent="0.25">
      <c r="B98" s="320" t="s">
        <v>15</v>
      </c>
      <c r="C98" s="340" t="s">
        <v>210</v>
      </c>
      <c r="D98" s="11">
        <f>VLOOKUP(C98,'1.1 CUSTO FERRAME-UNIFORME-EPI'!B:C,2,FALSE)</f>
        <v>0</v>
      </c>
      <c r="E98" s="328">
        <v>0.5</v>
      </c>
      <c r="F98" s="322">
        <f t="shared" si="2"/>
        <v>0</v>
      </c>
    </row>
    <row r="99" spans="2:6" x14ac:dyDescent="0.25">
      <c r="B99" s="320" t="s">
        <v>13</v>
      </c>
      <c r="C99" s="340" t="s">
        <v>209</v>
      </c>
      <c r="D99" s="11">
        <f>VLOOKUP(C99,'1.1 CUSTO FERRAME-UNIFORME-EPI'!B:C,2,FALSE)</f>
        <v>0</v>
      </c>
      <c r="E99" s="328">
        <v>0.5</v>
      </c>
      <c r="F99" s="322">
        <f t="shared" si="2"/>
        <v>0</v>
      </c>
    </row>
    <row r="100" spans="2:6" x14ac:dyDescent="0.25">
      <c r="B100" s="320" t="s">
        <v>11</v>
      </c>
      <c r="C100" s="340" t="s">
        <v>205</v>
      </c>
      <c r="D100" s="11">
        <f>VLOOKUP(C100,'1.1 CUSTO FERRAME-UNIFORME-EPI'!B:C,2,FALSE)</f>
        <v>0</v>
      </c>
      <c r="E100" s="328">
        <v>0.25</v>
      </c>
      <c r="F100" s="322">
        <f t="shared" si="2"/>
        <v>0</v>
      </c>
    </row>
    <row r="101" spans="2:6" x14ac:dyDescent="0.25">
      <c r="B101" s="320" t="s">
        <v>9</v>
      </c>
      <c r="C101" s="340" t="s">
        <v>58</v>
      </c>
      <c r="D101" s="11" t="e">
        <f>VLOOKUP(C101,'1.1 CUSTO FERRAME-UNIFORME-EPI'!B:C,2,FALSE)</f>
        <v>#DIV/0!</v>
      </c>
      <c r="E101" s="328">
        <v>0.25</v>
      </c>
      <c r="F101" s="322" t="e">
        <f t="shared" si="2"/>
        <v>#DIV/0!</v>
      </c>
    </row>
    <row r="102" spans="2:6" x14ac:dyDescent="0.25">
      <c r="B102" s="320" t="s">
        <v>7</v>
      </c>
      <c r="C102" s="340" t="s">
        <v>8</v>
      </c>
      <c r="D102" s="11">
        <f>VLOOKUP(C102,'1.1 CUSTO FERRAME-UNIFORME-EPI'!B:C,2,FALSE)</f>
        <v>0</v>
      </c>
      <c r="E102" s="328">
        <v>0.17</v>
      </c>
      <c r="F102" s="322">
        <f t="shared" si="2"/>
        <v>0</v>
      </c>
    </row>
    <row r="103" spans="2:6" x14ac:dyDescent="0.25">
      <c r="B103" s="320" t="s">
        <v>5</v>
      </c>
      <c r="C103" s="340" t="s">
        <v>204</v>
      </c>
      <c r="D103" s="11">
        <f>VLOOKUP(C103,'1.1 CUSTO FERRAME-UNIFORME-EPI'!B:C,2,FALSE)</f>
        <v>0</v>
      </c>
      <c r="E103" s="328">
        <v>0.5</v>
      </c>
      <c r="F103" s="322">
        <f t="shared" si="2"/>
        <v>0</v>
      </c>
    </row>
    <row r="104" spans="2:6" x14ac:dyDescent="0.25">
      <c r="B104" s="320" t="s">
        <v>3</v>
      </c>
      <c r="C104" s="340" t="s">
        <v>203</v>
      </c>
      <c r="D104" s="11">
        <f>VLOOKUP(C104,'1.1 CUSTO FERRAME-UNIFORME-EPI'!B:C,2,FALSE)</f>
        <v>0</v>
      </c>
      <c r="E104" s="328">
        <v>2.17</v>
      </c>
      <c r="F104" s="322">
        <f t="shared" si="2"/>
        <v>0</v>
      </c>
    </row>
    <row r="105" spans="2:6" x14ac:dyDescent="0.25">
      <c r="B105" s="320" t="s">
        <v>60</v>
      </c>
      <c r="C105" s="340" t="s">
        <v>6</v>
      </c>
      <c r="D105" s="11">
        <f>VLOOKUP(C105,'1.1 CUSTO FERRAME-UNIFORME-EPI'!B:C,2,FALSE)</f>
        <v>0</v>
      </c>
      <c r="E105" s="328">
        <v>0.3</v>
      </c>
      <c r="F105" s="322">
        <f t="shared" si="2"/>
        <v>0</v>
      </c>
    </row>
    <row r="106" spans="2:6" x14ac:dyDescent="0.25">
      <c r="B106" s="320" t="s">
        <v>400</v>
      </c>
      <c r="C106" s="326" t="s">
        <v>202</v>
      </c>
      <c r="D106" s="11" t="e">
        <f>VLOOKUP(C106,'1.1 CUSTO FERRAME-UNIFORME-EPI'!B:C,2,FALSE)</f>
        <v>#DIV/0!</v>
      </c>
      <c r="E106" s="329">
        <v>0.08</v>
      </c>
      <c r="F106" s="322" t="e">
        <f t="shared" si="2"/>
        <v>#DIV/0!</v>
      </c>
    </row>
    <row r="107" spans="2:6" x14ac:dyDescent="0.25">
      <c r="B107" s="320"/>
      <c r="C107" s="341" t="s">
        <v>2</v>
      </c>
      <c r="D107" s="330"/>
      <c r="E107" s="330"/>
      <c r="F107" s="331" t="e">
        <f>SUM(F97:F106)</f>
        <v>#DIV/0!</v>
      </c>
    </row>
    <row r="108" spans="2:6" x14ac:dyDescent="0.25">
      <c r="B108" s="342"/>
      <c r="C108" s="343"/>
      <c r="D108" s="344"/>
      <c r="E108" s="344"/>
      <c r="F108" s="345"/>
    </row>
    <row r="109" spans="2:6" x14ac:dyDescent="0.25">
      <c r="B109" s="333" t="s">
        <v>1</v>
      </c>
      <c r="C109" s="346" t="s">
        <v>0</v>
      </c>
      <c r="D109" s="335"/>
      <c r="E109" s="335"/>
      <c r="F109" s="336" t="e">
        <f>F107+F95+F87</f>
        <v>#DIV/0!</v>
      </c>
    </row>
    <row r="112" spans="2:6" x14ac:dyDescent="0.25">
      <c r="B112" s="313" t="s">
        <v>54</v>
      </c>
      <c r="C112" s="313" t="s">
        <v>53</v>
      </c>
      <c r="D112" s="708" t="s">
        <v>67</v>
      </c>
      <c r="E112" s="708"/>
      <c r="F112" s="708"/>
    </row>
    <row r="113" spans="2:6" x14ac:dyDescent="0.25">
      <c r="B113" s="320"/>
      <c r="C113" s="340"/>
      <c r="D113" s="322"/>
      <c r="E113" s="328"/>
      <c r="F113" s="322"/>
    </row>
    <row r="114" spans="2:6" x14ac:dyDescent="0.25">
      <c r="B114" s="317" t="s">
        <v>52</v>
      </c>
      <c r="C114" s="324" t="s">
        <v>51</v>
      </c>
      <c r="D114" s="323"/>
      <c r="E114" s="349"/>
      <c r="F114" s="323"/>
    </row>
    <row r="115" spans="2:6" x14ac:dyDescent="0.25">
      <c r="B115" s="317" t="s">
        <v>47</v>
      </c>
      <c r="C115" s="324" t="s">
        <v>46</v>
      </c>
      <c r="D115" s="323"/>
      <c r="E115" s="349"/>
      <c r="F115" s="323"/>
    </row>
    <row r="116" spans="2:6" x14ac:dyDescent="0.25">
      <c r="B116" s="320" t="s">
        <v>45</v>
      </c>
      <c r="C116" s="340" t="s">
        <v>44</v>
      </c>
      <c r="D116" s="322">
        <f>'1.1 SALÁRIOS'!$F$28</f>
        <v>0</v>
      </c>
      <c r="E116" s="328">
        <v>1</v>
      </c>
      <c r="F116" s="322">
        <f>E116*D116</f>
        <v>0</v>
      </c>
    </row>
    <row r="117" spans="2:6" x14ac:dyDescent="0.25">
      <c r="B117" s="320" t="s">
        <v>43</v>
      </c>
      <c r="C117" s="340" t="s">
        <v>42</v>
      </c>
      <c r="D117" s="11">
        <f>'1.1 SALÁRIOS'!$F$23</f>
        <v>0</v>
      </c>
      <c r="E117" s="34">
        <v>0.2</v>
      </c>
      <c r="F117" s="11">
        <f>E117*D117</f>
        <v>0</v>
      </c>
    </row>
    <row r="118" spans="2:6" x14ac:dyDescent="0.25">
      <c r="B118" s="320" t="s">
        <v>41</v>
      </c>
      <c r="C118" s="340" t="s">
        <v>40</v>
      </c>
      <c r="D118" s="322"/>
      <c r="E118" s="328"/>
      <c r="F118" s="322"/>
    </row>
    <row r="119" spans="2:6" x14ac:dyDescent="0.25">
      <c r="B119" s="320" t="s">
        <v>39</v>
      </c>
      <c r="C119" s="340" t="s">
        <v>38</v>
      </c>
      <c r="D119" s="322"/>
      <c r="E119" s="328"/>
      <c r="F119" s="322"/>
    </row>
    <row r="120" spans="2:6" x14ac:dyDescent="0.25">
      <c r="B120" s="320" t="s">
        <v>37</v>
      </c>
      <c r="C120" s="340" t="s">
        <v>36</v>
      </c>
      <c r="D120" s="322"/>
      <c r="E120" s="328"/>
      <c r="F120" s="322"/>
    </row>
    <row r="121" spans="2:6" x14ac:dyDescent="0.25">
      <c r="B121" s="320" t="s">
        <v>35</v>
      </c>
      <c r="C121" s="340" t="s">
        <v>34</v>
      </c>
      <c r="D121" s="322"/>
      <c r="E121" s="328"/>
      <c r="F121" s="322"/>
    </row>
    <row r="122" spans="2:6" x14ac:dyDescent="0.25">
      <c r="B122" s="317"/>
      <c r="C122" s="324" t="s">
        <v>32</v>
      </c>
      <c r="D122" s="323"/>
      <c r="E122" s="349"/>
      <c r="F122" s="323">
        <f>SUM(F116:F121)</f>
        <v>0</v>
      </c>
    </row>
    <row r="123" spans="2:6" x14ac:dyDescent="0.25">
      <c r="B123" s="317" t="s">
        <v>31</v>
      </c>
      <c r="C123" s="324" t="s">
        <v>65</v>
      </c>
      <c r="D123" s="322">
        <f>F122</f>
        <v>0</v>
      </c>
      <c r="E123" s="14">
        <f>'1.1 SALÁRIOS'!$F$33</f>
        <v>0</v>
      </c>
      <c r="F123" s="322">
        <f>E123*D123</f>
        <v>0</v>
      </c>
    </row>
    <row r="124" spans="2:6" x14ac:dyDescent="0.25">
      <c r="B124" s="317" t="s">
        <v>29</v>
      </c>
      <c r="C124" s="324" t="s">
        <v>28</v>
      </c>
      <c r="D124" s="323"/>
      <c r="E124" s="349"/>
      <c r="F124" s="323">
        <f>SUM(F122:F123)</f>
        <v>0</v>
      </c>
    </row>
    <row r="125" spans="2:6" x14ac:dyDescent="0.25">
      <c r="B125" s="317" t="s">
        <v>27</v>
      </c>
      <c r="C125" s="324" t="s">
        <v>26</v>
      </c>
      <c r="D125" s="323"/>
      <c r="E125" s="349"/>
      <c r="F125" s="322"/>
    </row>
    <row r="126" spans="2:6" x14ac:dyDescent="0.25">
      <c r="B126" s="9" t="s">
        <v>25</v>
      </c>
      <c r="C126" s="15" t="s">
        <v>24</v>
      </c>
      <c r="D126" s="11">
        <f>'1.1 SALÁRIOS'!$F$35</f>
        <v>0</v>
      </c>
      <c r="E126" s="11">
        <v>25.25</v>
      </c>
      <c r="F126" s="11">
        <f>IF(2*E126*D126-0.06*D116&lt;0,0,2*E126*D126-0.06*D116)</f>
        <v>0</v>
      </c>
    </row>
    <row r="127" spans="2:6" x14ac:dyDescent="0.25">
      <c r="B127" s="9" t="s">
        <v>23</v>
      </c>
      <c r="C127" s="15" t="s">
        <v>369</v>
      </c>
      <c r="D127" s="11">
        <f>('1.1 SALÁRIOS'!$F$36+'1.1 SALÁRIOS'!$F$37)/12</f>
        <v>0</v>
      </c>
      <c r="E127" s="11">
        <v>1</v>
      </c>
      <c r="F127" s="11">
        <f>E127*D127</f>
        <v>0</v>
      </c>
    </row>
    <row r="128" spans="2:6" x14ac:dyDescent="0.25">
      <c r="B128" s="9" t="s">
        <v>22</v>
      </c>
      <c r="C128" s="15" t="s">
        <v>370</v>
      </c>
      <c r="D128" s="11">
        <f>'1.1 SALÁRIOS'!$F$38</f>
        <v>0</v>
      </c>
      <c r="E128" s="11">
        <f>E126</f>
        <v>25.25</v>
      </c>
      <c r="F128" s="11">
        <f>E128*D128</f>
        <v>0</v>
      </c>
    </row>
    <row r="129" spans="2:10" x14ac:dyDescent="0.25">
      <c r="B129" s="9" t="s">
        <v>21</v>
      </c>
      <c r="C129" s="15" t="s">
        <v>371</v>
      </c>
      <c r="D129" s="11">
        <f>'1.1 SALÁRIOS'!$F$39</f>
        <v>0</v>
      </c>
      <c r="E129" s="11">
        <v>1</v>
      </c>
      <c r="F129" s="11">
        <f>E129*D129</f>
        <v>0</v>
      </c>
    </row>
    <row r="130" spans="2:10" x14ac:dyDescent="0.25">
      <c r="B130" s="9" t="s">
        <v>374</v>
      </c>
      <c r="C130" s="15" t="s">
        <v>372</v>
      </c>
      <c r="D130" s="11">
        <f>'1.1 SALÁRIOS'!$F$40</f>
        <v>0</v>
      </c>
      <c r="E130" s="11">
        <v>1</v>
      </c>
      <c r="F130" s="11">
        <f>E130*D130</f>
        <v>0</v>
      </c>
    </row>
    <row r="131" spans="2:10" x14ac:dyDescent="0.25">
      <c r="B131" s="9" t="s">
        <v>375</v>
      </c>
      <c r="C131" s="15" t="s">
        <v>373</v>
      </c>
      <c r="D131" s="11">
        <f>'1.1 SALÁRIOS'!$F$41</f>
        <v>0</v>
      </c>
      <c r="E131" s="11">
        <v>1</v>
      </c>
      <c r="F131" s="11">
        <f>E131*D131</f>
        <v>0</v>
      </c>
    </row>
    <row r="132" spans="2:10" x14ac:dyDescent="0.25">
      <c r="B132" s="317"/>
      <c r="C132" s="324" t="s">
        <v>20</v>
      </c>
      <c r="D132" s="323"/>
      <c r="E132" s="349"/>
      <c r="F132" s="323">
        <f>SUM(F126:F131)</f>
        <v>0</v>
      </c>
    </row>
    <row r="133" spans="2:10" x14ac:dyDescent="0.25">
      <c r="B133" s="317" t="s">
        <v>19</v>
      </c>
      <c r="C133" s="324" t="s">
        <v>18</v>
      </c>
      <c r="D133" s="323"/>
      <c r="E133" s="349"/>
      <c r="F133" s="322"/>
    </row>
    <row r="134" spans="2:10" x14ac:dyDescent="0.25">
      <c r="B134" s="320" t="s">
        <v>17</v>
      </c>
      <c r="C134" s="340" t="s">
        <v>16</v>
      </c>
      <c r="D134" s="11" t="e">
        <f>VLOOKUP(C134,'1.1 CUSTO FERRAME-UNIFORME-EPI'!B:C,2,FALSE)</f>
        <v>#DIV/0!</v>
      </c>
      <c r="E134" s="328">
        <v>0.17</v>
      </c>
      <c r="F134" s="322" t="e">
        <f t="shared" ref="F134:F140" si="3">E134*D134</f>
        <v>#DIV/0!</v>
      </c>
    </row>
    <row r="135" spans="2:10" x14ac:dyDescent="0.25">
      <c r="B135" s="320" t="s">
        <v>15</v>
      </c>
      <c r="C135" s="340" t="s">
        <v>14</v>
      </c>
      <c r="D135" s="11" t="e">
        <f>VLOOKUP(C135,'1.1 CUSTO FERRAME-UNIFORME-EPI'!B:C,2,FALSE)</f>
        <v>#DIV/0!</v>
      </c>
      <c r="E135" s="328">
        <v>0.33</v>
      </c>
      <c r="F135" s="322" t="e">
        <f t="shared" si="3"/>
        <v>#DIV/0!</v>
      </c>
    </row>
    <row r="136" spans="2:10" x14ac:dyDescent="0.25">
      <c r="B136" s="320" t="s">
        <v>13</v>
      </c>
      <c r="C136" s="340" t="s">
        <v>12</v>
      </c>
      <c r="D136" s="11" t="e">
        <f>VLOOKUP(C136,'1.1 CUSTO FERRAME-UNIFORME-EPI'!B:C,2,FALSE)</f>
        <v>#DIV/0!</v>
      </c>
      <c r="E136" s="328">
        <v>0.33</v>
      </c>
      <c r="F136" s="322" t="e">
        <f t="shared" si="3"/>
        <v>#DIV/0!</v>
      </c>
    </row>
    <row r="137" spans="2:10" x14ac:dyDescent="0.25">
      <c r="B137" s="320" t="s">
        <v>11</v>
      </c>
      <c r="C137" s="340" t="s">
        <v>10</v>
      </c>
      <c r="D137" s="11">
        <f>VLOOKUP(C137,'1.1 CUSTO FERRAME-UNIFORME-EPI'!B:C,2,FALSE)</f>
        <v>0</v>
      </c>
      <c r="E137" s="328">
        <v>0.17</v>
      </c>
      <c r="F137" s="322">
        <f t="shared" si="3"/>
        <v>0</v>
      </c>
      <c r="J137" s="311" t="s">
        <v>208</v>
      </c>
    </row>
    <row r="138" spans="2:10" x14ac:dyDescent="0.25">
      <c r="B138" s="320" t="s">
        <v>9</v>
      </c>
      <c r="C138" s="340" t="s">
        <v>8</v>
      </c>
      <c r="D138" s="11">
        <f>VLOOKUP(C138,'1.1 CUSTO FERRAME-UNIFORME-EPI'!B:C,2,FALSE)</f>
        <v>0</v>
      </c>
      <c r="E138" s="328">
        <v>0.17</v>
      </c>
      <c r="F138" s="322">
        <f t="shared" si="3"/>
        <v>0</v>
      </c>
    </row>
    <row r="139" spans="2:10" x14ac:dyDescent="0.25">
      <c r="B139" s="320" t="s">
        <v>7</v>
      </c>
      <c r="C139" s="340" t="s">
        <v>6</v>
      </c>
      <c r="D139" s="11">
        <f>VLOOKUP(C139,'1.1 CUSTO FERRAME-UNIFORME-EPI'!B:C,2,FALSE)</f>
        <v>0</v>
      </c>
      <c r="E139" s="328">
        <v>0.25</v>
      </c>
      <c r="F139" s="322">
        <f t="shared" si="3"/>
        <v>0</v>
      </c>
    </row>
    <row r="140" spans="2:10" x14ac:dyDescent="0.25">
      <c r="B140" s="320" t="s">
        <v>5</v>
      </c>
      <c r="C140" s="340" t="s">
        <v>208</v>
      </c>
      <c r="D140" s="11">
        <f>VLOOKUP(C140,'1.1 CUSTO FERRAME-UNIFORME-EPI'!B:C,2,FALSE)</f>
        <v>0</v>
      </c>
      <c r="E140" s="328">
        <v>0.17</v>
      </c>
      <c r="F140" s="322">
        <f t="shared" si="3"/>
        <v>0</v>
      </c>
    </row>
    <row r="141" spans="2:10" x14ac:dyDescent="0.25">
      <c r="B141" s="317"/>
      <c r="C141" s="324" t="s">
        <v>2</v>
      </c>
      <c r="D141" s="11"/>
      <c r="E141" s="349"/>
      <c r="F141" s="323" t="e">
        <f>SUM(F134:F140)</f>
        <v>#DIV/0!</v>
      </c>
    </row>
    <row r="142" spans="2:10" x14ac:dyDescent="0.25">
      <c r="B142" s="333" t="s">
        <v>1</v>
      </c>
      <c r="C142" s="346" t="s">
        <v>0</v>
      </c>
      <c r="D142" s="335"/>
      <c r="E142" s="335"/>
      <c r="F142" s="336" t="e">
        <f>F141+F132+F124</f>
        <v>#DIV/0!</v>
      </c>
    </row>
    <row r="145" spans="2:6" x14ac:dyDescent="0.25">
      <c r="B145" s="313" t="s">
        <v>54</v>
      </c>
      <c r="C145" s="313" t="s">
        <v>53</v>
      </c>
      <c r="D145" s="705" t="s">
        <v>636</v>
      </c>
      <c r="E145" s="706"/>
      <c r="F145" s="707"/>
    </row>
    <row r="146" spans="2:6" x14ac:dyDescent="0.25">
      <c r="B146" s="320"/>
      <c r="C146" s="340"/>
      <c r="D146" s="322"/>
      <c r="E146" s="328"/>
      <c r="F146" s="322"/>
    </row>
    <row r="147" spans="2:6" x14ac:dyDescent="0.25">
      <c r="B147" s="317" t="s">
        <v>52</v>
      </c>
      <c r="C147" s="324" t="s">
        <v>51</v>
      </c>
      <c r="D147" s="323"/>
      <c r="E147" s="349"/>
      <c r="F147" s="323"/>
    </row>
    <row r="148" spans="2:6" x14ac:dyDescent="0.25">
      <c r="B148" s="317" t="s">
        <v>47</v>
      </c>
      <c r="C148" s="324" t="s">
        <v>46</v>
      </c>
      <c r="D148" s="323"/>
      <c r="E148" s="349"/>
      <c r="F148" s="323"/>
    </row>
    <row r="149" spans="2:6" x14ac:dyDescent="0.25">
      <c r="B149" s="320" t="s">
        <v>45</v>
      </c>
      <c r="C149" s="340" t="s">
        <v>44</v>
      </c>
      <c r="D149" s="322">
        <f>'1.1 SALÁRIOS'!F14</f>
        <v>0</v>
      </c>
      <c r="E149" s="328">
        <v>1</v>
      </c>
      <c r="F149" s="322">
        <f>E149*D149</f>
        <v>0</v>
      </c>
    </row>
    <row r="150" spans="2:6" x14ac:dyDescent="0.25">
      <c r="B150" s="320" t="s">
        <v>43</v>
      </c>
      <c r="C150" s="340" t="s">
        <v>42</v>
      </c>
      <c r="D150" s="11">
        <f>'1.1 SALÁRIOS'!$F$23</f>
        <v>0</v>
      </c>
      <c r="E150" s="34">
        <v>0.2</v>
      </c>
      <c r="F150" s="11">
        <f>E150*D150</f>
        <v>0</v>
      </c>
    </row>
    <row r="151" spans="2:6" x14ac:dyDescent="0.25">
      <c r="B151" s="320" t="s">
        <v>41</v>
      </c>
      <c r="C151" s="340" t="s">
        <v>40</v>
      </c>
      <c r="D151" s="322"/>
      <c r="E151" s="328"/>
      <c r="F151" s="322"/>
    </row>
    <row r="152" spans="2:6" x14ac:dyDescent="0.25">
      <c r="B152" s="320" t="s">
        <v>39</v>
      </c>
      <c r="C152" s="340" t="s">
        <v>38</v>
      </c>
      <c r="D152" s="322"/>
      <c r="E152" s="328"/>
      <c r="F152" s="322"/>
    </row>
    <row r="153" spans="2:6" x14ac:dyDescent="0.25">
      <c r="B153" s="320" t="s">
        <v>37</v>
      </c>
      <c r="C153" s="340" t="s">
        <v>36</v>
      </c>
      <c r="D153" s="322"/>
      <c r="E153" s="328"/>
      <c r="F153" s="322"/>
    </row>
    <row r="154" spans="2:6" x14ac:dyDescent="0.25">
      <c r="B154" s="320" t="s">
        <v>35</v>
      </c>
      <c r="C154" s="340" t="s">
        <v>34</v>
      </c>
      <c r="D154" s="322"/>
      <c r="E154" s="328"/>
      <c r="F154" s="322"/>
    </row>
    <row r="155" spans="2:6" x14ac:dyDescent="0.25">
      <c r="B155" s="317"/>
      <c r="C155" s="324" t="s">
        <v>32</v>
      </c>
      <c r="D155" s="323"/>
      <c r="E155" s="349"/>
      <c r="F155" s="323">
        <f>SUM(F149:F154)</f>
        <v>0</v>
      </c>
    </row>
    <row r="156" spans="2:6" x14ac:dyDescent="0.25">
      <c r="B156" s="317" t="s">
        <v>31</v>
      </c>
      <c r="C156" s="324" t="s">
        <v>65</v>
      </c>
      <c r="D156" s="322">
        <f>F155</f>
        <v>0</v>
      </c>
      <c r="E156" s="14">
        <f>'1.1 SALÁRIOS'!$F$33</f>
        <v>0</v>
      </c>
      <c r="F156" s="322">
        <f>E156*D156</f>
        <v>0</v>
      </c>
    </row>
    <row r="157" spans="2:6" x14ac:dyDescent="0.25">
      <c r="B157" s="317" t="s">
        <v>29</v>
      </c>
      <c r="C157" s="324" t="s">
        <v>28</v>
      </c>
      <c r="D157" s="323"/>
      <c r="E157" s="349"/>
      <c r="F157" s="323">
        <f>SUM(F155:F156)</f>
        <v>0</v>
      </c>
    </row>
    <row r="158" spans="2:6" x14ac:dyDescent="0.25">
      <c r="B158" s="317" t="s">
        <v>27</v>
      </c>
      <c r="C158" s="324" t="s">
        <v>26</v>
      </c>
      <c r="D158" s="322"/>
      <c r="E158" s="328"/>
      <c r="F158" s="322"/>
    </row>
    <row r="159" spans="2:6" x14ac:dyDescent="0.25">
      <c r="B159" s="9" t="s">
        <v>25</v>
      </c>
      <c r="C159" s="15" t="s">
        <v>24</v>
      </c>
      <c r="D159" s="11">
        <f>'1.1 SALÁRIOS'!$F$35</f>
        <v>0</v>
      </c>
      <c r="E159" s="11">
        <v>25.25</v>
      </c>
      <c r="F159" s="11">
        <f>IF(2*E159*D159-0.06*D149&lt;0,0,2*E159*D159-0.06*D149)</f>
        <v>0</v>
      </c>
    </row>
    <row r="160" spans="2:6" x14ac:dyDescent="0.25">
      <c r="B160" s="9" t="s">
        <v>23</v>
      </c>
      <c r="C160" s="15" t="s">
        <v>369</v>
      </c>
      <c r="D160" s="11">
        <f>('1.1 SALÁRIOS'!$F$36+'1.1 SALÁRIOS'!$F$37)/12</f>
        <v>0</v>
      </c>
      <c r="E160" s="11">
        <v>1</v>
      </c>
      <c r="F160" s="11">
        <f>E160*D160</f>
        <v>0</v>
      </c>
    </row>
    <row r="161" spans="2:6" x14ac:dyDescent="0.25">
      <c r="B161" s="9" t="s">
        <v>22</v>
      </c>
      <c r="C161" s="15" t="s">
        <v>370</v>
      </c>
      <c r="D161" s="11">
        <f>'1.1 SALÁRIOS'!$F$38</f>
        <v>0</v>
      </c>
      <c r="E161" s="11">
        <f>E159</f>
        <v>25.25</v>
      </c>
      <c r="F161" s="11">
        <f>E161*D161</f>
        <v>0</v>
      </c>
    </row>
    <row r="162" spans="2:6" x14ac:dyDescent="0.25">
      <c r="B162" s="9" t="s">
        <v>21</v>
      </c>
      <c r="C162" s="15" t="s">
        <v>371</v>
      </c>
      <c r="D162" s="11">
        <f>'1.1 SALÁRIOS'!$F$39</f>
        <v>0</v>
      </c>
      <c r="E162" s="11">
        <v>1</v>
      </c>
      <c r="F162" s="11">
        <f>E162*D162</f>
        <v>0</v>
      </c>
    </row>
    <row r="163" spans="2:6" x14ac:dyDescent="0.25">
      <c r="B163" s="9" t="s">
        <v>374</v>
      </c>
      <c r="C163" s="15" t="s">
        <v>372</v>
      </c>
      <c r="D163" s="11">
        <f>'1.1 SALÁRIOS'!$F$40</f>
        <v>0</v>
      </c>
      <c r="E163" s="11">
        <v>1</v>
      </c>
      <c r="F163" s="11">
        <f>E163*D163</f>
        <v>0</v>
      </c>
    </row>
    <row r="164" spans="2:6" x14ac:dyDescent="0.25">
      <c r="B164" s="9" t="s">
        <v>375</v>
      </c>
      <c r="C164" s="15" t="s">
        <v>373</v>
      </c>
      <c r="D164" s="11">
        <f>'1.1 SALÁRIOS'!$F$41</f>
        <v>0</v>
      </c>
      <c r="E164" s="11">
        <v>1</v>
      </c>
      <c r="F164" s="11">
        <f>E164*D164</f>
        <v>0</v>
      </c>
    </row>
    <row r="165" spans="2:6" x14ac:dyDescent="0.25">
      <c r="B165" s="317"/>
      <c r="C165" s="324" t="s">
        <v>20</v>
      </c>
      <c r="D165" s="323"/>
      <c r="E165" s="349"/>
      <c r="F165" s="323">
        <f>SUM(F159:F164)</f>
        <v>0</v>
      </c>
    </row>
    <row r="166" spans="2:6" x14ac:dyDescent="0.25">
      <c r="B166" s="317" t="s">
        <v>19</v>
      </c>
      <c r="C166" s="324" t="s">
        <v>18</v>
      </c>
      <c r="D166" s="322"/>
      <c r="E166" s="328"/>
      <c r="F166" s="322"/>
    </row>
    <row r="167" spans="2:6" x14ac:dyDescent="0.25">
      <c r="B167" s="320" t="s">
        <v>17</v>
      </c>
      <c r="C167" s="340" t="s">
        <v>16</v>
      </c>
      <c r="D167" s="11" t="e">
        <f>VLOOKUP(C167,'1.1 CUSTO FERRAME-UNIFORME-EPI'!B:C,2,FALSE)</f>
        <v>#DIV/0!</v>
      </c>
      <c r="E167" s="328">
        <v>0.2</v>
      </c>
      <c r="F167" s="322" t="e">
        <f t="shared" ref="F167:F176" si="4">E167*D167</f>
        <v>#DIV/0!</v>
      </c>
    </row>
    <row r="168" spans="2:6" x14ac:dyDescent="0.25">
      <c r="B168" s="320" t="s">
        <v>15</v>
      </c>
      <c r="C168" s="340" t="s">
        <v>14</v>
      </c>
      <c r="D168" s="11" t="e">
        <f>VLOOKUP(C168,'1.1 CUSTO FERRAME-UNIFORME-EPI'!B:C,2,FALSE)</f>
        <v>#DIV/0!</v>
      </c>
      <c r="E168" s="328">
        <v>0.4</v>
      </c>
      <c r="F168" s="322" t="e">
        <f t="shared" si="4"/>
        <v>#DIV/0!</v>
      </c>
    </row>
    <row r="169" spans="2:6" x14ac:dyDescent="0.25">
      <c r="B169" s="320" t="s">
        <v>13</v>
      </c>
      <c r="C169" s="340" t="s">
        <v>12</v>
      </c>
      <c r="D169" s="11" t="e">
        <f>VLOOKUP(C169,'1.1 CUSTO FERRAME-UNIFORME-EPI'!B:C,2,FALSE)</f>
        <v>#DIV/0!</v>
      </c>
      <c r="E169" s="328">
        <v>0.4</v>
      </c>
      <c r="F169" s="322" t="e">
        <f t="shared" si="4"/>
        <v>#DIV/0!</v>
      </c>
    </row>
    <row r="170" spans="2:6" x14ac:dyDescent="0.25">
      <c r="B170" s="320" t="s">
        <v>11</v>
      </c>
      <c r="C170" s="340" t="s">
        <v>10</v>
      </c>
      <c r="D170" s="11">
        <f>VLOOKUP(C170,'1.1 CUSTO FERRAME-UNIFORME-EPI'!B:C,2,FALSE)</f>
        <v>0</v>
      </c>
      <c r="E170" s="328">
        <v>0.2</v>
      </c>
      <c r="F170" s="322">
        <f t="shared" si="4"/>
        <v>0</v>
      </c>
    </row>
    <row r="171" spans="2:6" x14ac:dyDescent="0.25">
      <c r="B171" s="320" t="s">
        <v>9</v>
      </c>
      <c r="C171" s="340" t="s">
        <v>8</v>
      </c>
      <c r="D171" s="11">
        <f>VLOOKUP(C171,'1.1 CUSTO FERRAME-UNIFORME-EPI'!B:C,2,FALSE)</f>
        <v>0</v>
      </c>
      <c r="E171" s="328">
        <v>0.17</v>
      </c>
      <c r="F171" s="322">
        <f t="shared" si="4"/>
        <v>0</v>
      </c>
    </row>
    <row r="172" spans="2:6" x14ac:dyDescent="0.25">
      <c r="B172" s="320" t="s">
        <v>7</v>
      </c>
      <c r="C172" s="340" t="s">
        <v>208</v>
      </c>
      <c r="D172" s="11">
        <f>VLOOKUP(C172,'1.1 CUSTO FERRAME-UNIFORME-EPI'!B:C,2,FALSE)</f>
        <v>0</v>
      </c>
      <c r="E172" s="328">
        <v>0.25</v>
      </c>
      <c r="F172" s="322">
        <f t="shared" si="4"/>
        <v>0</v>
      </c>
    </row>
    <row r="173" spans="2:6" x14ac:dyDescent="0.25">
      <c r="B173" s="320" t="s">
        <v>5</v>
      </c>
      <c r="C173" s="340" t="str">
        <f>'2.2 MAO DE OBRA'!C66</f>
        <v>Capa de chuva, com capuz</v>
      </c>
      <c r="D173" s="11">
        <f>VLOOKUP(C173,'1.1 CUSTO FERRAME-UNIFORME-EPI'!B:C,2,FALSE)</f>
        <v>0</v>
      </c>
      <c r="E173" s="328">
        <v>0.3</v>
      </c>
      <c r="F173" s="322">
        <f t="shared" si="4"/>
        <v>0</v>
      </c>
    </row>
    <row r="174" spans="2:6" x14ac:dyDescent="0.25">
      <c r="B174" s="320" t="s">
        <v>3</v>
      </c>
      <c r="C174" s="340" t="s">
        <v>6</v>
      </c>
      <c r="D174" s="11">
        <f>VLOOKUP(C174,'1.1 CUSTO FERRAME-UNIFORME-EPI'!B:C,2,FALSE)</f>
        <v>0</v>
      </c>
      <c r="E174" s="328">
        <v>0.17</v>
      </c>
      <c r="F174" s="322">
        <f t="shared" si="4"/>
        <v>0</v>
      </c>
    </row>
    <row r="175" spans="2:6" x14ac:dyDescent="0.25">
      <c r="B175" s="320" t="s">
        <v>59</v>
      </c>
      <c r="C175" s="340" t="s">
        <v>207</v>
      </c>
      <c r="D175" s="11">
        <f>VLOOKUP(C175,'1.1 CUSTO FERRAME-UNIFORME-EPI'!B:C,2,FALSE)</f>
        <v>0</v>
      </c>
      <c r="E175" s="328">
        <v>0.33</v>
      </c>
      <c r="F175" s="322">
        <f t="shared" si="4"/>
        <v>0</v>
      </c>
    </row>
    <row r="176" spans="2:6" x14ac:dyDescent="0.25">
      <c r="B176" s="320" t="s">
        <v>60</v>
      </c>
      <c r="C176" s="340" t="s">
        <v>206</v>
      </c>
      <c r="D176" s="11">
        <f>VLOOKUP(C176,'1.1 CUSTO FERRAME-UNIFORME-EPI'!B:C,2,FALSE)</f>
        <v>0</v>
      </c>
      <c r="E176" s="328">
        <v>0.33</v>
      </c>
      <c r="F176" s="322">
        <f t="shared" si="4"/>
        <v>0</v>
      </c>
    </row>
    <row r="177" spans="2:6" x14ac:dyDescent="0.25">
      <c r="B177" s="317"/>
      <c r="C177" s="324" t="s">
        <v>2</v>
      </c>
      <c r="D177" s="323"/>
      <c r="E177" s="349"/>
      <c r="F177" s="323" t="e">
        <f>SUM(F167:F176)</f>
        <v>#DIV/0!</v>
      </c>
    </row>
    <row r="178" spans="2:6" x14ac:dyDescent="0.25">
      <c r="B178" s="333" t="s">
        <v>1</v>
      </c>
      <c r="C178" s="346" t="s">
        <v>0</v>
      </c>
      <c r="D178" s="335"/>
      <c r="E178" s="335"/>
      <c r="F178" s="336" t="e">
        <f>F177+F165+F157</f>
        <v>#DIV/0!</v>
      </c>
    </row>
  </sheetData>
  <mergeCells count="9">
    <mergeCell ref="D76:F76"/>
    <mergeCell ref="D112:F112"/>
    <mergeCell ref="D145:F145"/>
    <mergeCell ref="B2:F2"/>
    <mergeCell ref="D5:F5"/>
    <mergeCell ref="D6:F6"/>
    <mergeCell ref="D40:F40"/>
    <mergeCell ref="D41:F41"/>
    <mergeCell ref="D75:F75"/>
  </mergeCells>
  <pageMargins left="0.98425196850393704" right="0.59055118110236215" top="1.1811023622047243" bottom="0.59055118110236215" header="0.11811023622047244" footer="0.51181102362204722"/>
  <pageSetup paperSize="9" scale="71" fitToHeight="0" orientation="portrait" r:id="rId1"/>
  <headerFooter>
    <oddHeader>&amp;L&amp;G</oddHeader>
  </headerFooter>
  <rowBreaks count="1" manualBreakCount="1">
    <brk id="38" max="6" man="1"/>
  </rowBreaks>
  <legacyDrawingHF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8" tint="0.39997558519241921"/>
    <pageSetUpPr fitToPage="1"/>
  </sheetPr>
  <dimension ref="A1:G43"/>
  <sheetViews>
    <sheetView showGridLines="0" view="pageLayout" zoomScaleNormal="110" zoomScaleSheetLayoutView="100" workbookViewId="0">
      <selection activeCell="H6" sqref="H6"/>
    </sheetView>
  </sheetViews>
  <sheetFormatPr defaultColWidth="9" defaultRowHeight="13.5" x14ac:dyDescent="0.25"/>
  <cols>
    <col min="1" max="1" width="5.140625" style="181" customWidth="1"/>
    <col min="2" max="2" width="28.85546875" style="181" customWidth="1"/>
    <col min="3" max="6" width="17" style="181" customWidth="1"/>
    <col min="7" max="16384" width="9" style="181"/>
  </cols>
  <sheetData>
    <row r="1" spans="1:6" ht="11.1" customHeight="1" x14ac:dyDescent="0.25"/>
    <row r="2" spans="1:6" ht="15.75" x14ac:dyDescent="0.25">
      <c r="A2" s="642" t="s">
        <v>187</v>
      </c>
      <c r="B2" s="642"/>
      <c r="C2" s="642"/>
      <c r="D2" s="642"/>
      <c r="E2" s="642"/>
      <c r="F2" s="642"/>
    </row>
    <row r="3" spans="1:6" x14ac:dyDescent="0.25">
      <c r="D3" s="221"/>
    </row>
    <row r="4" spans="1:6" ht="12" customHeight="1" x14ac:dyDescent="0.25">
      <c r="B4" s="220"/>
      <c r="C4" s="220"/>
      <c r="D4" s="220"/>
      <c r="E4" s="220"/>
    </row>
    <row r="5" spans="1:6" ht="12.95" customHeight="1" x14ac:dyDescent="0.25">
      <c r="D5" s="219"/>
      <c r="E5" s="219"/>
    </row>
    <row r="6" spans="1:6" s="193" customFormat="1" ht="52.5" customHeight="1" x14ac:dyDescent="0.25">
      <c r="A6" s="643" t="s">
        <v>54</v>
      </c>
      <c r="B6" s="644" t="s">
        <v>53</v>
      </c>
      <c r="C6" s="217" t="str">
        <f>'10.4 DIM PODA'!B12</f>
        <v>Triturador de Resíduos</v>
      </c>
      <c r="D6" s="437" t="s">
        <v>640</v>
      </c>
      <c r="E6" s="236" t="s">
        <v>194</v>
      </c>
      <c r="F6" s="236" t="s">
        <v>193</v>
      </c>
    </row>
    <row r="7" spans="1:6" s="193" customFormat="1" ht="18" customHeight="1" x14ac:dyDescent="0.25">
      <c r="A7" s="643"/>
      <c r="B7" s="644"/>
      <c r="C7" s="217" t="s">
        <v>184</v>
      </c>
      <c r="D7" s="437" t="s">
        <v>184</v>
      </c>
      <c r="E7" s="236" t="s">
        <v>184</v>
      </c>
      <c r="F7" s="236" t="s">
        <v>184</v>
      </c>
    </row>
    <row r="8" spans="1:6" s="193" customFormat="1" ht="14.1" customHeight="1" x14ac:dyDescent="0.25">
      <c r="A8" s="202" t="s">
        <v>183</v>
      </c>
      <c r="B8" s="201" t="s">
        <v>182</v>
      </c>
      <c r="C8" s="200">
        <f>(C9-C11)/C43/12</f>
        <v>0</v>
      </c>
      <c r="D8" s="438">
        <f>(D9-D11)/D43/12</f>
        <v>0</v>
      </c>
      <c r="E8" s="200">
        <f>(E9-E11)/E43/12</f>
        <v>0</v>
      </c>
      <c r="F8" s="200">
        <f>(F9-F11)/F43/12</f>
        <v>0</v>
      </c>
    </row>
    <row r="9" spans="1:6" s="209" customFormat="1" ht="14.1" customHeight="1" x14ac:dyDescent="0.2">
      <c r="A9" s="208" t="s">
        <v>181</v>
      </c>
      <c r="B9" s="187" t="s">
        <v>180</v>
      </c>
      <c r="C9" s="186">
        <f>'1.1 REF EQUIPAMENTOS E DIV'!E29</f>
        <v>0</v>
      </c>
      <c r="D9" s="439">
        <f>'1.1 REF EQUIPAMENTOS E DIV'!E28</f>
        <v>0</v>
      </c>
      <c r="E9" s="227">
        <f>'1.1 REF EQUIPAMENTOS E DIV'!E22</f>
        <v>0</v>
      </c>
      <c r="F9" s="186">
        <f>'1.1 REF EQUIPAMENTOS E DIV'!E9+'1.1 REF EQUIPAMENTOS E DIV'!E4</f>
        <v>0</v>
      </c>
    </row>
    <row r="10" spans="1:6" s="209" customFormat="1" ht="9.9499999999999993" customHeight="1" x14ac:dyDescent="0.2">
      <c r="A10" s="207"/>
      <c r="B10" s="187"/>
      <c r="C10" s="186"/>
      <c r="D10" s="440"/>
      <c r="E10" s="186"/>
      <c r="F10" s="186"/>
    </row>
    <row r="11" spans="1:6" s="209" customFormat="1" ht="14.1" customHeight="1" x14ac:dyDescent="0.2">
      <c r="A11" s="208" t="s">
        <v>179</v>
      </c>
      <c r="B11" s="187" t="s">
        <v>148</v>
      </c>
      <c r="C11" s="186">
        <f>C9*C42</f>
        <v>0</v>
      </c>
      <c r="D11" s="440">
        <f>D9*D42</f>
        <v>0</v>
      </c>
      <c r="E11" s="186">
        <f>E9*E42</f>
        <v>0</v>
      </c>
      <c r="F11" s="186">
        <f>F9*F42</f>
        <v>0</v>
      </c>
    </row>
    <row r="12" spans="1:6" s="209" customFormat="1" ht="9.9499999999999993" customHeight="1" x14ac:dyDescent="0.2">
      <c r="A12" s="213"/>
      <c r="B12" s="204"/>
      <c r="C12" s="203"/>
      <c r="D12" s="441"/>
      <c r="E12" s="234"/>
      <c r="F12" s="203"/>
    </row>
    <row r="13" spans="1:6" s="209" customFormat="1" ht="14.1" customHeight="1" x14ac:dyDescent="0.2">
      <c r="A13" s="212" t="s">
        <v>178</v>
      </c>
      <c r="B13" s="211" t="s">
        <v>177</v>
      </c>
      <c r="C13" s="210">
        <f>C17*C19/12</f>
        <v>0</v>
      </c>
      <c r="D13" s="442">
        <f t="shared" ref="D13" si="0">D17*D19/12</f>
        <v>0</v>
      </c>
      <c r="E13" s="210">
        <f>E17*E19/12</f>
        <v>0</v>
      </c>
      <c r="F13" s="210">
        <f>F17*F19/12</f>
        <v>0</v>
      </c>
    </row>
    <row r="14" spans="1:6" s="209" customFormat="1" ht="9.9499999999999993" customHeight="1" x14ac:dyDescent="0.2">
      <c r="A14" s="232"/>
      <c r="B14" s="187"/>
      <c r="C14" s="186"/>
      <c r="D14" s="439"/>
      <c r="E14" s="227"/>
      <c r="F14" s="186"/>
    </row>
    <row r="15" spans="1:6" s="209" customFormat="1" ht="14.1" customHeight="1" x14ac:dyDescent="0.2">
      <c r="A15" s="188" t="s">
        <v>176</v>
      </c>
      <c r="B15" s="187" t="s">
        <v>175</v>
      </c>
      <c r="C15" s="186">
        <f>C9</f>
        <v>0</v>
      </c>
      <c r="D15" s="440">
        <f t="shared" ref="D15" si="1">D9</f>
        <v>0</v>
      </c>
      <c r="E15" s="186">
        <f>E9</f>
        <v>0</v>
      </c>
      <c r="F15" s="186">
        <f>F9</f>
        <v>0</v>
      </c>
    </row>
    <row r="16" spans="1:6" s="209" customFormat="1" ht="9.9499999999999993" customHeight="1" x14ac:dyDescent="0.2">
      <c r="A16" s="232"/>
      <c r="B16" s="187"/>
      <c r="C16" s="186"/>
      <c r="D16" s="439"/>
      <c r="E16" s="227"/>
      <c r="F16" s="186"/>
    </row>
    <row r="17" spans="1:7" s="209" customFormat="1" ht="14.1" customHeight="1" x14ac:dyDescent="0.2">
      <c r="A17" s="188" t="s">
        <v>174</v>
      </c>
      <c r="B17" s="187" t="s">
        <v>173</v>
      </c>
      <c r="C17" s="186">
        <f>(C9-C11)*((1+C43)/(2*C43))/1.25</f>
        <v>0</v>
      </c>
      <c r="D17" s="440">
        <f>(D9-D11)*((1+D43)/(2*D43))/1.25</f>
        <v>0</v>
      </c>
      <c r="E17" s="186">
        <f>(E9-E11)*((1+E43)/(2*E43))/1.25</f>
        <v>0</v>
      </c>
      <c r="F17" s="186">
        <f>(F9-F11)*((1+F43)/(2*F43))/1.25</f>
        <v>0</v>
      </c>
    </row>
    <row r="18" spans="1:7" s="209" customFormat="1" ht="9.9499999999999993" customHeight="1" x14ac:dyDescent="0.2">
      <c r="A18" s="232"/>
      <c r="B18" s="187"/>
      <c r="C18" s="186"/>
      <c r="D18" s="439"/>
      <c r="E18" s="227"/>
      <c r="F18" s="186"/>
    </row>
    <row r="19" spans="1:7" s="209" customFormat="1" ht="14.1" customHeight="1" x14ac:dyDescent="0.2">
      <c r="A19" s="184" t="s">
        <v>146</v>
      </c>
      <c r="B19" s="183" t="s">
        <v>145</v>
      </c>
      <c r="C19" s="182">
        <v>0.13250000000000001</v>
      </c>
      <c r="D19" s="443">
        <v>0.13250000000000001</v>
      </c>
      <c r="E19" s="182">
        <v>0.13250000000000001</v>
      </c>
      <c r="F19" s="182">
        <v>0.13250000000000001</v>
      </c>
    </row>
    <row r="20" spans="1:7" s="209" customFormat="1" ht="11.25" x14ac:dyDescent="0.2">
      <c r="A20" s="230" t="s">
        <v>172</v>
      </c>
      <c r="B20" s="229" t="s">
        <v>171</v>
      </c>
      <c r="C20" s="228">
        <f>C25*4.33*25.25</f>
        <v>0</v>
      </c>
      <c r="D20" s="444">
        <f>D25*7.33*25.25</f>
        <v>0</v>
      </c>
      <c r="E20" s="228">
        <f t="shared" ref="E20" si="2">E25*4.33*25.25</f>
        <v>0</v>
      </c>
      <c r="F20" s="228">
        <f>F25*7.33*25.25</f>
        <v>0</v>
      </c>
    </row>
    <row r="21" spans="1:7" s="193" customFormat="1" ht="14.1" customHeight="1" x14ac:dyDescent="0.25">
      <c r="A21" s="208" t="s">
        <v>170</v>
      </c>
      <c r="B21" s="187" t="s">
        <v>169</v>
      </c>
      <c r="C21" s="186">
        <f>96.94*0.15</f>
        <v>14.540999999999999</v>
      </c>
      <c r="D21" s="439">
        <f>2.3*0.35</f>
        <v>0.80499999999999994</v>
      </c>
      <c r="E21" s="227">
        <f>72*0.746*0.13</f>
        <v>6.9825600000000003</v>
      </c>
      <c r="F21" s="186">
        <f>277*0.735*0.1</f>
        <v>20.359500000000001</v>
      </c>
      <c r="G21" s="209"/>
    </row>
    <row r="22" spans="1:7" s="193" customFormat="1" ht="14.1" customHeight="1" x14ac:dyDescent="0.25">
      <c r="A22" s="208"/>
      <c r="B22" s="187"/>
      <c r="C22" s="186"/>
      <c r="D22" s="439"/>
      <c r="E22" s="227"/>
      <c r="F22" s="186"/>
      <c r="G22" s="209"/>
    </row>
    <row r="23" spans="1:7" s="193" customFormat="1" ht="14.1" customHeight="1" x14ac:dyDescent="0.25">
      <c r="A23" s="208"/>
      <c r="B23" s="187" t="s">
        <v>635</v>
      </c>
      <c r="C23" s="186">
        <f>'1.1 REF EQUIPAMENTOS E DIV'!$E$38</f>
        <v>0</v>
      </c>
      <c r="D23" s="440">
        <f>'1.1 REF EQUIPAMENTOS E DIV'!E39</f>
        <v>0</v>
      </c>
      <c r="E23" s="186">
        <f>'1.1 REF EQUIPAMENTOS E DIV'!$E$38</f>
        <v>0</v>
      </c>
      <c r="F23" s="186">
        <f>'1.1 REF EQUIPAMENTOS E DIV'!$E$38</f>
        <v>0</v>
      </c>
      <c r="G23" s="209"/>
    </row>
    <row r="24" spans="1:7" s="209" customFormat="1" ht="14.1" customHeight="1" x14ac:dyDescent="0.2">
      <c r="A24" s="207"/>
      <c r="B24" s="187"/>
      <c r="C24" s="186"/>
      <c r="D24" s="439"/>
      <c r="E24" s="227"/>
      <c r="F24" s="186"/>
    </row>
    <row r="25" spans="1:7" s="209" customFormat="1" ht="11.25" x14ac:dyDescent="0.2">
      <c r="A25" s="208" t="s">
        <v>167</v>
      </c>
      <c r="B25" s="187" t="s">
        <v>166</v>
      </c>
      <c r="C25" s="186">
        <f>C23*C21</f>
        <v>0</v>
      </c>
      <c r="D25" s="440">
        <f t="shared" ref="D25" si="3">D23*D21</f>
        <v>0</v>
      </c>
      <c r="E25" s="186">
        <f>E23*E21</f>
        <v>0</v>
      </c>
      <c r="F25" s="186">
        <f>F23*F21</f>
        <v>0</v>
      </c>
    </row>
    <row r="26" spans="1:7" s="193" customFormat="1" ht="14.1" customHeight="1" x14ac:dyDescent="0.25">
      <c r="A26" s="202" t="s">
        <v>165</v>
      </c>
      <c r="B26" s="201" t="s">
        <v>164</v>
      </c>
      <c r="C26" s="200">
        <f>C29</f>
        <v>0</v>
      </c>
      <c r="D26" s="438">
        <f t="shared" ref="D26" si="4">D29</f>
        <v>0</v>
      </c>
      <c r="E26" s="200">
        <f>E29</f>
        <v>0</v>
      </c>
      <c r="F26" s="200">
        <f>F29</f>
        <v>0</v>
      </c>
    </row>
    <row r="27" spans="1:7" s="209" customFormat="1" ht="14.1" customHeight="1" x14ac:dyDescent="0.2">
      <c r="A27" s="208" t="s">
        <v>163</v>
      </c>
      <c r="B27" s="187" t="s">
        <v>162</v>
      </c>
      <c r="C27" s="186">
        <v>0.1</v>
      </c>
      <c r="D27" s="439">
        <v>0.28000000000000003</v>
      </c>
      <c r="E27" s="227">
        <v>0.28000000000000003</v>
      </c>
      <c r="F27" s="186">
        <v>0.1</v>
      </c>
    </row>
    <row r="28" spans="1:7" s="209" customFormat="1" ht="9.9499999999999993" customHeight="1" x14ac:dyDescent="0.2">
      <c r="A28" s="207"/>
      <c r="B28" s="187"/>
      <c r="C28" s="186"/>
      <c r="D28" s="439"/>
      <c r="E28" s="227"/>
      <c r="F28" s="186"/>
    </row>
    <row r="29" spans="1:7" s="209" customFormat="1" ht="14.1" customHeight="1" x14ac:dyDescent="0.2">
      <c r="A29" s="208" t="s">
        <v>161</v>
      </c>
      <c r="B29" s="187" t="s">
        <v>160</v>
      </c>
      <c r="C29" s="186">
        <f>C27*C20</f>
        <v>0</v>
      </c>
      <c r="D29" s="440">
        <f t="shared" ref="D29" si="5">D27*D20</f>
        <v>0</v>
      </c>
      <c r="E29" s="186">
        <f>E27*E20</f>
        <v>0</v>
      </c>
      <c r="F29" s="186">
        <f>F27*F20</f>
        <v>0</v>
      </c>
    </row>
    <row r="30" spans="1:7" s="209" customFormat="1" ht="9.9499999999999993" customHeight="1" x14ac:dyDescent="0.2">
      <c r="A30" s="207"/>
      <c r="B30" s="187"/>
      <c r="C30" s="186"/>
      <c r="D30" s="439"/>
      <c r="E30" s="227"/>
      <c r="F30" s="186"/>
    </row>
    <row r="31" spans="1:7" s="209" customFormat="1" ht="14.1" customHeight="1" x14ac:dyDescent="0.2">
      <c r="A31" s="202" t="s">
        <v>159</v>
      </c>
      <c r="B31" s="201" t="s">
        <v>158</v>
      </c>
      <c r="C31" s="200">
        <f>C37</f>
        <v>0</v>
      </c>
      <c r="D31" s="438">
        <f>D37</f>
        <v>0</v>
      </c>
      <c r="E31" s="200">
        <f>E37</f>
        <v>0</v>
      </c>
      <c r="F31" s="200">
        <f>F37</f>
        <v>0</v>
      </c>
    </row>
    <row r="32" spans="1:7" s="209" customFormat="1" ht="18" customHeight="1" x14ac:dyDescent="0.2">
      <c r="A32" s="208" t="s">
        <v>157</v>
      </c>
      <c r="B32" s="187" t="s">
        <v>156</v>
      </c>
      <c r="C32" s="186">
        <f>C8</f>
        <v>0</v>
      </c>
      <c r="D32" s="440">
        <f t="shared" ref="D32" si="6">D8</f>
        <v>0</v>
      </c>
      <c r="E32" s="186">
        <f>E8</f>
        <v>0</v>
      </c>
      <c r="F32" s="186">
        <f>F8</f>
        <v>0</v>
      </c>
    </row>
    <row r="33" spans="1:6" s="193" customFormat="1" ht="21.75" customHeight="1" x14ac:dyDescent="0.25">
      <c r="A33" s="207"/>
      <c r="B33" s="187"/>
      <c r="C33" s="186"/>
      <c r="D33" s="439"/>
      <c r="E33" s="227"/>
      <c r="F33" s="186"/>
    </row>
    <row r="34" spans="1:6" s="193" customFormat="1" x14ac:dyDescent="0.25">
      <c r="A34" s="208" t="s">
        <v>155</v>
      </c>
      <c r="B34" s="187" t="s">
        <v>154</v>
      </c>
      <c r="C34" s="186">
        <v>1</v>
      </c>
      <c r="D34" s="439">
        <v>1</v>
      </c>
      <c r="E34" s="227">
        <v>1</v>
      </c>
      <c r="F34" s="186">
        <v>0.6</v>
      </c>
    </row>
    <row r="35" spans="1:6" s="193" customFormat="1" x14ac:dyDescent="0.25">
      <c r="A35" s="208" t="s">
        <v>153</v>
      </c>
      <c r="B35" s="187" t="s">
        <v>386</v>
      </c>
      <c r="C35" s="310">
        <v>2.5000000000000001E-2</v>
      </c>
      <c r="D35" s="439"/>
      <c r="E35" s="310"/>
      <c r="F35" s="310">
        <v>2.5000000000000001E-2</v>
      </c>
    </row>
    <row r="36" spans="1:6" s="193" customFormat="1" x14ac:dyDescent="0.25">
      <c r="A36" s="207"/>
      <c r="B36" s="187"/>
      <c r="C36" s="186"/>
      <c r="E36" s="227"/>
      <c r="F36" s="186"/>
    </row>
    <row r="37" spans="1:6" s="193" customFormat="1" x14ac:dyDescent="0.25">
      <c r="A37" s="208" t="s">
        <v>387</v>
      </c>
      <c r="B37" s="204" t="s">
        <v>152</v>
      </c>
      <c r="C37" s="203">
        <f>(C34+C35)*C32</f>
        <v>0</v>
      </c>
      <c r="D37" s="440">
        <f>D34*D32</f>
        <v>0</v>
      </c>
      <c r="E37" s="203">
        <f>(E34+E35)*E32</f>
        <v>0</v>
      </c>
      <c r="F37" s="203">
        <f>(F34+F35)*F32</f>
        <v>0</v>
      </c>
    </row>
    <row r="38" spans="1:6" s="193" customFormat="1" x14ac:dyDescent="0.25">
      <c r="A38" s="202" t="s">
        <v>151</v>
      </c>
      <c r="B38" s="201" t="s">
        <v>150</v>
      </c>
      <c r="C38" s="200" t="e">
        <f>'1.1 REF EQUIPAMENTOS E DIV'!$E$35</f>
        <v>#DIV/0!</v>
      </c>
      <c r="D38" s="200" t="e">
        <f>'1.1 REF EQUIPAMENTOS E DIV'!$E$35</f>
        <v>#DIV/0!</v>
      </c>
      <c r="E38" s="200" t="e">
        <f>'1.1 REF EQUIPAMENTOS E DIV'!$E$35</f>
        <v>#DIV/0!</v>
      </c>
      <c r="F38" s="200" t="e">
        <f>'1.1 REF EQUIPAMENTOS E DIV'!$E$35</f>
        <v>#DIV/0!</v>
      </c>
    </row>
    <row r="39" spans="1:6" x14ac:dyDescent="0.25">
      <c r="A39" s="225"/>
      <c r="B39" s="224" t="s">
        <v>149</v>
      </c>
      <c r="C39" s="223" t="e">
        <f>C31++C26+C20+C13+C8+C38</f>
        <v>#DIV/0!</v>
      </c>
      <c r="D39" s="445" t="e">
        <f>D31++D26+D20+D13+D8+D38</f>
        <v>#DIV/0!</v>
      </c>
      <c r="E39" s="223" t="e">
        <f>E31++E26+E20+E13+E8+E38</f>
        <v>#DIV/0!</v>
      </c>
      <c r="F39" s="223" t="e">
        <f>F31++F26+F20+F13+F8+F38</f>
        <v>#DIV/0!</v>
      </c>
    </row>
    <row r="40" spans="1:6" x14ac:dyDescent="0.25">
      <c r="A40" s="196"/>
      <c r="B40" s="195"/>
      <c r="C40" s="194"/>
      <c r="D40" s="446"/>
      <c r="E40" s="222"/>
      <c r="F40" s="222"/>
    </row>
    <row r="41" spans="1:6" x14ac:dyDescent="0.25">
      <c r="D41" s="447"/>
    </row>
    <row r="42" spans="1:6" x14ac:dyDescent="0.25">
      <c r="A42" s="192"/>
      <c r="B42" s="191" t="s">
        <v>148</v>
      </c>
      <c r="C42" s="190">
        <v>0.1</v>
      </c>
      <c r="D42" s="190">
        <v>0.2</v>
      </c>
      <c r="E42" s="190">
        <v>0.2</v>
      </c>
      <c r="F42" s="190">
        <v>0.4</v>
      </c>
    </row>
    <row r="43" spans="1:6" x14ac:dyDescent="0.25">
      <c r="A43" s="188"/>
      <c r="B43" s="187" t="s">
        <v>147</v>
      </c>
      <c r="C43" s="186">
        <v>4</v>
      </c>
      <c r="D43" s="440">
        <v>1</v>
      </c>
      <c r="E43" s="186">
        <v>4.99965811965812</v>
      </c>
      <c r="F43" s="186">
        <v>7</v>
      </c>
    </row>
  </sheetData>
  <sheetProtection selectLockedCells="1" selectUnlockedCells="1"/>
  <mergeCells count="3">
    <mergeCell ref="A2:F2"/>
    <mergeCell ref="A6:A7"/>
    <mergeCell ref="B6:B7"/>
  </mergeCells>
  <pageMargins left="0.98425196850393704" right="0.59055118110236215" top="1.1811023622047243" bottom="0.59055118110236215" header="0.11811023622047244" footer="0.51181102362204722"/>
  <pageSetup paperSize="9" scale="83" firstPageNumber="0" fitToHeight="0" orientation="portrait" r:id="rId1"/>
  <headerFooter alignWithMargins="0">
    <oddHeader>&amp;L&amp;G</oddHeader>
  </headerFooter>
  <legacyDrawingHF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8" tint="0.39997558519241921"/>
    <pageSetUpPr fitToPage="1"/>
  </sheetPr>
  <dimension ref="B1:G21"/>
  <sheetViews>
    <sheetView view="pageLayout" zoomScaleNormal="100" workbookViewId="0">
      <selection activeCell="G3" sqref="G3"/>
    </sheetView>
  </sheetViews>
  <sheetFormatPr defaultColWidth="9.140625" defaultRowHeight="13.5" x14ac:dyDescent="0.25"/>
  <cols>
    <col min="1" max="1" width="7.140625" style="359" customWidth="1"/>
    <col min="2" max="2" width="35.28515625" style="359" customWidth="1"/>
    <col min="3" max="3" width="18.140625" style="359" customWidth="1"/>
    <col min="4" max="4" width="9.42578125" style="359" customWidth="1"/>
    <col min="5" max="5" width="22.85546875" style="359" customWidth="1"/>
    <col min="6" max="6" width="10.5703125" style="359" customWidth="1"/>
    <col min="7" max="7" width="11.7109375" style="359" bestFit="1" customWidth="1"/>
    <col min="8" max="16384" width="9.140625" style="359"/>
  </cols>
  <sheetData>
    <row r="1" spans="2:7" x14ac:dyDescent="0.25">
      <c r="D1" s="503"/>
      <c r="E1" s="503"/>
      <c r="F1" s="503"/>
      <c r="G1" s="503"/>
    </row>
    <row r="2" spans="2:7" ht="18" customHeight="1" thickBot="1" x14ac:dyDescent="0.3">
      <c r="B2" s="682" t="s">
        <v>419</v>
      </c>
      <c r="C2" s="683"/>
      <c r="D2" s="503"/>
      <c r="E2" s="503"/>
      <c r="F2" s="503"/>
      <c r="G2" s="503"/>
    </row>
    <row r="3" spans="2:7" ht="14.25" thickBot="1" x14ac:dyDescent="0.3">
      <c r="B3" s="684" t="s">
        <v>574</v>
      </c>
      <c r="C3" s="685"/>
    </row>
    <row r="4" spans="2:7" x14ac:dyDescent="0.25">
      <c r="B4" s="678" t="s">
        <v>513</v>
      </c>
      <c r="C4" s="678"/>
    </row>
    <row r="7" spans="2:7" x14ac:dyDescent="0.25">
      <c r="B7" s="359" t="s">
        <v>99</v>
      </c>
    </row>
    <row r="9" spans="2:7" x14ac:dyDescent="0.25">
      <c r="B9" s="453" t="s">
        <v>130</v>
      </c>
      <c r="C9" s="176">
        <v>2</v>
      </c>
    </row>
    <row r="10" spans="2:7" x14ac:dyDescent="0.25">
      <c r="B10" s="453" t="s">
        <v>633</v>
      </c>
      <c r="C10" s="176">
        <v>4</v>
      </c>
    </row>
    <row r="11" spans="2:7" x14ac:dyDescent="0.25">
      <c r="B11" s="450" t="s">
        <v>129</v>
      </c>
      <c r="C11" s="176">
        <v>1</v>
      </c>
    </row>
    <row r="12" spans="2:7" x14ac:dyDescent="0.25">
      <c r="B12" s="450" t="s">
        <v>638</v>
      </c>
      <c r="C12" s="176">
        <v>1</v>
      </c>
    </row>
    <row r="15" spans="2:7" x14ac:dyDescent="0.25">
      <c r="B15" s="359" t="s">
        <v>112</v>
      </c>
    </row>
    <row r="17" spans="2:3" x14ac:dyDescent="0.25">
      <c r="B17" s="453" t="s">
        <v>468</v>
      </c>
      <c r="C17" s="63">
        <v>1</v>
      </c>
    </row>
    <row r="18" spans="2:3" x14ac:dyDescent="0.25">
      <c r="B18" s="453" t="s">
        <v>472</v>
      </c>
      <c r="C18" s="63">
        <f>+C9</f>
        <v>2</v>
      </c>
    </row>
    <row r="19" spans="2:3" x14ac:dyDescent="0.25">
      <c r="B19" s="453" t="s">
        <v>125</v>
      </c>
      <c r="C19" s="176">
        <f>C11</f>
        <v>1</v>
      </c>
    </row>
    <row r="20" spans="2:3" x14ac:dyDescent="0.25">
      <c r="B20" s="453" t="s">
        <v>634</v>
      </c>
      <c r="C20" s="176">
        <f>C10</f>
        <v>4</v>
      </c>
    </row>
    <row r="21" spans="2:3" x14ac:dyDescent="0.25">
      <c r="B21" s="453" t="s">
        <v>471</v>
      </c>
      <c r="C21" s="176">
        <f>C20+C9</f>
        <v>6</v>
      </c>
    </row>
  </sheetData>
  <mergeCells count="3">
    <mergeCell ref="B4:C4"/>
    <mergeCell ref="B2:C2"/>
    <mergeCell ref="B3:C3"/>
  </mergeCells>
  <pageMargins left="0.98425196850393704" right="0.59055118110236215" top="1.1811023622047243" bottom="0.59055118110236215" header="0.11811023622047244" footer="0.51181102362204722"/>
  <pageSetup paperSize="9" scale="74" fitToHeight="0" orientation="portrait" r:id="rId1"/>
  <headerFooter>
    <oddHeader>&amp;L&amp;G</oddHeader>
  </headerFooter>
  <legacyDrawingHF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filterMode="1"/>
  <dimension ref="A1:G4903"/>
  <sheetViews>
    <sheetView topLeftCell="A886" workbookViewId="0">
      <selection activeCell="G712" sqref="G712"/>
    </sheetView>
  </sheetViews>
  <sheetFormatPr defaultRowHeight="15" x14ac:dyDescent="0.25"/>
  <cols>
    <col min="3" max="3" width="44.85546875" customWidth="1"/>
  </cols>
  <sheetData>
    <row r="1" spans="1:7" x14ac:dyDescent="0.25">
      <c r="A1" t="s">
        <v>641</v>
      </c>
    </row>
    <row r="2" spans="1:7" x14ac:dyDescent="0.25">
      <c r="A2" t="s">
        <v>642</v>
      </c>
    </row>
    <row r="3" spans="1:7" x14ac:dyDescent="0.25">
      <c r="A3" t="s">
        <v>643</v>
      </c>
      <c r="B3" s="535">
        <v>45870</v>
      </c>
    </row>
    <row r="4" spans="1:7" x14ac:dyDescent="0.25">
      <c r="A4" t="s">
        <v>644</v>
      </c>
      <c r="B4" s="536">
        <v>45910</v>
      </c>
    </row>
    <row r="6" spans="1:7" x14ac:dyDescent="0.25">
      <c r="A6" t="s">
        <v>645</v>
      </c>
      <c r="B6" t="s">
        <v>646</v>
      </c>
      <c r="C6" t="s">
        <v>647</v>
      </c>
    </row>
    <row r="7" spans="1:7" x14ac:dyDescent="0.25">
      <c r="A7" t="s">
        <v>648</v>
      </c>
    </row>
    <row r="9" spans="1:7" x14ac:dyDescent="0.25">
      <c r="A9" t="s">
        <v>649</v>
      </c>
      <c r="E9" t="s">
        <v>650</v>
      </c>
    </row>
    <row r="10" spans="1:7" ht="45" x14ac:dyDescent="0.25">
      <c r="A10" t="s">
        <v>651</v>
      </c>
      <c r="B10" s="537" t="s">
        <v>652</v>
      </c>
      <c r="C10" t="s">
        <v>653</v>
      </c>
      <c r="D10" t="s">
        <v>654</v>
      </c>
      <c r="E10" s="537" t="s">
        <v>655</v>
      </c>
      <c r="F10" t="s">
        <v>656</v>
      </c>
      <c r="G10" t="s">
        <v>657</v>
      </c>
    </row>
    <row r="11" spans="1:7" hidden="1" x14ac:dyDescent="0.25">
      <c r="A11" t="s">
        <v>448</v>
      </c>
      <c r="B11">
        <v>45333</v>
      </c>
      <c r="C11" t="s">
        <v>658</v>
      </c>
      <c r="D11" t="s">
        <v>226</v>
      </c>
      <c r="E11" t="s">
        <v>659</v>
      </c>
      <c r="F11">
        <v>115.49</v>
      </c>
      <c r="G11">
        <v>189.89</v>
      </c>
    </row>
    <row r="12" spans="1:7" hidden="1" x14ac:dyDescent="0.25">
      <c r="A12" t="s">
        <v>660</v>
      </c>
      <c r="B12">
        <v>11270</v>
      </c>
      <c r="C12" t="s">
        <v>661</v>
      </c>
      <c r="D12" t="s">
        <v>226</v>
      </c>
      <c r="E12" t="s">
        <v>659</v>
      </c>
      <c r="F12">
        <v>3.33</v>
      </c>
      <c r="G12">
        <v>2.64</v>
      </c>
    </row>
    <row r="13" spans="1:7" hidden="1" x14ac:dyDescent="0.25">
      <c r="A13" t="s">
        <v>660</v>
      </c>
      <c r="B13">
        <v>412</v>
      </c>
      <c r="C13" t="s">
        <v>662</v>
      </c>
      <c r="D13" t="s">
        <v>226</v>
      </c>
      <c r="E13" t="s">
        <v>659</v>
      </c>
      <c r="F13">
        <v>1.08</v>
      </c>
      <c r="G13">
        <v>1.1299999999999999</v>
      </c>
    </row>
    <row r="14" spans="1:7" hidden="1" x14ac:dyDescent="0.25">
      <c r="A14" t="s">
        <v>660</v>
      </c>
      <c r="B14">
        <v>414</v>
      </c>
      <c r="C14" t="s">
        <v>663</v>
      </c>
      <c r="D14" t="s">
        <v>226</v>
      </c>
      <c r="E14" t="s">
        <v>659</v>
      </c>
      <c r="F14">
        <v>0.06</v>
      </c>
      <c r="G14">
        <v>7.0000000000000007E-2</v>
      </c>
    </row>
    <row r="15" spans="1:7" hidden="1" x14ac:dyDescent="0.25">
      <c r="A15" t="s">
        <v>660</v>
      </c>
      <c r="B15">
        <v>410</v>
      </c>
      <c r="C15" t="s">
        <v>664</v>
      </c>
      <c r="D15" t="s">
        <v>226</v>
      </c>
      <c r="E15" t="s">
        <v>659</v>
      </c>
      <c r="F15">
        <v>0.16</v>
      </c>
      <c r="G15">
        <v>0.17</v>
      </c>
    </row>
    <row r="16" spans="1:7" hidden="1" x14ac:dyDescent="0.25">
      <c r="A16" t="s">
        <v>660</v>
      </c>
      <c r="B16">
        <v>411</v>
      </c>
      <c r="C16" t="s">
        <v>665</v>
      </c>
      <c r="D16" t="s">
        <v>226</v>
      </c>
      <c r="E16" t="s">
        <v>172</v>
      </c>
      <c r="F16">
        <v>0.21</v>
      </c>
      <c r="G16">
        <v>0.22</v>
      </c>
    </row>
    <row r="17" spans="1:7" hidden="1" x14ac:dyDescent="0.25">
      <c r="A17" t="s">
        <v>660</v>
      </c>
      <c r="B17">
        <v>408</v>
      </c>
      <c r="C17" t="s">
        <v>666</v>
      </c>
      <c r="D17" t="s">
        <v>226</v>
      </c>
      <c r="E17" t="s">
        <v>659</v>
      </c>
      <c r="F17">
        <v>1.04</v>
      </c>
      <c r="G17">
        <v>1.0900000000000001</v>
      </c>
    </row>
    <row r="18" spans="1:7" hidden="1" x14ac:dyDescent="0.25">
      <c r="A18" t="s">
        <v>660</v>
      </c>
      <c r="B18">
        <v>39131</v>
      </c>
      <c r="C18" t="s">
        <v>667</v>
      </c>
      <c r="D18" t="s">
        <v>226</v>
      </c>
      <c r="E18" t="s">
        <v>659</v>
      </c>
      <c r="F18">
        <v>3.18</v>
      </c>
      <c r="G18">
        <v>3.35</v>
      </c>
    </row>
    <row r="19" spans="1:7" hidden="1" x14ac:dyDescent="0.25">
      <c r="A19" t="s">
        <v>660</v>
      </c>
      <c r="B19">
        <v>394</v>
      </c>
      <c r="C19" t="s">
        <v>668</v>
      </c>
      <c r="D19" t="s">
        <v>226</v>
      </c>
      <c r="E19" t="s">
        <v>659</v>
      </c>
      <c r="F19">
        <v>3.22</v>
      </c>
      <c r="G19">
        <v>3.39</v>
      </c>
    </row>
    <row r="20" spans="1:7" hidden="1" x14ac:dyDescent="0.25">
      <c r="A20" t="s">
        <v>660</v>
      </c>
      <c r="B20">
        <v>39130</v>
      </c>
      <c r="C20" t="s">
        <v>669</v>
      </c>
      <c r="D20" t="s">
        <v>226</v>
      </c>
      <c r="E20" t="s">
        <v>659</v>
      </c>
      <c r="F20">
        <v>2.9</v>
      </c>
      <c r="G20">
        <v>3.05</v>
      </c>
    </row>
    <row r="21" spans="1:7" hidden="1" x14ac:dyDescent="0.25">
      <c r="A21" t="s">
        <v>660</v>
      </c>
      <c r="B21">
        <v>395</v>
      </c>
      <c r="C21" t="s">
        <v>670</v>
      </c>
      <c r="D21" t="s">
        <v>226</v>
      </c>
      <c r="E21" t="s">
        <v>659</v>
      </c>
      <c r="F21">
        <v>3.1</v>
      </c>
      <c r="G21">
        <v>3.26</v>
      </c>
    </row>
    <row r="22" spans="1:7" hidden="1" x14ac:dyDescent="0.25">
      <c r="A22" t="s">
        <v>660</v>
      </c>
      <c r="B22">
        <v>39129</v>
      </c>
      <c r="C22" t="s">
        <v>671</v>
      </c>
      <c r="D22" t="s">
        <v>226</v>
      </c>
      <c r="E22" t="s">
        <v>659</v>
      </c>
      <c r="F22">
        <v>1.79</v>
      </c>
      <c r="G22">
        <v>1.88</v>
      </c>
    </row>
    <row r="23" spans="1:7" hidden="1" x14ac:dyDescent="0.25">
      <c r="A23" t="s">
        <v>660</v>
      </c>
      <c r="B23">
        <v>393</v>
      </c>
      <c r="C23" t="s">
        <v>672</v>
      </c>
      <c r="D23" t="s">
        <v>226</v>
      </c>
      <c r="E23" t="s">
        <v>172</v>
      </c>
      <c r="F23">
        <v>1.87</v>
      </c>
      <c r="G23">
        <v>1.97</v>
      </c>
    </row>
    <row r="24" spans="1:7" hidden="1" x14ac:dyDescent="0.25">
      <c r="A24" t="s">
        <v>660</v>
      </c>
      <c r="B24">
        <v>39127</v>
      </c>
      <c r="C24" t="s">
        <v>673</v>
      </c>
      <c r="D24" t="s">
        <v>226</v>
      </c>
      <c r="E24" t="s">
        <v>659</v>
      </c>
      <c r="F24">
        <v>1.53</v>
      </c>
      <c r="G24">
        <v>1.61</v>
      </c>
    </row>
    <row r="25" spans="1:7" hidden="1" x14ac:dyDescent="0.25">
      <c r="A25" t="s">
        <v>660</v>
      </c>
      <c r="B25">
        <v>392</v>
      </c>
      <c r="C25" t="s">
        <v>674</v>
      </c>
      <c r="D25" t="s">
        <v>226</v>
      </c>
      <c r="E25" t="s">
        <v>659</v>
      </c>
      <c r="F25">
        <v>1.57</v>
      </c>
      <c r="G25">
        <v>1.65</v>
      </c>
    </row>
    <row r="26" spans="1:7" hidden="1" x14ac:dyDescent="0.25">
      <c r="A26" t="s">
        <v>660</v>
      </c>
      <c r="B26">
        <v>39133</v>
      </c>
      <c r="C26" t="s">
        <v>675</v>
      </c>
      <c r="D26" t="s">
        <v>226</v>
      </c>
      <c r="E26" t="s">
        <v>659</v>
      </c>
      <c r="F26">
        <v>4.17</v>
      </c>
      <c r="G26">
        <v>4.4000000000000004</v>
      </c>
    </row>
    <row r="27" spans="1:7" hidden="1" x14ac:dyDescent="0.25">
      <c r="A27" t="s">
        <v>660</v>
      </c>
      <c r="B27">
        <v>397</v>
      </c>
      <c r="C27" t="s">
        <v>676</v>
      </c>
      <c r="D27" t="s">
        <v>226</v>
      </c>
      <c r="E27" t="s">
        <v>659</v>
      </c>
      <c r="F27">
        <v>4.6100000000000003</v>
      </c>
      <c r="G27">
        <v>4.8600000000000003</v>
      </c>
    </row>
    <row r="28" spans="1:7" hidden="1" x14ac:dyDescent="0.25">
      <c r="A28" t="s">
        <v>660</v>
      </c>
      <c r="B28">
        <v>39132</v>
      </c>
      <c r="C28" t="s">
        <v>677</v>
      </c>
      <c r="D28" t="s">
        <v>226</v>
      </c>
      <c r="E28" t="s">
        <v>659</v>
      </c>
      <c r="F28">
        <v>3.34</v>
      </c>
      <c r="G28">
        <v>3.52</v>
      </c>
    </row>
    <row r="29" spans="1:7" hidden="1" x14ac:dyDescent="0.25">
      <c r="A29" t="s">
        <v>660</v>
      </c>
      <c r="B29">
        <v>396</v>
      </c>
      <c r="C29" t="s">
        <v>678</v>
      </c>
      <c r="D29" t="s">
        <v>226</v>
      </c>
      <c r="E29" t="s">
        <v>659</v>
      </c>
      <c r="F29">
        <v>3.58</v>
      </c>
      <c r="G29">
        <v>3.77</v>
      </c>
    </row>
    <row r="30" spans="1:7" hidden="1" x14ac:dyDescent="0.25">
      <c r="A30" t="s">
        <v>660</v>
      </c>
      <c r="B30">
        <v>39135</v>
      </c>
      <c r="C30" t="s">
        <v>679</v>
      </c>
      <c r="D30" t="s">
        <v>226</v>
      </c>
      <c r="E30" t="s">
        <v>659</v>
      </c>
      <c r="F30">
        <v>6.68</v>
      </c>
      <c r="G30">
        <v>7.04</v>
      </c>
    </row>
    <row r="31" spans="1:7" hidden="1" x14ac:dyDescent="0.25">
      <c r="A31" t="s">
        <v>660</v>
      </c>
      <c r="B31">
        <v>39134</v>
      </c>
      <c r="C31" t="s">
        <v>680</v>
      </c>
      <c r="D31" t="s">
        <v>226</v>
      </c>
      <c r="E31" t="s">
        <v>659</v>
      </c>
      <c r="F31">
        <v>5.57</v>
      </c>
      <c r="G31">
        <v>5.86</v>
      </c>
    </row>
    <row r="32" spans="1:7" hidden="1" x14ac:dyDescent="0.25">
      <c r="A32" t="s">
        <v>660</v>
      </c>
      <c r="B32">
        <v>398</v>
      </c>
      <c r="C32" t="s">
        <v>681</v>
      </c>
      <c r="D32" t="s">
        <v>226</v>
      </c>
      <c r="E32" t="s">
        <v>659</v>
      </c>
      <c r="F32">
        <v>5.13</v>
      </c>
      <c r="G32">
        <v>5.4</v>
      </c>
    </row>
    <row r="33" spans="1:7" hidden="1" x14ac:dyDescent="0.25">
      <c r="A33" t="s">
        <v>660</v>
      </c>
      <c r="B33">
        <v>39128</v>
      </c>
      <c r="C33" t="s">
        <v>682</v>
      </c>
      <c r="D33" t="s">
        <v>226</v>
      </c>
      <c r="E33" t="s">
        <v>659</v>
      </c>
      <c r="F33">
        <v>1.67</v>
      </c>
      <c r="G33">
        <v>1.76</v>
      </c>
    </row>
    <row r="34" spans="1:7" hidden="1" x14ac:dyDescent="0.25">
      <c r="A34" t="s">
        <v>660</v>
      </c>
      <c r="B34">
        <v>400</v>
      </c>
      <c r="C34" t="s">
        <v>683</v>
      </c>
      <c r="D34" t="s">
        <v>226</v>
      </c>
      <c r="E34" t="s">
        <v>659</v>
      </c>
      <c r="F34">
        <v>1.63</v>
      </c>
      <c r="G34">
        <v>1.71</v>
      </c>
    </row>
    <row r="35" spans="1:7" hidden="1" x14ac:dyDescent="0.25">
      <c r="A35" t="s">
        <v>660</v>
      </c>
      <c r="B35">
        <v>39125</v>
      </c>
      <c r="C35" t="s">
        <v>684</v>
      </c>
      <c r="D35" t="s">
        <v>226</v>
      </c>
      <c r="E35" t="s">
        <v>659</v>
      </c>
      <c r="F35">
        <v>1.67</v>
      </c>
      <c r="G35">
        <v>1.76</v>
      </c>
    </row>
    <row r="36" spans="1:7" hidden="1" x14ac:dyDescent="0.25">
      <c r="A36" t="s">
        <v>660</v>
      </c>
      <c r="B36">
        <v>39126</v>
      </c>
      <c r="C36" t="s">
        <v>685</v>
      </c>
      <c r="D36" t="s">
        <v>226</v>
      </c>
      <c r="E36" t="s">
        <v>659</v>
      </c>
      <c r="F36">
        <v>7.51</v>
      </c>
      <c r="G36">
        <v>7.92</v>
      </c>
    </row>
    <row r="37" spans="1:7" hidden="1" x14ac:dyDescent="0.25">
      <c r="A37" t="s">
        <v>660</v>
      </c>
      <c r="B37">
        <v>399</v>
      </c>
      <c r="C37" t="s">
        <v>686</v>
      </c>
      <c r="D37" t="s">
        <v>226</v>
      </c>
      <c r="E37" t="s">
        <v>659</v>
      </c>
      <c r="F37">
        <v>6.62</v>
      </c>
      <c r="G37">
        <v>6.97</v>
      </c>
    </row>
    <row r="38" spans="1:7" hidden="1" x14ac:dyDescent="0.25">
      <c r="A38" t="s">
        <v>660</v>
      </c>
      <c r="B38">
        <v>39158</v>
      </c>
      <c r="C38" t="s">
        <v>687</v>
      </c>
      <c r="D38" t="s">
        <v>226</v>
      </c>
      <c r="E38" t="s">
        <v>659</v>
      </c>
      <c r="F38">
        <v>17.78</v>
      </c>
      <c r="G38">
        <v>18.73</v>
      </c>
    </row>
    <row r="39" spans="1:7" hidden="1" x14ac:dyDescent="0.25">
      <c r="A39" t="s">
        <v>660</v>
      </c>
      <c r="B39">
        <v>39141</v>
      </c>
      <c r="C39" t="s">
        <v>688</v>
      </c>
      <c r="D39" t="s">
        <v>226</v>
      </c>
      <c r="E39" t="s">
        <v>659</v>
      </c>
      <c r="F39">
        <v>1.29</v>
      </c>
      <c r="G39">
        <v>1.36</v>
      </c>
    </row>
    <row r="40" spans="1:7" hidden="1" x14ac:dyDescent="0.25">
      <c r="A40" t="s">
        <v>660</v>
      </c>
      <c r="B40">
        <v>39140</v>
      </c>
      <c r="C40" t="s">
        <v>689</v>
      </c>
      <c r="D40" t="s">
        <v>226</v>
      </c>
      <c r="E40" t="s">
        <v>659</v>
      </c>
      <c r="F40">
        <v>1.17</v>
      </c>
      <c r="G40">
        <v>1.23</v>
      </c>
    </row>
    <row r="41" spans="1:7" hidden="1" x14ac:dyDescent="0.25">
      <c r="A41" t="s">
        <v>660</v>
      </c>
      <c r="B41">
        <v>39139</v>
      </c>
      <c r="C41" t="s">
        <v>690</v>
      </c>
      <c r="D41" t="s">
        <v>226</v>
      </c>
      <c r="E41" t="s">
        <v>659</v>
      </c>
      <c r="F41">
        <v>0.97</v>
      </c>
      <c r="G41">
        <v>1.02</v>
      </c>
    </row>
    <row r="42" spans="1:7" hidden="1" x14ac:dyDescent="0.25">
      <c r="A42" t="s">
        <v>660</v>
      </c>
      <c r="B42">
        <v>39137</v>
      </c>
      <c r="C42" t="s">
        <v>691</v>
      </c>
      <c r="D42" t="s">
        <v>226</v>
      </c>
      <c r="E42" t="s">
        <v>659</v>
      </c>
      <c r="F42">
        <v>0.67</v>
      </c>
      <c r="G42">
        <v>0.71</v>
      </c>
    </row>
    <row r="43" spans="1:7" hidden="1" x14ac:dyDescent="0.25">
      <c r="A43" t="s">
        <v>660</v>
      </c>
      <c r="B43">
        <v>39143</v>
      </c>
      <c r="C43" t="s">
        <v>692</v>
      </c>
      <c r="D43" t="s">
        <v>226</v>
      </c>
      <c r="E43" t="s">
        <v>659</v>
      </c>
      <c r="F43">
        <v>2.66</v>
      </c>
      <c r="G43">
        <v>2.8</v>
      </c>
    </row>
    <row r="44" spans="1:7" hidden="1" x14ac:dyDescent="0.25">
      <c r="A44" t="s">
        <v>660</v>
      </c>
      <c r="B44">
        <v>39142</v>
      </c>
      <c r="C44" t="s">
        <v>693</v>
      </c>
      <c r="D44" t="s">
        <v>226</v>
      </c>
      <c r="E44" t="s">
        <v>659</v>
      </c>
      <c r="F44">
        <v>1.9</v>
      </c>
      <c r="G44">
        <v>2.0099999999999998</v>
      </c>
    </row>
    <row r="45" spans="1:7" hidden="1" x14ac:dyDescent="0.25">
      <c r="A45" t="s">
        <v>660</v>
      </c>
      <c r="B45">
        <v>39144</v>
      </c>
      <c r="C45" t="s">
        <v>694</v>
      </c>
      <c r="D45" t="s">
        <v>226</v>
      </c>
      <c r="E45" t="s">
        <v>659</v>
      </c>
      <c r="F45">
        <v>3.1</v>
      </c>
      <c r="G45">
        <v>3.26</v>
      </c>
    </row>
    <row r="46" spans="1:7" hidden="1" x14ac:dyDescent="0.25">
      <c r="A46" t="s">
        <v>660</v>
      </c>
      <c r="B46">
        <v>39138</v>
      </c>
      <c r="C46" t="s">
        <v>695</v>
      </c>
      <c r="D46" t="s">
        <v>226</v>
      </c>
      <c r="E46" t="s">
        <v>659</v>
      </c>
      <c r="F46">
        <v>0.71</v>
      </c>
      <c r="G46">
        <v>0.75</v>
      </c>
    </row>
    <row r="47" spans="1:7" hidden="1" x14ac:dyDescent="0.25">
      <c r="A47" t="s">
        <v>660</v>
      </c>
      <c r="B47">
        <v>39136</v>
      </c>
      <c r="C47" t="s">
        <v>696</v>
      </c>
      <c r="D47" t="s">
        <v>226</v>
      </c>
      <c r="E47" t="s">
        <v>659</v>
      </c>
      <c r="F47">
        <v>0.47</v>
      </c>
      <c r="G47">
        <v>0.5</v>
      </c>
    </row>
    <row r="48" spans="1:7" hidden="1" x14ac:dyDescent="0.25">
      <c r="A48" t="s">
        <v>660</v>
      </c>
      <c r="B48">
        <v>39145</v>
      </c>
      <c r="C48" t="s">
        <v>697</v>
      </c>
      <c r="D48" t="s">
        <v>226</v>
      </c>
      <c r="E48" t="s">
        <v>659</v>
      </c>
      <c r="F48">
        <v>5.1100000000000003</v>
      </c>
      <c r="G48">
        <v>5.38</v>
      </c>
    </row>
    <row r="49" spans="1:7" x14ac:dyDescent="0.25">
      <c r="A49" t="s">
        <v>660</v>
      </c>
      <c r="B49">
        <v>12615</v>
      </c>
      <c r="C49" t="s">
        <v>698</v>
      </c>
      <c r="D49" t="s">
        <v>226</v>
      </c>
      <c r="E49" t="s">
        <v>659</v>
      </c>
      <c r="F49">
        <v>13.14</v>
      </c>
      <c r="G49">
        <v>13.58</v>
      </c>
    </row>
    <row r="50" spans="1:7" hidden="1" x14ac:dyDescent="0.25">
      <c r="A50" t="s">
        <v>660</v>
      </c>
      <c r="B50">
        <v>11927</v>
      </c>
      <c r="C50" t="s">
        <v>699</v>
      </c>
      <c r="D50" t="s">
        <v>226</v>
      </c>
      <c r="E50" t="s">
        <v>659</v>
      </c>
      <c r="F50">
        <v>9.9499999999999993</v>
      </c>
      <c r="G50">
        <v>7.88</v>
      </c>
    </row>
    <row r="51" spans="1:7" hidden="1" x14ac:dyDescent="0.25">
      <c r="A51" t="s">
        <v>660</v>
      </c>
      <c r="B51">
        <v>11928</v>
      </c>
      <c r="C51" t="s">
        <v>700</v>
      </c>
      <c r="D51" t="s">
        <v>226</v>
      </c>
      <c r="E51" t="s">
        <v>659</v>
      </c>
      <c r="F51">
        <v>11.41</v>
      </c>
      <c r="G51">
        <v>9.02</v>
      </c>
    </row>
    <row r="52" spans="1:7" hidden="1" x14ac:dyDescent="0.25">
      <c r="A52" t="s">
        <v>660</v>
      </c>
      <c r="B52">
        <v>11929</v>
      </c>
      <c r="C52" t="s">
        <v>701</v>
      </c>
      <c r="D52" t="s">
        <v>226</v>
      </c>
      <c r="E52" t="s">
        <v>659</v>
      </c>
      <c r="F52">
        <v>17.64</v>
      </c>
      <c r="G52">
        <v>13.96</v>
      </c>
    </row>
    <row r="53" spans="1:7" hidden="1" x14ac:dyDescent="0.25">
      <c r="A53" t="s">
        <v>660</v>
      </c>
      <c r="B53">
        <v>36801</v>
      </c>
      <c r="C53" t="s">
        <v>702</v>
      </c>
      <c r="D53" t="s">
        <v>226</v>
      </c>
      <c r="E53" t="s">
        <v>659</v>
      </c>
      <c r="F53">
        <v>33.81</v>
      </c>
      <c r="G53">
        <v>30.38</v>
      </c>
    </row>
    <row r="54" spans="1:7" hidden="1" x14ac:dyDescent="0.25">
      <c r="A54" t="s">
        <v>660</v>
      </c>
      <c r="B54">
        <v>36246</v>
      </c>
      <c r="C54" t="s">
        <v>703</v>
      </c>
      <c r="D54" t="s">
        <v>704</v>
      </c>
      <c r="E54" t="s">
        <v>659</v>
      </c>
      <c r="F54">
        <v>3.93</v>
      </c>
      <c r="G54">
        <v>4.26</v>
      </c>
    </row>
    <row r="55" spans="1:7" hidden="1" x14ac:dyDescent="0.25">
      <c r="A55" t="s">
        <v>660</v>
      </c>
      <c r="B55">
        <v>37600</v>
      </c>
      <c r="C55" t="s">
        <v>705</v>
      </c>
      <c r="D55" t="s">
        <v>226</v>
      </c>
      <c r="E55" t="s">
        <v>659</v>
      </c>
      <c r="F55">
        <f>G55</f>
        <v>104.86</v>
      </c>
      <c r="G55">
        <v>104.86</v>
      </c>
    </row>
    <row r="56" spans="1:7" hidden="1" x14ac:dyDescent="0.25">
      <c r="A56" t="s">
        <v>660</v>
      </c>
      <c r="B56">
        <v>37599</v>
      </c>
      <c r="C56" t="s">
        <v>706</v>
      </c>
      <c r="D56" t="s">
        <v>226</v>
      </c>
      <c r="E56" t="s">
        <v>659</v>
      </c>
      <c r="F56">
        <f>G56</f>
        <v>97.6</v>
      </c>
      <c r="G56">
        <v>97.6</v>
      </c>
    </row>
    <row r="57" spans="1:7" hidden="1" x14ac:dyDescent="0.25">
      <c r="A57" t="s">
        <v>660</v>
      </c>
      <c r="B57">
        <v>1</v>
      </c>
      <c r="C57" t="s">
        <v>707</v>
      </c>
      <c r="D57" t="s">
        <v>708</v>
      </c>
      <c r="E57" t="s">
        <v>172</v>
      </c>
      <c r="F57">
        <v>78.88</v>
      </c>
      <c r="G57">
        <v>104.5</v>
      </c>
    </row>
    <row r="58" spans="1:7" hidden="1" x14ac:dyDescent="0.25">
      <c r="A58" t="s">
        <v>660</v>
      </c>
      <c r="B58">
        <v>3</v>
      </c>
      <c r="C58" t="s">
        <v>709</v>
      </c>
      <c r="D58" t="s">
        <v>710</v>
      </c>
      <c r="E58" t="s">
        <v>659</v>
      </c>
      <c r="F58">
        <v>20.99</v>
      </c>
      <c r="G58">
        <v>17.16</v>
      </c>
    </row>
    <row r="59" spans="1:7" hidden="1" x14ac:dyDescent="0.25">
      <c r="A59" t="s">
        <v>660</v>
      </c>
      <c r="B59">
        <v>43054</v>
      </c>
      <c r="C59" t="s">
        <v>711</v>
      </c>
      <c r="D59" t="s">
        <v>708</v>
      </c>
      <c r="E59" t="s">
        <v>659</v>
      </c>
      <c r="F59">
        <v>8.2100000000000009</v>
      </c>
      <c r="G59">
        <v>6.7</v>
      </c>
    </row>
    <row r="60" spans="1:7" hidden="1" x14ac:dyDescent="0.25">
      <c r="A60" t="s">
        <v>660</v>
      </c>
      <c r="B60">
        <v>42402</v>
      </c>
      <c r="C60" t="s">
        <v>712</v>
      </c>
      <c r="D60" t="s">
        <v>708</v>
      </c>
      <c r="E60" t="s">
        <v>659</v>
      </c>
      <c r="F60">
        <v>7.85</v>
      </c>
      <c r="G60">
        <v>6.4</v>
      </c>
    </row>
    <row r="61" spans="1:7" hidden="1" x14ac:dyDescent="0.25">
      <c r="A61" t="s">
        <v>660</v>
      </c>
      <c r="B61">
        <v>42403</v>
      </c>
      <c r="C61" t="s">
        <v>713</v>
      </c>
      <c r="D61" t="s">
        <v>708</v>
      </c>
      <c r="E61" t="s">
        <v>659</v>
      </c>
      <c r="F61">
        <v>10.06</v>
      </c>
      <c r="G61">
        <v>8.2100000000000009</v>
      </c>
    </row>
    <row r="62" spans="1:7" hidden="1" x14ac:dyDescent="0.25">
      <c r="A62" t="s">
        <v>660</v>
      </c>
      <c r="B62">
        <v>42404</v>
      </c>
      <c r="C62" t="s">
        <v>714</v>
      </c>
      <c r="D62" t="s">
        <v>708</v>
      </c>
      <c r="E62" t="s">
        <v>659</v>
      </c>
      <c r="F62">
        <v>10.01</v>
      </c>
      <c r="G62">
        <v>8.16</v>
      </c>
    </row>
    <row r="63" spans="1:7" hidden="1" x14ac:dyDescent="0.25">
      <c r="A63" t="s">
        <v>660</v>
      </c>
      <c r="B63">
        <v>42405</v>
      </c>
      <c r="C63" t="s">
        <v>715</v>
      </c>
      <c r="D63" t="s">
        <v>708</v>
      </c>
      <c r="E63" t="s">
        <v>659</v>
      </c>
      <c r="F63">
        <v>10.66</v>
      </c>
      <c r="G63">
        <v>8.6999999999999993</v>
      </c>
    </row>
    <row r="64" spans="1:7" hidden="1" x14ac:dyDescent="0.25">
      <c r="A64" t="s">
        <v>660</v>
      </c>
      <c r="B64">
        <v>34341</v>
      </c>
      <c r="C64" t="s">
        <v>716</v>
      </c>
      <c r="D64" t="s">
        <v>708</v>
      </c>
      <c r="E64" t="s">
        <v>659</v>
      </c>
      <c r="F64">
        <v>9.25</v>
      </c>
      <c r="G64">
        <v>7.55</v>
      </c>
    </row>
    <row r="65" spans="1:7" hidden="1" x14ac:dyDescent="0.25">
      <c r="A65" t="s">
        <v>660</v>
      </c>
      <c r="B65">
        <v>43053</v>
      </c>
      <c r="C65" t="s">
        <v>717</v>
      </c>
      <c r="D65" t="s">
        <v>708</v>
      </c>
      <c r="E65" t="s">
        <v>659</v>
      </c>
      <c r="F65">
        <v>7.33</v>
      </c>
      <c r="G65">
        <v>5.98</v>
      </c>
    </row>
    <row r="66" spans="1:7" hidden="1" x14ac:dyDescent="0.25">
      <c r="A66" t="s">
        <v>660</v>
      </c>
      <c r="B66">
        <v>43058</v>
      </c>
      <c r="C66" t="s">
        <v>718</v>
      </c>
      <c r="D66" t="s">
        <v>708</v>
      </c>
      <c r="E66" t="s">
        <v>659</v>
      </c>
      <c r="F66">
        <v>7.6</v>
      </c>
      <c r="G66">
        <v>6.2</v>
      </c>
    </row>
    <row r="67" spans="1:7" hidden="1" x14ac:dyDescent="0.25">
      <c r="A67" t="s">
        <v>660</v>
      </c>
      <c r="B67">
        <v>34</v>
      </c>
      <c r="C67" t="s">
        <v>719</v>
      </c>
      <c r="D67" t="s">
        <v>708</v>
      </c>
      <c r="E67" t="s">
        <v>659</v>
      </c>
      <c r="F67">
        <v>7.64</v>
      </c>
      <c r="G67">
        <v>6.23</v>
      </c>
    </row>
    <row r="68" spans="1:7" hidden="1" x14ac:dyDescent="0.25">
      <c r="A68" t="s">
        <v>660</v>
      </c>
      <c r="B68">
        <v>43055</v>
      </c>
      <c r="C68" t="s">
        <v>720</v>
      </c>
      <c r="D68" t="s">
        <v>708</v>
      </c>
      <c r="E68" t="s">
        <v>172</v>
      </c>
      <c r="F68">
        <v>6.62</v>
      </c>
      <c r="G68">
        <v>5.4</v>
      </c>
    </row>
    <row r="69" spans="1:7" hidden="1" x14ac:dyDescent="0.25">
      <c r="A69" t="s">
        <v>660</v>
      </c>
      <c r="B69">
        <v>43056</v>
      </c>
      <c r="C69" t="s">
        <v>721</v>
      </c>
      <c r="D69" t="s">
        <v>708</v>
      </c>
      <c r="E69" t="s">
        <v>659</v>
      </c>
      <c r="F69">
        <v>7.63</v>
      </c>
      <c r="G69">
        <v>6.22</v>
      </c>
    </row>
    <row r="70" spans="1:7" hidden="1" x14ac:dyDescent="0.25">
      <c r="A70" t="s">
        <v>660</v>
      </c>
      <c r="B70">
        <v>43057</v>
      </c>
      <c r="C70" t="s">
        <v>722</v>
      </c>
      <c r="D70" t="s">
        <v>708</v>
      </c>
      <c r="E70" t="s">
        <v>659</v>
      </c>
      <c r="F70">
        <v>8.39</v>
      </c>
      <c r="G70">
        <v>6.84</v>
      </c>
    </row>
    <row r="71" spans="1:7" hidden="1" x14ac:dyDescent="0.25">
      <c r="A71" t="s">
        <v>660</v>
      </c>
      <c r="B71">
        <v>34449</v>
      </c>
      <c r="C71" t="s">
        <v>723</v>
      </c>
      <c r="D71" t="s">
        <v>708</v>
      </c>
      <c r="E71" t="s">
        <v>659</v>
      </c>
      <c r="F71">
        <v>8.9600000000000009</v>
      </c>
      <c r="G71">
        <v>7.31</v>
      </c>
    </row>
    <row r="72" spans="1:7" hidden="1" x14ac:dyDescent="0.25">
      <c r="A72" t="s">
        <v>660</v>
      </c>
      <c r="B72">
        <v>32</v>
      </c>
      <c r="C72" t="s">
        <v>724</v>
      </c>
      <c r="D72" t="s">
        <v>708</v>
      </c>
      <c r="E72" t="s">
        <v>659</v>
      </c>
      <c r="F72">
        <v>8.06</v>
      </c>
      <c r="G72">
        <v>6.57</v>
      </c>
    </row>
    <row r="73" spans="1:7" hidden="1" x14ac:dyDescent="0.25">
      <c r="A73" t="s">
        <v>660</v>
      </c>
      <c r="B73">
        <v>33</v>
      </c>
      <c r="C73" t="s">
        <v>725</v>
      </c>
      <c r="D73" t="s">
        <v>708</v>
      </c>
      <c r="E73" t="s">
        <v>659</v>
      </c>
      <c r="F73">
        <v>8.11</v>
      </c>
      <c r="G73">
        <v>6.61</v>
      </c>
    </row>
    <row r="74" spans="1:7" hidden="1" x14ac:dyDescent="0.25">
      <c r="A74" t="s">
        <v>660</v>
      </c>
      <c r="B74">
        <v>43061</v>
      </c>
      <c r="C74" t="s">
        <v>726</v>
      </c>
      <c r="D74" t="s">
        <v>708</v>
      </c>
      <c r="E74" t="s">
        <v>659</v>
      </c>
      <c r="F74">
        <v>7.58</v>
      </c>
      <c r="G74">
        <v>6.18</v>
      </c>
    </row>
    <row r="75" spans="1:7" hidden="1" x14ac:dyDescent="0.25">
      <c r="A75" t="s">
        <v>660</v>
      </c>
      <c r="B75">
        <v>43059</v>
      </c>
      <c r="C75" t="s">
        <v>727</v>
      </c>
      <c r="D75" t="s">
        <v>708</v>
      </c>
      <c r="E75" t="s">
        <v>659</v>
      </c>
      <c r="F75">
        <v>7.23</v>
      </c>
      <c r="G75">
        <v>5.9</v>
      </c>
    </row>
    <row r="76" spans="1:7" hidden="1" x14ac:dyDescent="0.25">
      <c r="A76" t="s">
        <v>660</v>
      </c>
      <c r="B76">
        <v>43062</v>
      </c>
      <c r="C76" t="s">
        <v>728</v>
      </c>
      <c r="D76" t="s">
        <v>708</v>
      </c>
      <c r="E76" t="s">
        <v>659</v>
      </c>
      <c r="F76">
        <v>8.01</v>
      </c>
      <c r="G76">
        <v>6.54</v>
      </c>
    </row>
    <row r="77" spans="1:7" hidden="1" x14ac:dyDescent="0.25">
      <c r="A77" t="s">
        <v>660</v>
      </c>
      <c r="B77">
        <v>43060</v>
      </c>
      <c r="C77" t="s">
        <v>729</v>
      </c>
      <c r="D77" t="s">
        <v>708</v>
      </c>
      <c r="E77" t="s">
        <v>659</v>
      </c>
      <c r="F77">
        <v>6.3</v>
      </c>
      <c r="G77">
        <v>5.14</v>
      </c>
    </row>
    <row r="78" spans="1:7" hidden="1" x14ac:dyDescent="0.25">
      <c r="A78" t="s">
        <v>660</v>
      </c>
      <c r="B78">
        <v>40410</v>
      </c>
      <c r="C78" t="s">
        <v>730</v>
      </c>
      <c r="D78" t="s">
        <v>226</v>
      </c>
      <c r="E78" t="s">
        <v>172</v>
      </c>
      <c r="F78">
        <f>G78</f>
        <v>20.49</v>
      </c>
      <c r="G78">
        <v>20.49</v>
      </c>
    </row>
    <row r="79" spans="1:7" hidden="1" x14ac:dyDescent="0.25">
      <c r="A79" t="s">
        <v>660</v>
      </c>
      <c r="B79">
        <v>40411</v>
      </c>
      <c r="C79" t="s">
        <v>731</v>
      </c>
      <c r="D79" t="s">
        <v>226</v>
      </c>
      <c r="E79" t="s">
        <v>659</v>
      </c>
      <c r="F79">
        <f>G79</f>
        <v>22.23</v>
      </c>
      <c r="G79">
        <v>22.23</v>
      </c>
    </row>
    <row r="80" spans="1:7" hidden="1" x14ac:dyDescent="0.25">
      <c r="A80" t="s">
        <v>660</v>
      </c>
      <c r="B80">
        <v>40412</v>
      </c>
      <c r="C80" t="s">
        <v>732</v>
      </c>
      <c r="D80" t="s">
        <v>226</v>
      </c>
      <c r="E80" t="s">
        <v>659</v>
      </c>
      <c r="F80">
        <f>G80</f>
        <v>24.95</v>
      </c>
      <c r="G80">
        <v>24.95</v>
      </c>
    </row>
    <row r="81" spans="1:7" hidden="1" x14ac:dyDescent="0.25">
      <c r="A81" t="s">
        <v>660</v>
      </c>
      <c r="B81">
        <v>44254</v>
      </c>
      <c r="C81" t="s">
        <v>733</v>
      </c>
      <c r="D81" t="s">
        <v>226</v>
      </c>
      <c r="E81" t="s">
        <v>659</v>
      </c>
      <c r="F81">
        <v>31.46</v>
      </c>
      <c r="G81">
        <v>30.04</v>
      </c>
    </row>
    <row r="82" spans="1:7" hidden="1" x14ac:dyDescent="0.25">
      <c r="A82" t="s">
        <v>660</v>
      </c>
      <c r="B82">
        <v>44255</v>
      </c>
      <c r="C82" t="s">
        <v>734</v>
      </c>
      <c r="D82" t="s">
        <v>226</v>
      </c>
      <c r="E82" t="s">
        <v>659</v>
      </c>
      <c r="F82">
        <v>34.869999999999997</v>
      </c>
      <c r="G82">
        <v>33.29</v>
      </c>
    </row>
    <row r="83" spans="1:7" hidden="1" x14ac:dyDescent="0.25">
      <c r="A83" t="s">
        <v>660</v>
      </c>
      <c r="B83">
        <v>44256</v>
      </c>
      <c r="C83" t="s">
        <v>735</v>
      </c>
      <c r="D83" t="s">
        <v>226</v>
      </c>
      <c r="E83" t="s">
        <v>659</v>
      </c>
      <c r="F83">
        <v>39.39</v>
      </c>
      <c r="G83">
        <v>37.6</v>
      </c>
    </row>
    <row r="84" spans="1:7" hidden="1" x14ac:dyDescent="0.25">
      <c r="A84" t="s">
        <v>660</v>
      </c>
      <c r="B84">
        <v>44257</v>
      </c>
      <c r="C84" t="s">
        <v>736</v>
      </c>
      <c r="D84" t="s">
        <v>226</v>
      </c>
      <c r="E84" t="s">
        <v>659</v>
      </c>
      <c r="F84">
        <v>62.32</v>
      </c>
      <c r="G84">
        <v>59.49</v>
      </c>
    </row>
    <row r="85" spans="1:7" hidden="1" x14ac:dyDescent="0.25">
      <c r="A85" t="s">
        <v>660</v>
      </c>
      <c r="B85">
        <v>44258</v>
      </c>
      <c r="C85" t="s">
        <v>737</v>
      </c>
      <c r="D85" t="s">
        <v>226</v>
      </c>
      <c r="E85" t="s">
        <v>659</v>
      </c>
      <c r="F85">
        <v>71.22</v>
      </c>
      <c r="G85">
        <v>67.989999999999995</v>
      </c>
    </row>
    <row r="86" spans="1:7" hidden="1" x14ac:dyDescent="0.25">
      <c r="A86" t="s">
        <v>660</v>
      </c>
      <c r="B86">
        <v>44259</v>
      </c>
      <c r="C86" t="s">
        <v>738</v>
      </c>
      <c r="D86" t="s">
        <v>226</v>
      </c>
      <c r="E86" t="s">
        <v>659</v>
      </c>
      <c r="F86">
        <v>97.76</v>
      </c>
      <c r="G86">
        <v>93.33</v>
      </c>
    </row>
    <row r="87" spans="1:7" hidden="1" x14ac:dyDescent="0.25">
      <c r="A87" t="s">
        <v>660</v>
      </c>
      <c r="B87">
        <v>37997</v>
      </c>
      <c r="C87" t="s">
        <v>739</v>
      </c>
      <c r="D87" t="s">
        <v>226</v>
      </c>
      <c r="E87" t="s">
        <v>659</v>
      </c>
      <c r="F87">
        <v>18.75</v>
      </c>
      <c r="G87">
        <v>17.899999999999999</v>
      </c>
    </row>
    <row r="88" spans="1:7" hidden="1" x14ac:dyDescent="0.25">
      <c r="A88" t="s">
        <v>660</v>
      </c>
      <c r="B88">
        <v>37998</v>
      </c>
      <c r="C88" t="s">
        <v>740</v>
      </c>
      <c r="D88" t="s">
        <v>226</v>
      </c>
      <c r="E88" t="s">
        <v>659</v>
      </c>
      <c r="F88">
        <v>25.09</v>
      </c>
      <c r="G88">
        <v>23.96</v>
      </c>
    </row>
    <row r="89" spans="1:7" hidden="1" x14ac:dyDescent="0.25">
      <c r="A89" t="s">
        <v>660</v>
      </c>
      <c r="B89">
        <v>55</v>
      </c>
      <c r="C89" t="s">
        <v>741</v>
      </c>
      <c r="D89" t="s">
        <v>226</v>
      </c>
      <c r="E89" t="s">
        <v>172</v>
      </c>
      <c r="F89">
        <v>6.31</v>
      </c>
      <c r="G89">
        <v>3.94</v>
      </c>
    </row>
    <row r="90" spans="1:7" hidden="1" x14ac:dyDescent="0.25">
      <c r="A90" t="s">
        <v>660</v>
      </c>
      <c r="B90">
        <v>61</v>
      </c>
      <c r="C90" t="s">
        <v>742</v>
      </c>
      <c r="D90" t="s">
        <v>226</v>
      </c>
      <c r="E90" t="s">
        <v>659</v>
      </c>
      <c r="F90">
        <v>5.97</v>
      </c>
      <c r="G90">
        <v>3.72</v>
      </c>
    </row>
    <row r="91" spans="1:7" hidden="1" x14ac:dyDescent="0.25">
      <c r="A91" t="s">
        <v>660</v>
      </c>
      <c r="B91">
        <v>62</v>
      </c>
      <c r="C91" t="s">
        <v>743</v>
      </c>
      <c r="D91" t="s">
        <v>226</v>
      </c>
      <c r="E91" t="s">
        <v>659</v>
      </c>
      <c r="F91">
        <v>12.37</v>
      </c>
      <c r="G91">
        <v>7.72</v>
      </c>
    </row>
    <row r="92" spans="1:7" hidden="1" x14ac:dyDescent="0.25">
      <c r="A92" t="s">
        <v>660</v>
      </c>
      <c r="B92">
        <v>10899</v>
      </c>
      <c r="C92" t="s">
        <v>744</v>
      </c>
      <c r="D92" t="s">
        <v>226</v>
      </c>
      <c r="E92" t="s">
        <v>659</v>
      </c>
      <c r="F92">
        <v>67.900000000000006</v>
      </c>
      <c r="G92">
        <v>144.57</v>
      </c>
    </row>
    <row r="93" spans="1:7" hidden="1" x14ac:dyDescent="0.25">
      <c r="A93" t="s">
        <v>660</v>
      </c>
      <c r="B93">
        <v>10900</v>
      </c>
      <c r="C93" t="s">
        <v>745</v>
      </c>
      <c r="D93" t="s">
        <v>226</v>
      </c>
      <c r="E93" t="s">
        <v>659</v>
      </c>
      <c r="F93">
        <v>53.14</v>
      </c>
      <c r="G93">
        <v>113.14</v>
      </c>
    </row>
    <row r="94" spans="1:7" hidden="1" x14ac:dyDescent="0.25">
      <c r="A94" t="s">
        <v>660</v>
      </c>
      <c r="B94">
        <v>47</v>
      </c>
      <c r="C94" t="s">
        <v>746</v>
      </c>
      <c r="D94" t="s">
        <v>226</v>
      </c>
      <c r="E94" t="s">
        <v>659</v>
      </c>
      <c r="F94">
        <v>94.9</v>
      </c>
      <c r="G94">
        <v>97.81</v>
      </c>
    </row>
    <row r="95" spans="1:7" hidden="1" x14ac:dyDescent="0.25">
      <c r="A95" t="s">
        <v>660</v>
      </c>
      <c r="B95">
        <v>48</v>
      </c>
      <c r="C95" t="s">
        <v>747</v>
      </c>
      <c r="D95" t="s">
        <v>226</v>
      </c>
      <c r="E95" t="s">
        <v>659</v>
      </c>
      <c r="F95">
        <v>24.75</v>
      </c>
      <c r="G95">
        <v>25.51</v>
      </c>
    </row>
    <row r="96" spans="1:7" hidden="1" x14ac:dyDescent="0.25">
      <c r="A96" t="s">
        <v>660</v>
      </c>
      <c r="B96">
        <v>46</v>
      </c>
      <c r="C96" t="s">
        <v>748</v>
      </c>
      <c r="D96" t="s">
        <v>226</v>
      </c>
      <c r="E96" t="s">
        <v>659</v>
      </c>
      <c r="F96">
        <v>55.5</v>
      </c>
      <c r="G96">
        <v>57.2</v>
      </c>
    </row>
    <row r="97" spans="1:7" hidden="1" x14ac:dyDescent="0.25">
      <c r="A97" t="s">
        <v>660</v>
      </c>
      <c r="B97">
        <v>52</v>
      </c>
      <c r="C97" t="s">
        <v>749</v>
      </c>
      <c r="D97" t="s">
        <v>226</v>
      </c>
      <c r="E97" t="s">
        <v>659</v>
      </c>
      <c r="F97">
        <v>18.8</v>
      </c>
      <c r="G97">
        <v>19.38</v>
      </c>
    </row>
    <row r="98" spans="1:7" hidden="1" x14ac:dyDescent="0.25">
      <c r="A98" t="s">
        <v>660</v>
      </c>
      <c r="B98">
        <v>43</v>
      </c>
      <c r="C98" t="s">
        <v>750</v>
      </c>
      <c r="D98" t="s">
        <v>226</v>
      </c>
      <c r="E98" t="s">
        <v>659</v>
      </c>
      <c r="F98">
        <v>63.47</v>
      </c>
      <c r="G98">
        <v>65.41</v>
      </c>
    </row>
    <row r="99" spans="1:7" hidden="1" x14ac:dyDescent="0.25">
      <c r="A99" t="s">
        <v>660</v>
      </c>
      <c r="B99">
        <v>103</v>
      </c>
      <c r="C99" t="s">
        <v>751</v>
      </c>
      <c r="D99" t="s">
        <v>226</v>
      </c>
      <c r="E99" t="s">
        <v>659</v>
      </c>
      <c r="F99">
        <v>44.26</v>
      </c>
      <c r="G99">
        <v>45.31</v>
      </c>
    </row>
    <row r="100" spans="1:7" hidden="1" x14ac:dyDescent="0.25">
      <c r="A100" t="s">
        <v>660</v>
      </c>
      <c r="B100">
        <v>107</v>
      </c>
      <c r="C100" t="s">
        <v>752</v>
      </c>
      <c r="D100" t="s">
        <v>226</v>
      </c>
      <c r="E100" t="s">
        <v>659</v>
      </c>
      <c r="F100">
        <v>0.83</v>
      </c>
      <c r="G100">
        <v>0.85</v>
      </c>
    </row>
    <row r="101" spans="1:7" hidden="1" x14ac:dyDescent="0.25">
      <c r="A101" t="s">
        <v>660</v>
      </c>
      <c r="B101">
        <v>65</v>
      </c>
      <c r="C101" t="s">
        <v>753</v>
      </c>
      <c r="D101" t="s">
        <v>226</v>
      </c>
      <c r="E101" t="s">
        <v>659</v>
      </c>
      <c r="F101">
        <v>0.91</v>
      </c>
      <c r="G101">
        <v>0.93</v>
      </c>
    </row>
    <row r="102" spans="1:7" hidden="1" x14ac:dyDescent="0.25">
      <c r="A102" t="s">
        <v>660</v>
      </c>
      <c r="B102">
        <v>108</v>
      </c>
      <c r="C102" t="s">
        <v>754</v>
      </c>
      <c r="D102" t="s">
        <v>226</v>
      </c>
      <c r="E102" t="s">
        <v>659</v>
      </c>
      <c r="F102">
        <v>1.83</v>
      </c>
      <c r="G102">
        <v>1.88</v>
      </c>
    </row>
    <row r="103" spans="1:7" hidden="1" x14ac:dyDescent="0.25">
      <c r="A103" t="s">
        <v>660</v>
      </c>
      <c r="B103">
        <v>110</v>
      </c>
      <c r="C103" t="s">
        <v>755</v>
      </c>
      <c r="D103" t="s">
        <v>226</v>
      </c>
      <c r="E103" t="s">
        <v>659</v>
      </c>
      <c r="F103">
        <v>6.37</v>
      </c>
      <c r="G103">
        <v>6.52</v>
      </c>
    </row>
    <row r="104" spans="1:7" hidden="1" x14ac:dyDescent="0.25">
      <c r="A104" t="s">
        <v>660</v>
      </c>
      <c r="B104">
        <v>109</v>
      </c>
      <c r="C104" t="s">
        <v>756</v>
      </c>
      <c r="D104" t="s">
        <v>226</v>
      </c>
      <c r="E104" t="s">
        <v>659</v>
      </c>
      <c r="F104">
        <v>3.79</v>
      </c>
      <c r="G104">
        <v>3.88</v>
      </c>
    </row>
    <row r="105" spans="1:7" hidden="1" x14ac:dyDescent="0.25">
      <c r="A105" t="s">
        <v>660</v>
      </c>
      <c r="B105">
        <v>111</v>
      </c>
      <c r="C105" t="s">
        <v>757</v>
      </c>
      <c r="D105" t="s">
        <v>226</v>
      </c>
      <c r="E105" t="s">
        <v>659</v>
      </c>
      <c r="F105">
        <v>8.61</v>
      </c>
      <c r="G105">
        <v>8.82</v>
      </c>
    </row>
    <row r="106" spans="1:7" hidden="1" x14ac:dyDescent="0.25">
      <c r="A106" t="s">
        <v>660</v>
      </c>
      <c r="B106">
        <v>112</v>
      </c>
      <c r="C106" t="s">
        <v>758</v>
      </c>
      <c r="D106" t="s">
        <v>226</v>
      </c>
      <c r="E106" t="s">
        <v>659</v>
      </c>
      <c r="F106">
        <v>4.5599999999999996</v>
      </c>
      <c r="G106">
        <v>4.67</v>
      </c>
    </row>
    <row r="107" spans="1:7" hidden="1" x14ac:dyDescent="0.25">
      <c r="A107" t="s">
        <v>660</v>
      </c>
      <c r="B107">
        <v>113</v>
      </c>
      <c r="C107" t="s">
        <v>759</v>
      </c>
      <c r="D107" t="s">
        <v>226</v>
      </c>
      <c r="E107" t="s">
        <v>659</v>
      </c>
      <c r="F107">
        <v>11.43</v>
      </c>
      <c r="G107">
        <v>11.7</v>
      </c>
    </row>
    <row r="108" spans="1:7" hidden="1" x14ac:dyDescent="0.25">
      <c r="A108" t="s">
        <v>660</v>
      </c>
      <c r="B108">
        <v>104</v>
      </c>
      <c r="C108" t="s">
        <v>760</v>
      </c>
      <c r="D108" t="s">
        <v>226</v>
      </c>
      <c r="E108" t="s">
        <v>659</v>
      </c>
      <c r="F108">
        <v>19.89</v>
      </c>
      <c r="G108">
        <v>20.36</v>
      </c>
    </row>
    <row r="109" spans="1:7" hidden="1" x14ac:dyDescent="0.25">
      <c r="A109" t="s">
        <v>660</v>
      </c>
      <c r="B109">
        <v>102</v>
      </c>
      <c r="C109" t="s">
        <v>761</v>
      </c>
      <c r="D109" t="s">
        <v>226</v>
      </c>
      <c r="E109" t="s">
        <v>659</v>
      </c>
      <c r="F109">
        <v>27.43</v>
      </c>
      <c r="G109">
        <v>28.07</v>
      </c>
    </row>
    <row r="110" spans="1:7" hidden="1" x14ac:dyDescent="0.25">
      <c r="A110" t="s">
        <v>660</v>
      </c>
      <c r="B110">
        <v>95</v>
      </c>
      <c r="C110" t="s">
        <v>762</v>
      </c>
      <c r="D110" t="s">
        <v>226</v>
      </c>
      <c r="E110" t="s">
        <v>659</v>
      </c>
      <c r="F110">
        <v>11.59</v>
      </c>
      <c r="G110">
        <v>11.86</v>
      </c>
    </row>
    <row r="111" spans="1:7" hidden="1" x14ac:dyDescent="0.25">
      <c r="A111" t="s">
        <v>660</v>
      </c>
      <c r="B111">
        <v>96</v>
      </c>
      <c r="C111" t="s">
        <v>763</v>
      </c>
      <c r="D111" t="s">
        <v>226</v>
      </c>
      <c r="E111" t="s">
        <v>659</v>
      </c>
      <c r="F111">
        <v>12.61</v>
      </c>
      <c r="G111">
        <v>12.9</v>
      </c>
    </row>
    <row r="112" spans="1:7" hidden="1" x14ac:dyDescent="0.25">
      <c r="A112" t="s">
        <v>660</v>
      </c>
      <c r="B112">
        <v>97</v>
      </c>
      <c r="C112" t="s">
        <v>764</v>
      </c>
      <c r="D112" t="s">
        <v>226</v>
      </c>
      <c r="E112" t="s">
        <v>659</v>
      </c>
      <c r="F112">
        <v>18.97</v>
      </c>
      <c r="G112">
        <v>19.41</v>
      </c>
    </row>
    <row r="113" spans="1:7" hidden="1" x14ac:dyDescent="0.25">
      <c r="A113" t="s">
        <v>660</v>
      </c>
      <c r="B113">
        <v>98</v>
      </c>
      <c r="C113" t="s">
        <v>765</v>
      </c>
      <c r="D113" t="s">
        <v>226</v>
      </c>
      <c r="E113" t="s">
        <v>659</v>
      </c>
      <c r="F113">
        <v>28.39</v>
      </c>
      <c r="G113">
        <v>29.06</v>
      </c>
    </row>
    <row r="114" spans="1:7" hidden="1" x14ac:dyDescent="0.25">
      <c r="A114" t="s">
        <v>660</v>
      </c>
      <c r="B114">
        <v>99</v>
      </c>
      <c r="C114" t="s">
        <v>766</v>
      </c>
      <c r="D114" t="s">
        <v>226</v>
      </c>
      <c r="E114" t="s">
        <v>659</v>
      </c>
      <c r="F114">
        <v>26.84</v>
      </c>
      <c r="G114">
        <v>27.47</v>
      </c>
    </row>
    <row r="115" spans="1:7" hidden="1" x14ac:dyDescent="0.25">
      <c r="A115" t="s">
        <v>660</v>
      </c>
      <c r="B115">
        <v>60</v>
      </c>
      <c r="C115" t="s">
        <v>767</v>
      </c>
      <c r="D115" t="s">
        <v>226</v>
      </c>
      <c r="E115" t="s">
        <v>659</v>
      </c>
      <c r="F115">
        <v>8.19</v>
      </c>
      <c r="G115">
        <v>5.1100000000000003</v>
      </c>
    </row>
    <row r="116" spans="1:7" hidden="1" x14ac:dyDescent="0.25">
      <c r="A116" t="s">
        <v>660</v>
      </c>
      <c r="B116">
        <v>72</v>
      </c>
      <c r="C116" t="s">
        <v>768</v>
      </c>
      <c r="D116" t="s">
        <v>226</v>
      </c>
      <c r="E116" t="s">
        <v>659</v>
      </c>
      <c r="F116">
        <v>51.47</v>
      </c>
      <c r="G116">
        <v>52.68</v>
      </c>
    </row>
    <row r="117" spans="1:7" hidden="1" x14ac:dyDescent="0.25">
      <c r="A117" t="s">
        <v>660</v>
      </c>
      <c r="B117">
        <v>71</v>
      </c>
      <c r="C117" t="s">
        <v>769</v>
      </c>
      <c r="D117" t="s">
        <v>226</v>
      </c>
      <c r="E117" t="s">
        <v>659</v>
      </c>
      <c r="F117">
        <v>31.79</v>
      </c>
      <c r="G117">
        <v>32.53</v>
      </c>
    </row>
    <row r="118" spans="1:7" hidden="1" x14ac:dyDescent="0.25">
      <c r="A118" t="s">
        <v>660</v>
      </c>
      <c r="B118">
        <v>67</v>
      </c>
      <c r="C118" t="s">
        <v>770</v>
      </c>
      <c r="D118" t="s">
        <v>226</v>
      </c>
      <c r="E118" t="s">
        <v>659</v>
      </c>
      <c r="F118">
        <v>16.64</v>
      </c>
      <c r="G118">
        <v>17.03</v>
      </c>
    </row>
    <row r="119" spans="1:7" hidden="1" x14ac:dyDescent="0.25">
      <c r="A119" t="s">
        <v>660</v>
      </c>
      <c r="B119">
        <v>73</v>
      </c>
      <c r="C119" t="s">
        <v>771</v>
      </c>
      <c r="D119" t="s">
        <v>226</v>
      </c>
      <c r="E119" t="s">
        <v>659</v>
      </c>
      <c r="F119">
        <v>15.92</v>
      </c>
      <c r="G119">
        <v>16.3</v>
      </c>
    </row>
    <row r="120" spans="1:7" hidden="1" x14ac:dyDescent="0.25">
      <c r="A120" t="s">
        <v>660</v>
      </c>
      <c r="B120">
        <v>100</v>
      </c>
      <c r="C120" t="s">
        <v>772</v>
      </c>
      <c r="D120" t="s">
        <v>226</v>
      </c>
      <c r="E120" t="s">
        <v>659</v>
      </c>
      <c r="F120">
        <v>46.89</v>
      </c>
      <c r="G120">
        <v>47.99</v>
      </c>
    </row>
    <row r="121" spans="1:7" hidden="1" x14ac:dyDescent="0.25">
      <c r="A121" t="s">
        <v>660</v>
      </c>
      <c r="B121">
        <v>75</v>
      </c>
      <c r="C121" t="s">
        <v>773</v>
      </c>
      <c r="D121" t="s">
        <v>226</v>
      </c>
      <c r="E121" t="s">
        <v>659</v>
      </c>
      <c r="F121">
        <v>273.36</v>
      </c>
      <c r="G121">
        <v>279.79000000000002</v>
      </c>
    </row>
    <row r="122" spans="1:7" hidden="1" x14ac:dyDescent="0.25">
      <c r="A122" t="s">
        <v>660</v>
      </c>
      <c r="B122">
        <v>83</v>
      </c>
      <c r="C122" t="s">
        <v>774</v>
      </c>
      <c r="D122" t="s">
        <v>226</v>
      </c>
      <c r="E122" t="s">
        <v>659</v>
      </c>
      <c r="F122">
        <v>218.54</v>
      </c>
      <c r="G122">
        <v>223.69</v>
      </c>
    </row>
    <row r="123" spans="1:7" hidden="1" x14ac:dyDescent="0.25">
      <c r="A123" t="s">
        <v>660</v>
      </c>
      <c r="B123">
        <v>74</v>
      </c>
      <c r="C123" t="s">
        <v>775</v>
      </c>
      <c r="D123" t="s">
        <v>226</v>
      </c>
      <c r="E123" t="s">
        <v>659</v>
      </c>
      <c r="F123">
        <v>312.45999999999998</v>
      </c>
      <c r="G123">
        <v>319.81</v>
      </c>
    </row>
    <row r="124" spans="1:7" hidden="1" x14ac:dyDescent="0.25">
      <c r="A124" t="s">
        <v>660</v>
      </c>
      <c r="B124">
        <v>106</v>
      </c>
      <c r="C124" t="s">
        <v>776</v>
      </c>
      <c r="D124" t="s">
        <v>226</v>
      </c>
      <c r="E124" t="s">
        <v>659</v>
      </c>
      <c r="F124">
        <v>395.11</v>
      </c>
      <c r="G124">
        <v>404.41</v>
      </c>
    </row>
    <row r="125" spans="1:7" hidden="1" x14ac:dyDescent="0.25">
      <c r="A125" t="s">
        <v>660</v>
      </c>
      <c r="B125">
        <v>88</v>
      </c>
      <c r="C125" t="s">
        <v>777</v>
      </c>
      <c r="D125" t="s">
        <v>226</v>
      </c>
      <c r="E125" t="s">
        <v>659</v>
      </c>
      <c r="F125">
        <v>11.1</v>
      </c>
      <c r="G125">
        <v>11.36</v>
      </c>
    </row>
    <row r="126" spans="1:7" hidden="1" x14ac:dyDescent="0.25">
      <c r="A126" t="s">
        <v>660</v>
      </c>
      <c r="B126">
        <v>82</v>
      </c>
      <c r="C126" t="s">
        <v>778</v>
      </c>
      <c r="D126" t="s">
        <v>226</v>
      </c>
      <c r="E126" t="s">
        <v>659</v>
      </c>
      <c r="F126">
        <v>207.93</v>
      </c>
      <c r="G126">
        <v>212.82</v>
      </c>
    </row>
    <row r="127" spans="1:7" hidden="1" x14ac:dyDescent="0.25">
      <c r="A127" t="s">
        <v>660</v>
      </c>
      <c r="B127">
        <v>105</v>
      </c>
      <c r="C127" t="s">
        <v>779</v>
      </c>
      <c r="D127" t="s">
        <v>226</v>
      </c>
      <c r="E127" t="s">
        <v>659</v>
      </c>
      <c r="F127">
        <v>294.63</v>
      </c>
      <c r="G127">
        <v>301.56</v>
      </c>
    </row>
    <row r="128" spans="1:7" hidden="1" x14ac:dyDescent="0.25">
      <c r="A128" t="s">
        <v>660</v>
      </c>
      <c r="B128">
        <v>39719</v>
      </c>
      <c r="C128" t="s">
        <v>780</v>
      </c>
      <c r="D128" t="s">
        <v>710</v>
      </c>
      <c r="E128" t="s">
        <v>659</v>
      </c>
      <c r="F128">
        <v>191.75</v>
      </c>
      <c r="G128">
        <v>158.12</v>
      </c>
    </row>
    <row r="129" spans="1:7" hidden="1" x14ac:dyDescent="0.25">
      <c r="A129" t="s">
        <v>660</v>
      </c>
      <c r="B129">
        <v>3410</v>
      </c>
      <c r="C129" t="s">
        <v>781</v>
      </c>
      <c r="D129" t="s">
        <v>708</v>
      </c>
      <c r="E129" t="s">
        <v>659</v>
      </c>
      <c r="F129">
        <v>43.13</v>
      </c>
      <c r="G129">
        <v>35.57</v>
      </c>
    </row>
    <row r="130" spans="1:7" hidden="1" x14ac:dyDescent="0.25">
      <c r="A130" t="s">
        <v>660</v>
      </c>
      <c r="B130">
        <v>4791</v>
      </c>
      <c r="C130" t="s">
        <v>782</v>
      </c>
      <c r="D130" t="s">
        <v>708</v>
      </c>
      <c r="E130" t="s">
        <v>659</v>
      </c>
      <c r="F130">
        <v>53.51</v>
      </c>
      <c r="G130">
        <v>51.96</v>
      </c>
    </row>
    <row r="131" spans="1:7" hidden="1" x14ac:dyDescent="0.25">
      <c r="A131" t="s">
        <v>660</v>
      </c>
      <c r="B131">
        <v>157</v>
      </c>
      <c r="C131" t="s">
        <v>783</v>
      </c>
      <c r="D131" t="s">
        <v>708</v>
      </c>
      <c r="E131" t="s">
        <v>659</v>
      </c>
      <c r="F131">
        <v>134.05000000000001</v>
      </c>
      <c r="G131">
        <v>152.58000000000001</v>
      </c>
    </row>
    <row r="132" spans="1:7" hidden="1" x14ac:dyDescent="0.25">
      <c r="A132" t="s">
        <v>660</v>
      </c>
      <c r="B132">
        <v>156</v>
      </c>
      <c r="C132" t="s">
        <v>784</v>
      </c>
      <c r="D132" t="s">
        <v>708</v>
      </c>
      <c r="E132" t="s">
        <v>659</v>
      </c>
      <c r="F132">
        <v>47.73</v>
      </c>
      <c r="G132">
        <v>54.32</v>
      </c>
    </row>
    <row r="133" spans="1:7" hidden="1" x14ac:dyDescent="0.25">
      <c r="A133" t="s">
        <v>660</v>
      </c>
      <c r="B133">
        <v>131</v>
      </c>
      <c r="C133" t="s">
        <v>785</v>
      </c>
      <c r="D133" t="s">
        <v>708</v>
      </c>
      <c r="E133" t="s">
        <v>659</v>
      </c>
      <c r="F133">
        <v>40.82</v>
      </c>
      <c r="G133">
        <v>46.46</v>
      </c>
    </row>
    <row r="134" spans="1:7" hidden="1" x14ac:dyDescent="0.25">
      <c r="A134" t="s">
        <v>660</v>
      </c>
      <c r="B134">
        <v>21114</v>
      </c>
      <c r="C134" t="s">
        <v>786</v>
      </c>
      <c r="D134" t="s">
        <v>226</v>
      </c>
      <c r="E134" t="s">
        <v>659</v>
      </c>
      <c r="F134">
        <v>37.799999999999997</v>
      </c>
      <c r="G134">
        <v>31.17</v>
      </c>
    </row>
    <row r="135" spans="1:7" hidden="1" x14ac:dyDescent="0.25">
      <c r="A135" t="s">
        <v>660</v>
      </c>
      <c r="B135">
        <v>119</v>
      </c>
      <c r="C135" t="s">
        <v>787</v>
      </c>
      <c r="D135" t="s">
        <v>226</v>
      </c>
      <c r="E135" t="s">
        <v>172</v>
      </c>
      <c r="F135">
        <v>9.58</v>
      </c>
      <c r="G135">
        <v>7.9</v>
      </c>
    </row>
    <row r="136" spans="1:7" hidden="1" x14ac:dyDescent="0.25">
      <c r="A136" t="s">
        <v>660</v>
      </c>
      <c r="B136">
        <v>122</v>
      </c>
      <c r="C136" t="s">
        <v>788</v>
      </c>
      <c r="D136" t="s">
        <v>226</v>
      </c>
      <c r="E136" t="s">
        <v>659</v>
      </c>
      <c r="F136">
        <v>73.709999999999994</v>
      </c>
      <c r="G136">
        <v>60.78</v>
      </c>
    </row>
    <row r="137" spans="1:7" hidden="1" x14ac:dyDescent="0.25">
      <c r="A137" t="s">
        <v>660</v>
      </c>
      <c r="B137">
        <v>20080</v>
      </c>
      <c r="C137" t="s">
        <v>789</v>
      </c>
      <c r="D137" t="s">
        <v>226</v>
      </c>
      <c r="E137" t="s">
        <v>659</v>
      </c>
      <c r="F137">
        <v>24.06</v>
      </c>
      <c r="G137">
        <v>19.84</v>
      </c>
    </row>
    <row r="138" spans="1:7" hidden="1" x14ac:dyDescent="0.25">
      <c r="A138" t="s">
        <v>660</v>
      </c>
      <c r="B138">
        <v>124</v>
      </c>
      <c r="C138" t="s">
        <v>790</v>
      </c>
      <c r="D138" t="s">
        <v>710</v>
      </c>
      <c r="E138" t="s">
        <v>659</v>
      </c>
      <c r="F138">
        <v>15.74</v>
      </c>
      <c r="G138">
        <v>17.91</v>
      </c>
    </row>
    <row r="139" spans="1:7" hidden="1" x14ac:dyDescent="0.25">
      <c r="A139" t="s">
        <v>660</v>
      </c>
      <c r="B139">
        <v>7334</v>
      </c>
      <c r="C139" t="s">
        <v>791</v>
      </c>
      <c r="D139" t="s">
        <v>710</v>
      </c>
      <c r="E139" t="s">
        <v>659</v>
      </c>
      <c r="F139">
        <v>13.49</v>
      </c>
      <c r="G139">
        <v>14.39</v>
      </c>
    </row>
    <row r="140" spans="1:7" hidden="1" x14ac:dyDescent="0.25">
      <c r="A140" t="s">
        <v>660</v>
      </c>
      <c r="B140">
        <v>45146</v>
      </c>
      <c r="C140" t="s">
        <v>792</v>
      </c>
      <c r="D140" t="s">
        <v>708</v>
      </c>
      <c r="E140" t="s">
        <v>659</v>
      </c>
      <c r="F140">
        <v>30.18</v>
      </c>
      <c r="G140">
        <v>34.35</v>
      </c>
    </row>
    <row r="141" spans="1:7" hidden="1" x14ac:dyDescent="0.25">
      <c r="A141" t="s">
        <v>660</v>
      </c>
      <c r="B141">
        <v>123</v>
      </c>
      <c r="C141" t="s">
        <v>793</v>
      </c>
      <c r="D141" t="s">
        <v>710</v>
      </c>
      <c r="E141" t="s">
        <v>172</v>
      </c>
      <c r="F141">
        <v>6.44</v>
      </c>
      <c r="G141">
        <v>7.33</v>
      </c>
    </row>
    <row r="142" spans="1:7" hidden="1" x14ac:dyDescent="0.25">
      <c r="A142" t="s">
        <v>660</v>
      </c>
      <c r="B142">
        <v>127</v>
      </c>
      <c r="C142" t="s">
        <v>794</v>
      </c>
      <c r="D142" t="s">
        <v>710</v>
      </c>
      <c r="E142" t="s">
        <v>659</v>
      </c>
      <c r="F142">
        <v>15.37</v>
      </c>
      <c r="G142">
        <v>17.5</v>
      </c>
    </row>
    <row r="143" spans="1:7" hidden="1" x14ac:dyDescent="0.25">
      <c r="A143" t="s">
        <v>660</v>
      </c>
      <c r="B143">
        <v>133</v>
      </c>
      <c r="C143" t="s">
        <v>795</v>
      </c>
      <c r="D143" t="s">
        <v>710</v>
      </c>
      <c r="E143" t="s">
        <v>659</v>
      </c>
      <c r="F143">
        <v>6.38</v>
      </c>
      <c r="G143">
        <v>7.27</v>
      </c>
    </row>
    <row r="144" spans="1:7" hidden="1" x14ac:dyDescent="0.25">
      <c r="A144" t="s">
        <v>660</v>
      </c>
      <c r="B144">
        <v>43617</v>
      </c>
      <c r="C144" t="s">
        <v>796</v>
      </c>
      <c r="D144" t="s">
        <v>710</v>
      </c>
      <c r="E144" t="s">
        <v>659</v>
      </c>
      <c r="F144">
        <v>7.13</v>
      </c>
      <c r="G144">
        <v>8.1199999999999992</v>
      </c>
    </row>
    <row r="145" spans="1:7" hidden="1" x14ac:dyDescent="0.25">
      <c r="A145" t="s">
        <v>660</v>
      </c>
      <c r="B145">
        <v>132</v>
      </c>
      <c r="C145" t="s">
        <v>797</v>
      </c>
      <c r="D145" t="s">
        <v>710</v>
      </c>
      <c r="E145" t="s">
        <v>659</v>
      </c>
      <c r="F145">
        <v>6.62</v>
      </c>
      <c r="G145">
        <v>7.53</v>
      </c>
    </row>
    <row r="146" spans="1:7" hidden="1" x14ac:dyDescent="0.25">
      <c r="A146" t="s">
        <v>660</v>
      </c>
      <c r="B146">
        <v>43618</v>
      </c>
      <c r="C146" t="s">
        <v>798</v>
      </c>
      <c r="D146" t="s">
        <v>708</v>
      </c>
      <c r="E146" t="s">
        <v>659</v>
      </c>
      <c r="F146">
        <v>16.66</v>
      </c>
      <c r="G146">
        <v>18.97</v>
      </c>
    </row>
    <row r="147" spans="1:7" hidden="1" x14ac:dyDescent="0.25">
      <c r="A147" t="s">
        <v>660</v>
      </c>
      <c r="B147">
        <v>37476</v>
      </c>
      <c r="C147" t="s">
        <v>799</v>
      </c>
      <c r="D147" t="s">
        <v>226</v>
      </c>
      <c r="E147" t="s">
        <v>659</v>
      </c>
      <c r="F147" s="538">
        <v>3910.08</v>
      </c>
      <c r="G147" s="538">
        <v>5058.1499999999996</v>
      </c>
    </row>
    <row r="148" spans="1:7" hidden="1" x14ac:dyDescent="0.25">
      <c r="A148" t="s">
        <v>660</v>
      </c>
      <c r="B148">
        <v>37478</v>
      </c>
      <c r="C148" t="s">
        <v>800</v>
      </c>
      <c r="D148" t="s">
        <v>226</v>
      </c>
      <c r="E148" t="s">
        <v>659</v>
      </c>
      <c r="F148" s="538">
        <v>4897.47</v>
      </c>
      <c r="G148" s="538">
        <v>6335.46</v>
      </c>
    </row>
    <row r="149" spans="1:7" hidden="1" x14ac:dyDescent="0.25">
      <c r="A149" t="s">
        <v>660</v>
      </c>
      <c r="B149">
        <v>37477</v>
      </c>
      <c r="C149" t="s">
        <v>801</v>
      </c>
      <c r="D149" t="s">
        <v>226</v>
      </c>
      <c r="E149" t="s">
        <v>659</v>
      </c>
      <c r="F149" s="538">
        <v>6635.29</v>
      </c>
      <c r="G149" s="538">
        <v>8583.52</v>
      </c>
    </row>
    <row r="150" spans="1:7" hidden="1" x14ac:dyDescent="0.25">
      <c r="A150" t="s">
        <v>660</v>
      </c>
      <c r="B150">
        <v>37479</v>
      </c>
      <c r="C150" t="s">
        <v>802</v>
      </c>
      <c r="D150" t="s">
        <v>226</v>
      </c>
      <c r="E150" t="s">
        <v>659</v>
      </c>
      <c r="F150" s="538">
        <v>7869.53</v>
      </c>
      <c r="G150" s="538">
        <v>10180.16</v>
      </c>
    </row>
    <row r="151" spans="1:7" hidden="1" x14ac:dyDescent="0.25">
      <c r="A151" t="s">
        <v>660</v>
      </c>
      <c r="B151">
        <v>4319</v>
      </c>
      <c r="C151" t="s">
        <v>803</v>
      </c>
      <c r="D151" t="s">
        <v>226</v>
      </c>
      <c r="E151" t="s">
        <v>659</v>
      </c>
      <c r="F151">
        <v>1.74</v>
      </c>
      <c r="G151">
        <v>1.9</v>
      </c>
    </row>
    <row r="152" spans="1:7" hidden="1" x14ac:dyDescent="0.25">
      <c r="A152" t="s">
        <v>660</v>
      </c>
      <c r="B152">
        <v>42409</v>
      </c>
      <c r="C152" t="s">
        <v>804</v>
      </c>
      <c r="D152" t="s">
        <v>708</v>
      </c>
      <c r="E152" t="s">
        <v>659</v>
      </c>
      <c r="F152">
        <v>10.49</v>
      </c>
      <c r="G152">
        <v>11.94</v>
      </c>
    </row>
    <row r="153" spans="1:7" hidden="1" x14ac:dyDescent="0.25">
      <c r="A153" t="s">
        <v>660</v>
      </c>
      <c r="B153">
        <v>40553</v>
      </c>
      <c r="C153" t="s">
        <v>805</v>
      </c>
      <c r="D153" t="s">
        <v>806</v>
      </c>
      <c r="E153" t="s">
        <v>172</v>
      </c>
      <c r="F153">
        <f>G153</f>
        <v>60</v>
      </c>
      <c r="G153">
        <v>60</v>
      </c>
    </row>
    <row r="154" spans="1:7" hidden="1" x14ac:dyDescent="0.25">
      <c r="A154" t="s">
        <v>807</v>
      </c>
      <c r="B154">
        <v>6114</v>
      </c>
      <c r="C154" t="s">
        <v>808</v>
      </c>
      <c r="D154" t="s">
        <v>809</v>
      </c>
      <c r="E154" t="s">
        <v>659</v>
      </c>
      <c r="F154">
        <v>8.41</v>
      </c>
      <c r="G154">
        <v>11.08</v>
      </c>
    </row>
    <row r="155" spans="1:7" hidden="1" x14ac:dyDescent="0.25">
      <c r="A155" t="s">
        <v>807</v>
      </c>
      <c r="B155">
        <v>40912</v>
      </c>
      <c r="C155" t="s">
        <v>810</v>
      </c>
      <c r="D155" t="s">
        <v>811</v>
      </c>
      <c r="E155" t="s">
        <v>659</v>
      </c>
      <c r="F155" s="538">
        <v>1850.59</v>
      </c>
      <c r="G155" s="538">
        <v>2438.1</v>
      </c>
    </row>
    <row r="156" spans="1:7" hidden="1" x14ac:dyDescent="0.25">
      <c r="A156" t="s">
        <v>807</v>
      </c>
      <c r="B156">
        <v>247</v>
      </c>
      <c r="C156" t="s">
        <v>812</v>
      </c>
      <c r="D156" t="s">
        <v>809</v>
      </c>
      <c r="E156" t="s">
        <v>659</v>
      </c>
      <c r="F156">
        <v>8.41</v>
      </c>
      <c r="G156">
        <v>11.08</v>
      </c>
    </row>
    <row r="157" spans="1:7" hidden="1" x14ac:dyDescent="0.25">
      <c r="A157" t="s">
        <v>807</v>
      </c>
      <c r="B157">
        <v>40919</v>
      </c>
      <c r="C157" t="s">
        <v>813</v>
      </c>
      <c r="D157" t="s">
        <v>811</v>
      </c>
      <c r="E157" t="s">
        <v>659</v>
      </c>
      <c r="F157" s="538">
        <v>1850.59</v>
      </c>
      <c r="G157" s="538">
        <v>2438.1</v>
      </c>
    </row>
    <row r="158" spans="1:7" hidden="1" x14ac:dyDescent="0.25">
      <c r="A158" t="s">
        <v>807</v>
      </c>
      <c r="B158">
        <v>44499</v>
      </c>
      <c r="C158" t="s">
        <v>814</v>
      </c>
      <c r="D158" t="s">
        <v>809</v>
      </c>
      <c r="E158" t="s">
        <v>659</v>
      </c>
      <c r="F158">
        <v>8.41</v>
      </c>
      <c r="G158">
        <v>11.08</v>
      </c>
    </row>
    <row r="159" spans="1:7" hidden="1" x14ac:dyDescent="0.25">
      <c r="A159" t="s">
        <v>807</v>
      </c>
      <c r="B159">
        <v>40984</v>
      </c>
      <c r="C159" t="s">
        <v>815</v>
      </c>
      <c r="D159" t="s">
        <v>811</v>
      </c>
      <c r="E159" t="s">
        <v>659</v>
      </c>
      <c r="F159" s="538">
        <v>1850.59</v>
      </c>
      <c r="G159" s="538">
        <v>2438.1</v>
      </c>
    </row>
    <row r="160" spans="1:7" hidden="1" x14ac:dyDescent="0.25">
      <c r="A160" t="s">
        <v>807</v>
      </c>
      <c r="B160">
        <v>248</v>
      </c>
      <c r="C160" t="s">
        <v>816</v>
      </c>
      <c r="D160" t="s">
        <v>809</v>
      </c>
      <c r="E160" t="s">
        <v>659</v>
      </c>
      <c r="F160">
        <v>9.11</v>
      </c>
      <c r="G160">
        <v>9.9499999999999993</v>
      </c>
    </row>
    <row r="161" spans="1:7" hidden="1" x14ac:dyDescent="0.25">
      <c r="A161" t="s">
        <v>807</v>
      </c>
      <c r="B161">
        <v>41086</v>
      </c>
      <c r="C161" t="s">
        <v>817</v>
      </c>
      <c r="D161" t="s">
        <v>811</v>
      </c>
      <c r="E161" t="s">
        <v>659</v>
      </c>
      <c r="F161" s="538">
        <v>2005.7</v>
      </c>
      <c r="G161" s="538">
        <v>2190.19</v>
      </c>
    </row>
    <row r="162" spans="1:7" hidden="1" x14ac:dyDescent="0.25">
      <c r="A162" t="s">
        <v>807</v>
      </c>
      <c r="B162">
        <v>34466</v>
      </c>
      <c r="C162" t="s">
        <v>818</v>
      </c>
      <c r="D162" t="s">
        <v>809</v>
      </c>
      <c r="E162" t="s">
        <v>659</v>
      </c>
      <c r="F162">
        <v>8.41</v>
      </c>
      <c r="G162">
        <v>11.08</v>
      </c>
    </row>
    <row r="163" spans="1:7" hidden="1" x14ac:dyDescent="0.25">
      <c r="A163" t="s">
        <v>807</v>
      </c>
      <c r="B163">
        <v>41083</v>
      </c>
      <c r="C163" t="s">
        <v>819</v>
      </c>
      <c r="D163" t="s">
        <v>811</v>
      </c>
      <c r="E163" t="s">
        <v>659</v>
      </c>
      <c r="F163" s="538">
        <v>1850.59</v>
      </c>
      <c r="G163" s="538">
        <v>2438.1</v>
      </c>
    </row>
    <row r="164" spans="1:7" hidden="1" x14ac:dyDescent="0.25">
      <c r="A164" t="s">
        <v>807</v>
      </c>
      <c r="B164">
        <v>252</v>
      </c>
      <c r="C164" t="s">
        <v>820</v>
      </c>
      <c r="D164" t="s">
        <v>809</v>
      </c>
      <c r="E164" t="s">
        <v>659</v>
      </c>
      <c r="F164">
        <v>8.41</v>
      </c>
      <c r="G164">
        <v>11.08</v>
      </c>
    </row>
    <row r="165" spans="1:7" hidden="1" x14ac:dyDescent="0.25">
      <c r="A165" t="s">
        <v>807</v>
      </c>
      <c r="B165">
        <v>40909</v>
      </c>
      <c r="C165" t="s">
        <v>821</v>
      </c>
      <c r="D165" t="s">
        <v>811</v>
      </c>
      <c r="E165" t="s">
        <v>659</v>
      </c>
      <c r="F165" s="538">
        <v>1850.59</v>
      </c>
      <c r="G165" s="538">
        <v>2438.1</v>
      </c>
    </row>
    <row r="166" spans="1:7" hidden="1" x14ac:dyDescent="0.25">
      <c r="A166" t="s">
        <v>807</v>
      </c>
      <c r="B166">
        <v>242</v>
      </c>
      <c r="C166" t="s">
        <v>822</v>
      </c>
      <c r="D166" t="s">
        <v>809</v>
      </c>
      <c r="E166" t="s">
        <v>659</v>
      </c>
      <c r="F166">
        <v>9.11</v>
      </c>
      <c r="G166">
        <v>10.65</v>
      </c>
    </row>
    <row r="167" spans="1:7" hidden="1" x14ac:dyDescent="0.25">
      <c r="A167" t="s">
        <v>807</v>
      </c>
      <c r="B167">
        <v>41085</v>
      </c>
      <c r="C167" t="s">
        <v>823</v>
      </c>
      <c r="D167" t="s">
        <v>811</v>
      </c>
      <c r="E167" t="s">
        <v>659</v>
      </c>
      <c r="F167" s="538">
        <v>2005.7</v>
      </c>
      <c r="G167" s="538">
        <v>2343.7600000000002</v>
      </c>
    </row>
    <row r="168" spans="1:7" hidden="1" x14ac:dyDescent="0.25">
      <c r="A168" t="s">
        <v>660</v>
      </c>
      <c r="B168">
        <v>427</v>
      </c>
      <c r="C168" t="s">
        <v>824</v>
      </c>
      <c r="D168" t="s">
        <v>226</v>
      </c>
      <c r="E168" t="s">
        <v>659</v>
      </c>
      <c r="F168">
        <f t="shared" ref="F168:F173" si="0">G168</f>
        <v>6.55</v>
      </c>
      <c r="G168">
        <v>6.55</v>
      </c>
    </row>
    <row r="169" spans="1:7" hidden="1" x14ac:dyDescent="0.25">
      <c r="A169" t="s">
        <v>660</v>
      </c>
      <c r="B169">
        <v>417</v>
      </c>
      <c r="C169" t="s">
        <v>825</v>
      </c>
      <c r="D169" t="s">
        <v>226</v>
      </c>
      <c r="E169" t="s">
        <v>659</v>
      </c>
      <c r="F169">
        <f t="shared" si="0"/>
        <v>3.08</v>
      </c>
      <c r="G169">
        <v>3.08</v>
      </c>
    </row>
    <row r="170" spans="1:7" hidden="1" x14ac:dyDescent="0.25">
      <c r="A170" t="s">
        <v>660</v>
      </c>
      <c r="B170">
        <v>11273</v>
      </c>
      <c r="C170" t="s">
        <v>826</v>
      </c>
      <c r="D170" t="s">
        <v>226</v>
      </c>
      <c r="E170" t="s">
        <v>659</v>
      </c>
      <c r="F170">
        <f t="shared" si="0"/>
        <v>9.58</v>
      </c>
      <c r="G170">
        <v>9.58</v>
      </c>
    </row>
    <row r="171" spans="1:7" hidden="1" x14ac:dyDescent="0.25">
      <c r="A171" t="s">
        <v>660</v>
      </c>
      <c r="B171">
        <v>11272</v>
      </c>
      <c r="C171" t="s">
        <v>827</v>
      </c>
      <c r="D171" t="s">
        <v>226</v>
      </c>
      <c r="E171" t="s">
        <v>659</v>
      </c>
      <c r="F171">
        <f t="shared" si="0"/>
        <v>5.78</v>
      </c>
      <c r="G171">
        <v>5.78</v>
      </c>
    </row>
    <row r="172" spans="1:7" hidden="1" x14ac:dyDescent="0.25">
      <c r="A172" t="s">
        <v>660</v>
      </c>
      <c r="B172">
        <v>11275</v>
      </c>
      <c r="C172" t="s">
        <v>828</v>
      </c>
      <c r="D172" t="s">
        <v>226</v>
      </c>
      <c r="E172" t="s">
        <v>659</v>
      </c>
      <c r="F172">
        <f t="shared" si="0"/>
        <v>2.3199999999999998</v>
      </c>
      <c r="G172">
        <v>2.3199999999999998</v>
      </c>
    </row>
    <row r="173" spans="1:7" hidden="1" x14ac:dyDescent="0.25">
      <c r="A173" t="s">
        <v>660</v>
      </c>
      <c r="B173">
        <v>11274</v>
      </c>
      <c r="C173" t="s">
        <v>829</v>
      </c>
      <c r="D173" t="s">
        <v>226</v>
      </c>
      <c r="E173" t="s">
        <v>659</v>
      </c>
      <c r="F173">
        <f t="shared" si="0"/>
        <v>1.77</v>
      </c>
      <c r="G173">
        <v>1.77</v>
      </c>
    </row>
    <row r="174" spans="1:7" hidden="1" x14ac:dyDescent="0.25">
      <c r="A174" t="s">
        <v>660</v>
      </c>
      <c r="B174">
        <v>45208</v>
      </c>
      <c r="C174" t="s">
        <v>830</v>
      </c>
      <c r="D174" t="s">
        <v>226</v>
      </c>
      <c r="E174" t="s">
        <v>659</v>
      </c>
      <c r="F174">
        <v>261.33</v>
      </c>
      <c r="G174">
        <v>218.61</v>
      </c>
    </row>
    <row r="175" spans="1:7" hidden="1" x14ac:dyDescent="0.25">
      <c r="A175" t="s">
        <v>660</v>
      </c>
      <c r="B175">
        <v>45250</v>
      </c>
      <c r="C175" t="s">
        <v>831</v>
      </c>
      <c r="D175" t="s">
        <v>226</v>
      </c>
      <c r="E175" t="s">
        <v>659</v>
      </c>
      <c r="F175">
        <v>42.26</v>
      </c>
      <c r="G175">
        <v>36.53</v>
      </c>
    </row>
    <row r="176" spans="1:7" hidden="1" x14ac:dyDescent="0.25">
      <c r="A176" t="s">
        <v>660</v>
      </c>
      <c r="B176">
        <v>38470</v>
      </c>
      <c r="C176" t="s">
        <v>832</v>
      </c>
      <c r="D176" t="s">
        <v>226</v>
      </c>
      <c r="E176" t="s">
        <v>659</v>
      </c>
      <c r="F176">
        <v>43.26</v>
      </c>
      <c r="G176">
        <v>37.4</v>
      </c>
    </row>
    <row r="177" spans="1:7" hidden="1" x14ac:dyDescent="0.25">
      <c r="A177" t="s">
        <v>660</v>
      </c>
      <c r="B177">
        <v>38547</v>
      </c>
      <c r="C177" t="s">
        <v>833</v>
      </c>
      <c r="D177" t="s">
        <v>226</v>
      </c>
      <c r="E177" t="s">
        <v>659</v>
      </c>
      <c r="F177">
        <v>287.18</v>
      </c>
      <c r="G177">
        <v>248.25</v>
      </c>
    </row>
    <row r="178" spans="1:7" hidden="1" x14ac:dyDescent="0.25">
      <c r="A178" t="s">
        <v>660</v>
      </c>
      <c r="B178">
        <v>38467</v>
      </c>
      <c r="C178" t="s">
        <v>834</v>
      </c>
      <c r="D178" t="s">
        <v>226</v>
      </c>
      <c r="E178" t="s">
        <v>659</v>
      </c>
      <c r="F178">
        <v>168.04</v>
      </c>
      <c r="G178">
        <v>142.30000000000001</v>
      </c>
    </row>
    <row r="179" spans="1:7" hidden="1" x14ac:dyDescent="0.25">
      <c r="A179" t="s">
        <v>660</v>
      </c>
      <c r="B179">
        <v>38468</v>
      </c>
      <c r="C179" t="s">
        <v>835</v>
      </c>
      <c r="D179" t="s">
        <v>226</v>
      </c>
      <c r="E179" t="s">
        <v>659</v>
      </c>
      <c r="F179">
        <v>209.76</v>
      </c>
      <c r="G179">
        <v>177.63</v>
      </c>
    </row>
    <row r="180" spans="1:7" hidden="1" x14ac:dyDescent="0.25">
      <c r="A180" t="s">
        <v>660</v>
      </c>
      <c r="B180">
        <v>38469</v>
      </c>
      <c r="C180" t="s">
        <v>836</v>
      </c>
      <c r="D180" t="s">
        <v>226</v>
      </c>
      <c r="E180" t="s">
        <v>659</v>
      </c>
      <c r="F180">
        <v>274.20999999999998</v>
      </c>
      <c r="G180">
        <v>237.04</v>
      </c>
    </row>
    <row r="181" spans="1:7" hidden="1" x14ac:dyDescent="0.25">
      <c r="A181" t="s">
        <v>660</v>
      </c>
      <c r="B181">
        <v>45197</v>
      </c>
      <c r="C181" t="s">
        <v>837</v>
      </c>
      <c r="D181" t="s">
        <v>226</v>
      </c>
      <c r="E181" t="s">
        <v>659</v>
      </c>
      <c r="F181">
        <v>218.69</v>
      </c>
      <c r="G181">
        <v>189.05</v>
      </c>
    </row>
    <row r="182" spans="1:7" hidden="1" x14ac:dyDescent="0.25">
      <c r="A182" t="s">
        <v>660</v>
      </c>
      <c r="B182">
        <v>38471</v>
      </c>
      <c r="C182" t="s">
        <v>838</v>
      </c>
      <c r="D182" t="s">
        <v>226</v>
      </c>
      <c r="E182" t="s">
        <v>659</v>
      </c>
      <c r="F182">
        <v>293.27999999999997</v>
      </c>
      <c r="G182">
        <v>253.52</v>
      </c>
    </row>
    <row r="183" spans="1:7" hidden="1" x14ac:dyDescent="0.25">
      <c r="A183" t="s">
        <v>660</v>
      </c>
      <c r="B183">
        <v>45206</v>
      </c>
      <c r="C183" t="s">
        <v>839</v>
      </c>
      <c r="D183" t="s">
        <v>226</v>
      </c>
      <c r="E183" t="s">
        <v>659</v>
      </c>
      <c r="F183">
        <v>57.94</v>
      </c>
      <c r="G183">
        <v>50.09</v>
      </c>
    </row>
    <row r="184" spans="1:7" hidden="1" x14ac:dyDescent="0.25">
      <c r="A184" t="s">
        <v>660</v>
      </c>
      <c r="B184">
        <v>37370</v>
      </c>
      <c r="C184" t="s">
        <v>840</v>
      </c>
      <c r="D184" t="s">
        <v>809</v>
      </c>
      <c r="E184" t="s">
        <v>172</v>
      </c>
      <c r="F184">
        <v>2.12</v>
      </c>
      <c r="G184">
        <v>4.33</v>
      </c>
    </row>
    <row r="185" spans="1:7" hidden="1" x14ac:dyDescent="0.25">
      <c r="A185" t="s">
        <v>660</v>
      </c>
      <c r="B185">
        <v>40862</v>
      </c>
      <c r="C185" t="s">
        <v>841</v>
      </c>
      <c r="D185" t="s">
        <v>811</v>
      </c>
      <c r="E185" t="s">
        <v>172</v>
      </c>
      <c r="F185">
        <v>399.66</v>
      </c>
      <c r="G185">
        <v>817.31</v>
      </c>
    </row>
    <row r="186" spans="1:7" hidden="1" x14ac:dyDescent="0.25">
      <c r="A186" t="s">
        <v>842</v>
      </c>
      <c r="B186">
        <v>10658</v>
      </c>
      <c r="C186" t="s">
        <v>843</v>
      </c>
      <c r="D186" t="s">
        <v>226</v>
      </c>
      <c r="E186" t="s">
        <v>172</v>
      </c>
      <c r="F186">
        <f>G186</f>
        <v>10408.950000000001</v>
      </c>
      <c r="G186" s="538">
        <v>10408.950000000001</v>
      </c>
    </row>
    <row r="187" spans="1:7" hidden="1" x14ac:dyDescent="0.25">
      <c r="A187" t="s">
        <v>807</v>
      </c>
      <c r="B187">
        <v>253</v>
      </c>
      <c r="C187" t="s">
        <v>844</v>
      </c>
      <c r="D187" t="s">
        <v>809</v>
      </c>
      <c r="E187" t="s">
        <v>172</v>
      </c>
      <c r="F187">
        <v>11.13</v>
      </c>
      <c r="G187">
        <v>17.68</v>
      </c>
    </row>
    <row r="188" spans="1:7" hidden="1" x14ac:dyDescent="0.25">
      <c r="A188" t="s">
        <v>807</v>
      </c>
      <c r="B188">
        <v>40809</v>
      </c>
      <c r="C188" t="s">
        <v>845</v>
      </c>
      <c r="D188" t="s">
        <v>811</v>
      </c>
      <c r="E188" t="s">
        <v>659</v>
      </c>
      <c r="F188" s="538">
        <v>2448.6</v>
      </c>
      <c r="G188" s="538">
        <v>3889.6</v>
      </c>
    </row>
    <row r="189" spans="1:7" hidden="1" x14ac:dyDescent="0.25">
      <c r="A189" t="s">
        <v>660</v>
      </c>
      <c r="B189">
        <v>42428</v>
      </c>
      <c r="C189" t="s">
        <v>846</v>
      </c>
      <c r="D189" t="s">
        <v>226</v>
      </c>
      <c r="E189" t="s">
        <v>172</v>
      </c>
      <c r="F189">
        <f>G189</f>
        <v>2271</v>
      </c>
      <c r="G189" s="538">
        <v>2271</v>
      </c>
    </row>
    <row r="190" spans="1:7" hidden="1" x14ac:dyDescent="0.25">
      <c r="A190" t="s">
        <v>660</v>
      </c>
      <c r="B190">
        <v>301</v>
      </c>
      <c r="C190" t="s">
        <v>847</v>
      </c>
      <c r="D190" t="s">
        <v>226</v>
      </c>
      <c r="E190" t="s">
        <v>172</v>
      </c>
      <c r="F190">
        <v>3</v>
      </c>
      <c r="G190">
        <v>2.89</v>
      </c>
    </row>
    <row r="191" spans="1:7" hidden="1" x14ac:dyDescent="0.25">
      <c r="A191" t="s">
        <v>660</v>
      </c>
      <c r="B191">
        <v>296</v>
      </c>
      <c r="C191" t="s">
        <v>848</v>
      </c>
      <c r="D191" t="s">
        <v>226</v>
      </c>
      <c r="E191" t="s">
        <v>659</v>
      </c>
      <c r="F191">
        <v>1.69</v>
      </c>
      <c r="G191">
        <v>1.63</v>
      </c>
    </row>
    <row r="192" spans="1:7" hidden="1" x14ac:dyDescent="0.25">
      <c r="A192" t="s">
        <v>660</v>
      </c>
      <c r="B192">
        <v>297</v>
      </c>
      <c r="C192" t="s">
        <v>849</v>
      </c>
      <c r="D192" t="s">
        <v>226</v>
      </c>
      <c r="E192" t="s">
        <v>659</v>
      </c>
      <c r="F192">
        <v>2.4900000000000002</v>
      </c>
      <c r="G192">
        <v>2.4</v>
      </c>
    </row>
    <row r="193" spans="1:7" hidden="1" x14ac:dyDescent="0.25">
      <c r="A193" t="s">
        <v>660</v>
      </c>
      <c r="B193">
        <v>299</v>
      </c>
      <c r="C193" t="s">
        <v>850</v>
      </c>
      <c r="D193" t="s">
        <v>226</v>
      </c>
      <c r="E193" t="s">
        <v>659</v>
      </c>
      <c r="F193">
        <v>3.52</v>
      </c>
      <c r="G193">
        <v>3.39</v>
      </c>
    </row>
    <row r="194" spans="1:7" hidden="1" x14ac:dyDescent="0.25">
      <c r="A194" t="s">
        <v>660</v>
      </c>
      <c r="B194">
        <v>300</v>
      </c>
      <c r="C194" t="s">
        <v>851</v>
      </c>
      <c r="D194" t="s">
        <v>226</v>
      </c>
      <c r="E194" t="s">
        <v>659</v>
      </c>
      <c r="F194">
        <v>12.18</v>
      </c>
      <c r="G194">
        <v>11.73</v>
      </c>
    </row>
    <row r="195" spans="1:7" hidden="1" x14ac:dyDescent="0.25">
      <c r="A195" t="s">
        <v>660</v>
      </c>
      <c r="B195">
        <v>20085</v>
      </c>
      <c r="C195" t="s">
        <v>852</v>
      </c>
      <c r="D195" t="s">
        <v>226</v>
      </c>
      <c r="E195" t="s">
        <v>659</v>
      </c>
      <c r="F195">
        <v>2.2200000000000002</v>
      </c>
      <c r="G195">
        <v>2.14</v>
      </c>
    </row>
    <row r="196" spans="1:7" hidden="1" x14ac:dyDescent="0.25">
      <c r="A196" t="s">
        <v>660</v>
      </c>
      <c r="B196">
        <v>298</v>
      </c>
      <c r="C196" t="s">
        <v>853</v>
      </c>
      <c r="D196" t="s">
        <v>226</v>
      </c>
      <c r="E196" t="s">
        <v>659</v>
      </c>
      <c r="F196">
        <v>2.7</v>
      </c>
      <c r="G196">
        <v>2.6</v>
      </c>
    </row>
    <row r="197" spans="1:7" hidden="1" x14ac:dyDescent="0.25">
      <c r="A197" t="s">
        <v>660</v>
      </c>
      <c r="B197">
        <v>311</v>
      </c>
      <c r="C197" t="s">
        <v>854</v>
      </c>
      <c r="D197" t="s">
        <v>226</v>
      </c>
      <c r="E197" t="s">
        <v>659</v>
      </c>
      <c r="F197">
        <v>10.039999999999999</v>
      </c>
      <c r="G197">
        <v>9.67</v>
      </c>
    </row>
    <row r="198" spans="1:7" hidden="1" x14ac:dyDescent="0.25">
      <c r="A198" t="s">
        <v>660</v>
      </c>
      <c r="B198">
        <v>318</v>
      </c>
      <c r="C198" t="s">
        <v>855</v>
      </c>
      <c r="D198" t="s">
        <v>226</v>
      </c>
      <c r="E198" t="s">
        <v>659</v>
      </c>
      <c r="F198">
        <v>20.22</v>
      </c>
      <c r="G198">
        <v>19.48</v>
      </c>
    </row>
    <row r="199" spans="1:7" hidden="1" x14ac:dyDescent="0.25">
      <c r="A199" t="s">
        <v>660</v>
      </c>
      <c r="B199">
        <v>319</v>
      </c>
      <c r="C199" t="s">
        <v>856</v>
      </c>
      <c r="D199" t="s">
        <v>226</v>
      </c>
      <c r="E199" t="s">
        <v>659</v>
      </c>
      <c r="F199">
        <v>31.71</v>
      </c>
      <c r="G199">
        <v>30.55</v>
      </c>
    </row>
    <row r="200" spans="1:7" hidden="1" x14ac:dyDescent="0.25">
      <c r="A200" t="s">
        <v>660</v>
      </c>
      <c r="B200">
        <v>303</v>
      </c>
      <c r="C200" t="s">
        <v>857</v>
      </c>
      <c r="D200" t="s">
        <v>226</v>
      </c>
      <c r="E200" t="s">
        <v>659</v>
      </c>
      <c r="F200">
        <v>3.32</v>
      </c>
      <c r="G200">
        <v>3.2</v>
      </c>
    </row>
    <row r="201" spans="1:7" hidden="1" x14ac:dyDescent="0.25">
      <c r="A201" t="s">
        <v>660</v>
      </c>
      <c r="B201">
        <v>305</v>
      </c>
      <c r="C201" t="s">
        <v>858</v>
      </c>
      <c r="D201" t="s">
        <v>226</v>
      </c>
      <c r="E201" t="s">
        <v>659</v>
      </c>
      <c r="F201">
        <v>10.45</v>
      </c>
      <c r="G201">
        <v>10.07</v>
      </c>
    </row>
    <row r="202" spans="1:7" hidden="1" x14ac:dyDescent="0.25">
      <c r="A202" t="s">
        <v>660</v>
      </c>
      <c r="B202">
        <v>306</v>
      </c>
      <c r="C202" t="s">
        <v>859</v>
      </c>
      <c r="D202" t="s">
        <v>226</v>
      </c>
      <c r="E202" t="s">
        <v>659</v>
      </c>
      <c r="F202">
        <v>15.85</v>
      </c>
      <c r="G202">
        <v>15.27</v>
      </c>
    </row>
    <row r="203" spans="1:7" hidden="1" x14ac:dyDescent="0.25">
      <c r="A203" t="s">
        <v>660</v>
      </c>
      <c r="B203">
        <v>307</v>
      </c>
      <c r="C203" t="s">
        <v>860</v>
      </c>
      <c r="D203" t="s">
        <v>226</v>
      </c>
      <c r="E203" t="s">
        <v>659</v>
      </c>
      <c r="F203">
        <v>40.06</v>
      </c>
      <c r="G203">
        <v>38.590000000000003</v>
      </c>
    </row>
    <row r="204" spans="1:7" hidden="1" x14ac:dyDescent="0.25">
      <c r="A204" t="s">
        <v>660</v>
      </c>
      <c r="B204">
        <v>309</v>
      </c>
      <c r="C204" t="s">
        <v>861</v>
      </c>
      <c r="D204" t="s">
        <v>226</v>
      </c>
      <c r="E204" t="s">
        <v>659</v>
      </c>
      <c r="F204">
        <v>65.62</v>
      </c>
      <c r="G204">
        <v>63.21</v>
      </c>
    </row>
    <row r="205" spans="1:7" hidden="1" x14ac:dyDescent="0.25">
      <c r="A205" t="s">
        <v>660</v>
      </c>
      <c r="B205">
        <v>310</v>
      </c>
      <c r="C205" t="s">
        <v>862</v>
      </c>
      <c r="D205" t="s">
        <v>226</v>
      </c>
      <c r="E205" t="s">
        <v>659</v>
      </c>
      <c r="F205">
        <v>90.95</v>
      </c>
      <c r="G205">
        <v>87.61</v>
      </c>
    </row>
    <row r="206" spans="1:7" hidden="1" x14ac:dyDescent="0.25">
      <c r="A206" t="s">
        <v>660</v>
      </c>
      <c r="B206">
        <v>308</v>
      </c>
      <c r="C206" t="s">
        <v>863</v>
      </c>
      <c r="D206" t="s">
        <v>226</v>
      </c>
      <c r="E206" t="s">
        <v>659</v>
      </c>
      <c r="F206">
        <v>89.4</v>
      </c>
      <c r="G206">
        <v>86.13</v>
      </c>
    </row>
    <row r="207" spans="1:7" hidden="1" x14ac:dyDescent="0.25">
      <c r="A207" t="s">
        <v>660</v>
      </c>
      <c r="B207">
        <v>328</v>
      </c>
      <c r="C207" t="s">
        <v>864</v>
      </c>
      <c r="D207" t="s">
        <v>226</v>
      </c>
      <c r="E207" t="s">
        <v>659</v>
      </c>
      <c r="F207">
        <v>7.95</v>
      </c>
      <c r="G207">
        <v>7.66</v>
      </c>
    </row>
    <row r="208" spans="1:7" hidden="1" x14ac:dyDescent="0.25">
      <c r="A208" t="s">
        <v>660</v>
      </c>
      <c r="B208">
        <v>325</v>
      </c>
      <c r="C208" t="s">
        <v>865</v>
      </c>
      <c r="D208" t="s">
        <v>226</v>
      </c>
      <c r="E208" t="s">
        <v>659</v>
      </c>
      <c r="F208">
        <v>2.34</v>
      </c>
      <c r="G208">
        <v>2.2599999999999998</v>
      </c>
    </row>
    <row r="209" spans="1:7" hidden="1" x14ac:dyDescent="0.25">
      <c r="A209" t="s">
        <v>660</v>
      </c>
      <c r="B209">
        <v>20326</v>
      </c>
      <c r="C209" t="s">
        <v>866</v>
      </c>
      <c r="D209" t="s">
        <v>226</v>
      </c>
      <c r="E209" t="s">
        <v>659</v>
      </c>
      <c r="F209">
        <v>4.29</v>
      </c>
      <c r="G209">
        <v>4.13</v>
      </c>
    </row>
    <row r="210" spans="1:7" hidden="1" x14ac:dyDescent="0.25">
      <c r="A210" t="s">
        <v>660</v>
      </c>
      <c r="B210">
        <v>329</v>
      </c>
      <c r="C210" t="s">
        <v>867</v>
      </c>
      <c r="D210" t="s">
        <v>226</v>
      </c>
      <c r="E210" t="s">
        <v>659</v>
      </c>
      <c r="F210">
        <v>6.65</v>
      </c>
      <c r="G210">
        <v>6.4</v>
      </c>
    </row>
    <row r="211" spans="1:7" hidden="1" x14ac:dyDescent="0.25">
      <c r="A211" t="s">
        <v>660</v>
      </c>
      <c r="B211">
        <v>39642</v>
      </c>
      <c r="C211" t="s">
        <v>868</v>
      </c>
      <c r="D211" t="s">
        <v>226</v>
      </c>
      <c r="E211" t="s">
        <v>659</v>
      </c>
      <c r="F211">
        <v>2.94</v>
      </c>
      <c r="G211">
        <v>2.84</v>
      </c>
    </row>
    <row r="212" spans="1:7" hidden="1" x14ac:dyDescent="0.25">
      <c r="A212" t="s">
        <v>660</v>
      </c>
      <c r="B212">
        <v>39641</v>
      </c>
      <c r="C212" t="s">
        <v>869</v>
      </c>
      <c r="D212" t="s">
        <v>226</v>
      </c>
      <c r="E212" t="s">
        <v>659</v>
      </c>
      <c r="F212">
        <v>2.58</v>
      </c>
      <c r="G212">
        <v>2.4900000000000002</v>
      </c>
    </row>
    <row r="213" spans="1:7" hidden="1" x14ac:dyDescent="0.25">
      <c r="A213" t="s">
        <v>660</v>
      </c>
      <c r="B213">
        <v>39643</v>
      </c>
      <c r="C213" t="s">
        <v>870</v>
      </c>
      <c r="D213" t="s">
        <v>226</v>
      </c>
      <c r="E213" t="s">
        <v>659</v>
      </c>
      <c r="F213">
        <v>3.46</v>
      </c>
      <c r="G213">
        <v>3.33</v>
      </c>
    </row>
    <row r="214" spans="1:7" hidden="1" x14ac:dyDescent="0.25">
      <c r="A214" t="s">
        <v>660</v>
      </c>
      <c r="B214">
        <v>39644</v>
      </c>
      <c r="C214" t="s">
        <v>871</v>
      </c>
      <c r="D214" t="s">
        <v>226</v>
      </c>
      <c r="E214" t="s">
        <v>659</v>
      </c>
      <c r="F214">
        <v>5.36</v>
      </c>
      <c r="G214">
        <v>5.16</v>
      </c>
    </row>
    <row r="215" spans="1:7" hidden="1" x14ac:dyDescent="0.25">
      <c r="A215" t="s">
        <v>660</v>
      </c>
      <c r="B215">
        <v>39645</v>
      </c>
      <c r="C215" t="s">
        <v>872</v>
      </c>
      <c r="D215" t="s">
        <v>226</v>
      </c>
      <c r="E215" t="s">
        <v>659</v>
      </c>
      <c r="F215">
        <v>5.88</v>
      </c>
      <c r="G215">
        <v>5.66</v>
      </c>
    </row>
    <row r="216" spans="1:7" hidden="1" x14ac:dyDescent="0.25">
      <c r="A216" t="s">
        <v>660</v>
      </c>
      <c r="B216">
        <v>41610</v>
      </c>
      <c r="C216" t="s">
        <v>873</v>
      </c>
      <c r="D216" t="s">
        <v>226</v>
      </c>
      <c r="E216" t="s">
        <v>659</v>
      </c>
      <c r="F216">
        <v>725.41</v>
      </c>
      <c r="G216">
        <v>938.41</v>
      </c>
    </row>
    <row r="217" spans="1:7" hidden="1" x14ac:dyDescent="0.25">
      <c r="A217" t="s">
        <v>660</v>
      </c>
      <c r="B217">
        <v>41611</v>
      </c>
      <c r="C217" t="s">
        <v>874</v>
      </c>
      <c r="D217" t="s">
        <v>226</v>
      </c>
      <c r="E217" t="s">
        <v>659</v>
      </c>
      <c r="F217" s="538">
        <v>1143.4000000000001</v>
      </c>
      <c r="G217" s="538">
        <v>1479.12</v>
      </c>
    </row>
    <row r="218" spans="1:7" hidden="1" x14ac:dyDescent="0.25">
      <c r="A218" t="s">
        <v>660</v>
      </c>
      <c r="B218">
        <v>41612</v>
      </c>
      <c r="C218" t="s">
        <v>875</v>
      </c>
      <c r="D218" t="s">
        <v>226</v>
      </c>
      <c r="E218" t="s">
        <v>659</v>
      </c>
      <c r="F218" s="538">
        <v>1605.5</v>
      </c>
      <c r="G218" s="538">
        <v>2076.9</v>
      </c>
    </row>
    <row r="219" spans="1:7" hidden="1" x14ac:dyDescent="0.25">
      <c r="A219" t="s">
        <v>660</v>
      </c>
      <c r="B219">
        <v>41637</v>
      </c>
      <c r="C219" t="s">
        <v>876</v>
      </c>
      <c r="D219" t="s">
        <v>226</v>
      </c>
      <c r="E219" t="s">
        <v>659</v>
      </c>
      <c r="F219">
        <v>150.08000000000001</v>
      </c>
      <c r="G219">
        <v>194.15</v>
      </c>
    </row>
    <row r="220" spans="1:7" hidden="1" x14ac:dyDescent="0.25">
      <c r="A220" t="s">
        <v>660</v>
      </c>
      <c r="B220">
        <v>41638</v>
      </c>
      <c r="C220" t="s">
        <v>877</v>
      </c>
      <c r="D220" t="s">
        <v>226</v>
      </c>
      <c r="E220" t="s">
        <v>659</v>
      </c>
      <c r="F220">
        <v>195.5</v>
      </c>
      <c r="G220">
        <v>252.9</v>
      </c>
    </row>
    <row r="221" spans="1:7" hidden="1" x14ac:dyDescent="0.25">
      <c r="A221" t="s">
        <v>660</v>
      </c>
      <c r="B221">
        <v>41639</v>
      </c>
      <c r="C221" t="s">
        <v>878</v>
      </c>
      <c r="D221" t="s">
        <v>226</v>
      </c>
      <c r="E221" t="s">
        <v>659</v>
      </c>
      <c r="F221">
        <v>472.96</v>
      </c>
      <c r="G221">
        <v>611.83000000000004</v>
      </c>
    </row>
    <row r="222" spans="1:7" hidden="1" x14ac:dyDescent="0.25">
      <c r="A222" t="s">
        <v>660</v>
      </c>
      <c r="B222">
        <v>11789</v>
      </c>
      <c r="C222" t="s">
        <v>879</v>
      </c>
      <c r="D222" t="s">
        <v>226</v>
      </c>
      <c r="E222" t="s">
        <v>659</v>
      </c>
      <c r="F222">
        <f>G222</f>
        <v>0.87</v>
      </c>
      <c r="G222">
        <v>0.87</v>
      </c>
    </row>
    <row r="223" spans="1:7" hidden="1" x14ac:dyDescent="0.25">
      <c r="A223" t="s">
        <v>660</v>
      </c>
      <c r="B223">
        <v>20975</v>
      </c>
      <c r="C223" t="s">
        <v>880</v>
      </c>
      <c r="D223" t="s">
        <v>226</v>
      </c>
      <c r="E223" t="s">
        <v>659</v>
      </c>
      <c r="F223">
        <v>10.65</v>
      </c>
      <c r="G223">
        <v>22.67</v>
      </c>
    </row>
    <row r="224" spans="1:7" hidden="1" x14ac:dyDescent="0.25">
      <c r="A224" t="s">
        <v>660</v>
      </c>
      <c r="B224">
        <v>20976</v>
      </c>
      <c r="C224" t="s">
        <v>881</v>
      </c>
      <c r="D224" t="s">
        <v>226</v>
      </c>
      <c r="E224" t="s">
        <v>659</v>
      </c>
      <c r="F224">
        <v>16.09</v>
      </c>
      <c r="G224">
        <v>34.25</v>
      </c>
    </row>
    <row r="225" spans="1:7" hidden="1" x14ac:dyDescent="0.25">
      <c r="A225" t="s">
        <v>660</v>
      </c>
      <c r="B225">
        <v>6138</v>
      </c>
      <c r="C225" t="s">
        <v>882</v>
      </c>
      <c r="D225" t="s">
        <v>226</v>
      </c>
      <c r="E225" t="s">
        <v>659</v>
      </c>
      <c r="F225">
        <v>11.06</v>
      </c>
      <c r="G225">
        <v>11.03</v>
      </c>
    </row>
    <row r="226" spans="1:7" hidden="1" x14ac:dyDescent="0.25">
      <c r="A226" t="s">
        <v>660</v>
      </c>
      <c r="B226">
        <v>40340</v>
      </c>
      <c r="C226" t="s">
        <v>883</v>
      </c>
      <c r="D226" t="s">
        <v>226</v>
      </c>
      <c r="E226" t="s">
        <v>659</v>
      </c>
      <c r="F226">
        <v>22.07</v>
      </c>
      <c r="G226">
        <v>21.26</v>
      </c>
    </row>
    <row r="227" spans="1:7" hidden="1" x14ac:dyDescent="0.25">
      <c r="A227" t="s">
        <v>660</v>
      </c>
      <c r="B227">
        <v>40341</v>
      </c>
      <c r="C227" t="s">
        <v>884</v>
      </c>
      <c r="D227" t="s">
        <v>226</v>
      </c>
      <c r="E227" t="s">
        <v>659</v>
      </c>
      <c r="F227">
        <v>26.34</v>
      </c>
      <c r="G227">
        <v>25.37</v>
      </c>
    </row>
    <row r="228" spans="1:7" hidden="1" x14ac:dyDescent="0.25">
      <c r="A228" t="s">
        <v>660</v>
      </c>
      <c r="B228">
        <v>40342</v>
      </c>
      <c r="C228" t="s">
        <v>885</v>
      </c>
      <c r="D228" t="s">
        <v>226</v>
      </c>
      <c r="E228" t="s">
        <v>659</v>
      </c>
      <c r="F228">
        <v>31.41</v>
      </c>
      <c r="G228">
        <v>30.26</v>
      </c>
    </row>
    <row r="229" spans="1:7" hidden="1" x14ac:dyDescent="0.25">
      <c r="A229" t="s">
        <v>660</v>
      </c>
      <c r="B229">
        <v>40343</v>
      </c>
      <c r="C229" t="s">
        <v>886</v>
      </c>
      <c r="D229" t="s">
        <v>226</v>
      </c>
      <c r="E229" t="s">
        <v>659</v>
      </c>
      <c r="F229">
        <v>37.26</v>
      </c>
      <c r="G229">
        <v>35.89</v>
      </c>
    </row>
    <row r="230" spans="1:7" hidden="1" x14ac:dyDescent="0.25">
      <c r="A230" t="s">
        <v>660</v>
      </c>
      <c r="B230">
        <v>40344</v>
      </c>
      <c r="C230" t="s">
        <v>887</v>
      </c>
      <c r="D230" t="s">
        <v>226</v>
      </c>
      <c r="E230" t="s">
        <v>659</v>
      </c>
      <c r="F230">
        <v>50.79</v>
      </c>
      <c r="G230">
        <v>48.93</v>
      </c>
    </row>
    <row r="231" spans="1:7" hidden="1" x14ac:dyDescent="0.25">
      <c r="A231" t="s">
        <v>660</v>
      </c>
      <c r="B231">
        <v>40345</v>
      </c>
      <c r="C231" t="s">
        <v>888</v>
      </c>
      <c r="D231" t="s">
        <v>226</v>
      </c>
      <c r="E231" t="s">
        <v>659</v>
      </c>
      <c r="F231">
        <v>62.58</v>
      </c>
      <c r="G231">
        <v>60.29</v>
      </c>
    </row>
    <row r="232" spans="1:7" hidden="1" x14ac:dyDescent="0.25">
      <c r="A232" t="s">
        <v>660</v>
      </c>
      <c r="B232">
        <v>40346</v>
      </c>
      <c r="C232" t="s">
        <v>889</v>
      </c>
      <c r="D232" t="s">
        <v>226</v>
      </c>
      <c r="E232" t="s">
        <v>659</v>
      </c>
      <c r="F232">
        <v>72.599999999999994</v>
      </c>
      <c r="G232">
        <v>69.930000000000007</v>
      </c>
    </row>
    <row r="233" spans="1:7" hidden="1" x14ac:dyDescent="0.25">
      <c r="A233" t="s">
        <v>660</v>
      </c>
      <c r="B233">
        <v>40347</v>
      </c>
      <c r="C233" t="s">
        <v>890</v>
      </c>
      <c r="D233" t="s">
        <v>226</v>
      </c>
      <c r="E233" t="s">
        <v>659</v>
      </c>
      <c r="F233">
        <v>91.21</v>
      </c>
      <c r="G233">
        <v>87.87</v>
      </c>
    </row>
    <row r="234" spans="1:7" hidden="1" x14ac:dyDescent="0.25">
      <c r="A234" t="s">
        <v>660</v>
      </c>
      <c r="B234">
        <v>43424</v>
      </c>
      <c r="C234" t="s">
        <v>891</v>
      </c>
      <c r="D234" t="s">
        <v>226</v>
      </c>
      <c r="E234" t="s">
        <v>659</v>
      </c>
      <c r="F234">
        <v>607.78</v>
      </c>
      <c r="G234">
        <v>786.23</v>
      </c>
    </row>
    <row r="235" spans="1:7" hidden="1" x14ac:dyDescent="0.25">
      <c r="A235" t="s">
        <v>660</v>
      </c>
      <c r="B235">
        <v>43426</v>
      </c>
      <c r="C235" t="s">
        <v>892</v>
      </c>
      <c r="D235" t="s">
        <v>226</v>
      </c>
      <c r="E235" t="s">
        <v>659</v>
      </c>
      <c r="F235" s="538">
        <v>2096.23</v>
      </c>
      <c r="G235" s="538">
        <v>2711.73</v>
      </c>
    </row>
    <row r="236" spans="1:7" hidden="1" x14ac:dyDescent="0.25">
      <c r="A236" t="s">
        <v>660</v>
      </c>
      <c r="B236">
        <v>12565</v>
      </c>
      <c r="C236" t="s">
        <v>893</v>
      </c>
      <c r="D236" t="s">
        <v>226</v>
      </c>
      <c r="E236" t="s">
        <v>659</v>
      </c>
      <c r="F236">
        <v>735.12</v>
      </c>
      <c r="G236">
        <v>950.97</v>
      </c>
    </row>
    <row r="237" spans="1:7" hidden="1" x14ac:dyDescent="0.25">
      <c r="A237" t="s">
        <v>660</v>
      </c>
      <c r="B237">
        <v>12567</v>
      </c>
      <c r="C237" t="s">
        <v>894</v>
      </c>
      <c r="D237" t="s">
        <v>226</v>
      </c>
      <c r="E237" t="s">
        <v>659</v>
      </c>
      <c r="F237">
        <v>987.39</v>
      </c>
      <c r="G237" s="538">
        <v>1277.31</v>
      </c>
    </row>
    <row r="238" spans="1:7" hidden="1" x14ac:dyDescent="0.25">
      <c r="A238" t="s">
        <v>660</v>
      </c>
      <c r="B238">
        <v>12568</v>
      </c>
      <c r="C238" t="s">
        <v>895</v>
      </c>
      <c r="D238" t="s">
        <v>226</v>
      </c>
      <c r="E238" t="s">
        <v>659</v>
      </c>
      <c r="F238" s="538">
        <v>1382.35</v>
      </c>
      <c r="G238" s="538">
        <v>1788.23</v>
      </c>
    </row>
    <row r="239" spans="1:7" hidden="1" x14ac:dyDescent="0.25">
      <c r="A239" t="s">
        <v>660</v>
      </c>
      <c r="B239">
        <v>43441</v>
      </c>
      <c r="C239" t="s">
        <v>896</v>
      </c>
      <c r="D239" t="s">
        <v>226</v>
      </c>
      <c r="E239" t="s">
        <v>659</v>
      </c>
      <c r="F239">
        <v>177.73</v>
      </c>
      <c r="G239">
        <v>229.91</v>
      </c>
    </row>
    <row r="240" spans="1:7" hidden="1" x14ac:dyDescent="0.25">
      <c r="A240" t="s">
        <v>660</v>
      </c>
      <c r="B240">
        <v>43423</v>
      </c>
      <c r="C240" t="s">
        <v>897</v>
      </c>
      <c r="D240" t="s">
        <v>226</v>
      </c>
      <c r="E240" t="s">
        <v>659</v>
      </c>
      <c r="F240">
        <v>82.94</v>
      </c>
      <c r="G240">
        <v>107.29</v>
      </c>
    </row>
    <row r="241" spans="1:7" hidden="1" x14ac:dyDescent="0.25">
      <c r="A241" t="s">
        <v>660</v>
      </c>
      <c r="B241">
        <v>12532</v>
      </c>
      <c r="C241" t="s">
        <v>898</v>
      </c>
      <c r="D241" t="s">
        <v>226</v>
      </c>
      <c r="E241" t="s">
        <v>659</v>
      </c>
      <c r="F241">
        <v>127.91</v>
      </c>
      <c r="G241">
        <v>165.47</v>
      </c>
    </row>
    <row r="242" spans="1:7" hidden="1" x14ac:dyDescent="0.25">
      <c r="A242" t="s">
        <v>660</v>
      </c>
      <c r="B242">
        <v>43444</v>
      </c>
      <c r="C242" t="s">
        <v>899</v>
      </c>
      <c r="D242" t="s">
        <v>226</v>
      </c>
      <c r="E242" t="s">
        <v>659</v>
      </c>
      <c r="F242">
        <v>429.51</v>
      </c>
      <c r="G242">
        <v>555.63</v>
      </c>
    </row>
    <row r="243" spans="1:7" hidden="1" x14ac:dyDescent="0.25">
      <c r="A243" t="s">
        <v>660</v>
      </c>
      <c r="B243">
        <v>12551</v>
      </c>
      <c r="C243" t="s">
        <v>900</v>
      </c>
      <c r="D243" t="s">
        <v>226</v>
      </c>
      <c r="E243" t="s">
        <v>659</v>
      </c>
      <c r="F243">
        <v>306.44</v>
      </c>
      <c r="G243">
        <v>396.42</v>
      </c>
    </row>
    <row r="244" spans="1:7" hidden="1" x14ac:dyDescent="0.25">
      <c r="A244" t="s">
        <v>660</v>
      </c>
      <c r="B244">
        <v>43442</v>
      </c>
      <c r="C244" t="s">
        <v>901</v>
      </c>
      <c r="D244" t="s">
        <v>226</v>
      </c>
      <c r="E244" t="s">
        <v>659</v>
      </c>
      <c r="F244">
        <v>236.97</v>
      </c>
      <c r="G244">
        <v>306.55</v>
      </c>
    </row>
    <row r="245" spans="1:7" hidden="1" x14ac:dyDescent="0.25">
      <c r="A245" t="s">
        <v>660</v>
      </c>
      <c r="B245">
        <v>43443</v>
      </c>
      <c r="C245" t="s">
        <v>902</v>
      </c>
      <c r="D245" t="s">
        <v>226</v>
      </c>
      <c r="E245" t="s">
        <v>659</v>
      </c>
      <c r="F245">
        <v>311.02</v>
      </c>
      <c r="G245">
        <v>402.35</v>
      </c>
    </row>
    <row r="246" spans="1:7" hidden="1" x14ac:dyDescent="0.25">
      <c r="A246" t="s">
        <v>660</v>
      </c>
      <c r="B246">
        <v>12544</v>
      </c>
      <c r="C246" t="s">
        <v>903</v>
      </c>
      <c r="D246" t="s">
        <v>226</v>
      </c>
      <c r="E246" t="s">
        <v>659</v>
      </c>
      <c r="F246">
        <v>167.85</v>
      </c>
      <c r="G246">
        <v>217.14</v>
      </c>
    </row>
    <row r="247" spans="1:7" hidden="1" x14ac:dyDescent="0.25">
      <c r="A247" t="s">
        <v>660</v>
      </c>
      <c r="B247">
        <v>12547</v>
      </c>
      <c r="C247" t="s">
        <v>904</v>
      </c>
      <c r="D247" t="s">
        <v>226</v>
      </c>
      <c r="E247" t="s">
        <v>659</v>
      </c>
      <c r="F247">
        <v>225.75</v>
      </c>
      <c r="G247">
        <v>292.04000000000002</v>
      </c>
    </row>
    <row r="248" spans="1:7" hidden="1" x14ac:dyDescent="0.25">
      <c r="A248" t="s">
        <v>660</v>
      </c>
      <c r="B248">
        <v>43445</v>
      </c>
      <c r="C248" t="s">
        <v>905</v>
      </c>
      <c r="D248" t="s">
        <v>226</v>
      </c>
      <c r="E248" t="s">
        <v>659</v>
      </c>
      <c r="F248">
        <v>592.42999999999995</v>
      </c>
      <c r="G248">
        <v>766.38</v>
      </c>
    </row>
    <row r="249" spans="1:7" hidden="1" x14ac:dyDescent="0.25">
      <c r="A249" t="s">
        <v>660</v>
      </c>
      <c r="B249">
        <v>12563</v>
      </c>
      <c r="C249" t="s">
        <v>906</v>
      </c>
      <c r="D249" t="s">
        <v>226</v>
      </c>
      <c r="E249" t="s">
        <v>659</v>
      </c>
      <c r="F249">
        <v>423.86</v>
      </c>
      <c r="G249">
        <v>548.32000000000005</v>
      </c>
    </row>
    <row r="250" spans="1:7" hidden="1" x14ac:dyDescent="0.25">
      <c r="A250" t="s">
        <v>660</v>
      </c>
      <c r="B250">
        <v>43425</v>
      </c>
      <c r="C250" t="s">
        <v>907</v>
      </c>
      <c r="D250" t="s">
        <v>226</v>
      </c>
      <c r="E250" t="s">
        <v>659</v>
      </c>
      <c r="F250">
        <v>266.58999999999997</v>
      </c>
      <c r="G250">
        <v>344.87</v>
      </c>
    </row>
    <row r="251" spans="1:7" hidden="1" x14ac:dyDescent="0.25">
      <c r="A251" t="s">
        <v>660</v>
      </c>
      <c r="B251">
        <v>43446</v>
      </c>
      <c r="C251" t="s">
        <v>908</v>
      </c>
      <c r="D251" t="s">
        <v>226</v>
      </c>
      <c r="E251" t="s">
        <v>659</v>
      </c>
      <c r="F251">
        <v>562.80999999999995</v>
      </c>
      <c r="G251">
        <v>728.06</v>
      </c>
    </row>
    <row r="252" spans="1:7" hidden="1" x14ac:dyDescent="0.25">
      <c r="A252" t="s">
        <v>660</v>
      </c>
      <c r="B252">
        <v>43447</v>
      </c>
      <c r="C252" t="s">
        <v>909</v>
      </c>
      <c r="D252" t="s">
        <v>226</v>
      </c>
      <c r="E252" t="s">
        <v>659</v>
      </c>
      <c r="F252">
        <v>691.17</v>
      </c>
      <c r="G252">
        <v>894.11</v>
      </c>
    </row>
    <row r="253" spans="1:7" hidden="1" x14ac:dyDescent="0.25">
      <c r="A253" t="s">
        <v>660</v>
      </c>
      <c r="B253">
        <v>43448</v>
      </c>
      <c r="C253" t="s">
        <v>910</v>
      </c>
      <c r="D253" t="s">
        <v>226</v>
      </c>
      <c r="E253" t="s">
        <v>659</v>
      </c>
      <c r="F253">
        <v>967.64</v>
      </c>
      <c r="G253" s="538">
        <v>1251.76</v>
      </c>
    </row>
    <row r="254" spans="1:7" hidden="1" x14ac:dyDescent="0.25">
      <c r="A254" t="s">
        <v>660</v>
      </c>
      <c r="B254">
        <v>13761</v>
      </c>
      <c r="C254" t="s">
        <v>911</v>
      </c>
      <c r="D254" t="s">
        <v>226</v>
      </c>
      <c r="E254" t="s">
        <v>659</v>
      </c>
      <c r="F254" s="538">
        <v>4234.9799999999996</v>
      </c>
      <c r="G254" s="538">
        <v>3586.38</v>
      </c>
    </row>
    <row r="255" spans="1:7" hidden="1" x14ac:dyDescent="0.25">
      <c r="A255" t="s">
        <v>660</v>
      </c>
      <c r="B255">
        <v>4814</v>
      </c>
      <c r="C255" t="s">
        <v>912</v>
      </c>
      <c r="D255" t="s">
        <v>226</v>
      </c>
      <c r="E255" t="s">
        <v>659</v>
      </c>
      <c r="F255">
        <v>55.27</v>
      </c>
      <c r="G255">
        <v>50.85</v>
      </c>
    </row>
    <row r="256" spans="1:7" hidden="1" x14ac:dyDescent="0.25">
      <c r="A256" t="s">
        <v>842</v>
      </c>
      <c r="B256">
        <v>44473</v>
      </c>
      <c r="C256" t="s">
        <v>913</v>
      </c>
      <c r="D256" t="s">
        <v>226</v>
      </c>
      <c r="E256" t="s">
        <v>659</v>
      </c>
      <c r="F256">
        <f>G256</f>
        <v>2222.91</v>
      </c>
      <c r="G256" s="538">
        <v>2222.91</v>
      </c>
    </row>
    <row r="257" spans="1:7" hidden="1" x14ac:dyDescent="0.25">
      <c r="A257" t="s">
        <v>807</v>
      </c>
      <c r="B257">
        <v>6122</v>
      </c>
      <c r="C257" t="s">
        <v>914</v>
      </c>
      <c r="D257" t="s">
        <v>809</v>
      </c>
      <c r="E257" t="s">
        <v>659</v>
      </c>
      <c r="F257">
        <v>9.67</v>
      </c>
      <c r="G257">
        <v>18.32</v>
      </c>
    </row>
    <row r="258" spans="1:7" hidden="1" x14ac:dyDescent="0.25">
      <c r="A258" t="s">
        <v>807</v>
      </c>
      <c r="B258">
        <v>40810</v>
      </c>
      <c r="C258" t="s">
        <v>915</v>
      </c>
      <c r="D258" t="s">
        <v>811</v>
      </c>
      <c r="E258" t="s">
        <v>659</v>
      </c>
      <c r="F258" s="538">
        <v>2128.5500000000002</v>
      </c>
      <c r="G258" s="538">
        <v>4032.31</v>
      </c>
    </row>
    <row r="259" spans="1:7" hidden="1" x14ac:dyDescent="0.25">
      <c r="A259" t="s">
        <v>842</v>
      </c>
      <c r="B259">
        <v>21100</v>
      </c>
      <c r="C259" t="s">
        <v>916</v>
      </c>
      <c r="D259" t="s">
        <v>226</v>
      </c>
      <c r="E259" t="s">
        <v>659</v>
      </c>
      <c r="F259" s="538">
        <v>1997.11</v>
      </c>
      <c r="G259" s="538">
        <v>3845.1</v>
      </c>
    </row>
    <row r="260" spans="1:7" hidden="1" x14ac:dyDescent="0.25">
      <c r="A260" t="s">
        <v>842</v>
      </c>
      <c r="B260">
        <v>11811</v>
      </c>
      <c r="C260" t="s">
        <v>917</v>
      </c>
      <c r="D260" t="s">
        <v>226</v>
      </c>
      <c r="E260" t="s">
        <v>659</v>
      </c>
      <c r="F260" s="538">
        <v>2882.86</v>
      </c>
      <c r="G260" s="538">
        <v>5550.48</v>
      </c>
    </row>
    <row r="261" spans="1:7" hidden="1" x14ac:dyDescent="0.25">
      <c r="A261" t="s">
        <v>842</v>
      </c>
      <c r="B261">
        <v>11816</v>
      </c>
      <c r="C261" t="s">
        <v>918</v>
      </c>
      <c r="D261" t="s">
        <v>226</v>
      </c>
      <c r="E261" t="s">
        <v>172</v>
      </c>
      <c r="F261" s="538">
        <v>2129.5</v>
      </c>
      <c r="G261" s="538">
        <v>4100</v>
      </c>
    </row>
    <row r="262" spans="1:7" hidden="1" x14ac:dyDescent="0.25">
      <c r="A262" t="s">
        <v>842</v>
      </c>
      <c r="B262">
        <v>11814</v>
      </c>
      <c r="C262" t="s">
        <v>919</v>
      </c>
      <c r="D262" t="s">
        <v>226</v>
      </c>
      <c r="E262" t="s">
        <v>659</v>
      </c>
      <c r="F262" s="538">
        <v>4635.38</v>
      </c>
      <c r="G262" s="538">
        <v>8924.67</v>
      </c>
    </row>
    <row r="263" spans="1:7" hidden="1" x14ac:dyDescent="0.25">
      <c r="A263" t="s">
        <v>842</v>
      </c>
      <c r="B263">
        <v>14186</v>
      </c>
      <c r="C263" t="s">
        <v>920</v>
      </c>
      <c r="D263" t="s">
        <v>226</v>
      </c>
      <c r="E263" t="s">
        <v>659</v>
      </c>
      <c r="F263" s="538">
        <v>5820.35</v>
      </c>
      <c r="G263" s="538">
        <v>11206.13</v>
      </c>
    </row>
    <row r="264" spans="1:7" hidden="1" x14ac:dyDescent="0.25">
      <c r="A264" t="s">
        <v>842</v>
      </c>
      <c r="B264">
        <v>14185</v>
      </c>
      <c r="C264" t="s">
        <v>921</v>
      </c>
      <c r="D264" t="s">
        <v>226</v>
      </c>
      <c r="E264" t="s">
        <v>659</v>
      </c>
      <c r="F264" s="538">
        <v>7539.62</v>
      </c>
      <c r="G264" s="538">
        <v>14516.3</v>
      </c>
    </row>
    <row r="265" spans="1:7" x14ac:dyDescent="0.25">
      <c r="A265" t="s">
        <v>842</v>
      </c>
      <c r="B265">
        <v>44498</v>
      </c>
      <c r="C265" t="s">
        <v>922</v>
      </c>
      <c r="D265" t="s">
        <v>226</v>
      </c>
      <c r="E265" t="s">
        <v>659</v>
      </c>
      <c r="F265">
        <f>G265</f>
        <v>385137.15</v>
      </c>
      <c r="G265" s="538">
        <v>385137.15</v>
      </c>
    </row>
    <row r="266" spans="1:7" hidden="1" x14ac:dyDescent="0.25">
      <c r="A266" t="s">
        <v>842</v>
      </c>
      <c r="B266">
        <v>34469</v>
      </c>
      <c r="C266" t="s">
        <v>923</v>
      </c>
      <c r="D266" t="s">
        <v>226</v>
      </c>
      <c r="E266" t="s">
        <v>659</v>
      </c>
      <c r="F266" s="538">
        <v>9612.61</v>
      </c>
      <c r="G266" s="538">
        <v>9750.75</v>
      </c>
    </row>
    <row r="267" spans="1:7" hidden="1" x14ac:dyDescent="0.25">
      <c r="A267" t="s">
        <v>842</v>
      </c>
      <c r="B267">
        <v>34476</v>
      </c>
      <c r="C267" t="s">
        <v>924</v>
      </c>
      <c r="D267" t="s">
        <v>226</v>
      </c>
      <c r="E267" t="s">
        <v>659</v>
      </c>
      <c r="F267" s="538">
        <v>5013.38</v>
      </c>
      <c r="G267" s="538">
        <v>5085.42</v>
      </c>
    </row>
    <row r="268" spans="1:7" hidden="1" x14ac:dyDescent="0.25">
      <c r="A268" t="s">
        <v>842</v>
      </c>
      <c r="B268">
        <v>34477</v>
      </c>
      <c r="C268" t="s">
        <v>925</v>
      </c>
      <c r="D268" t="s">
        <v>226</v>
      </c>
      <c r="E268" t="s">
        <v>659</v>
      </c>
      <c r="F268" s="538">
        <v>6653.73</v>
      </c>
      <c r="G268" s="538">
        <v>6749.34</v>
      </c>
    </row>
    <row r="269" spans="1:7" hidden="1" x14ac:dyDescent="0.25">
      <c r="A269" t="s">
        <v>842</v>
      </c>
      <c r="B269">
        <v>34482</v>
      </c>
      <c r="C269" t="s">
        <v>926</v>
      </c>
      <c r="D269" t="s">
        <v>226</v>
      </c>
      <c r="E269" t="s">
        <v>659</v>
      </c>
      <c r="F269" s="538">
        <v>6214.21</v>
      </c>
      <c r="G269" s="538">
        <v>6303.51</v>
      </c>
    </row>
    <row r="270" spans="1:7" hidden="1" x14ac:dyDescent="0.25">
      <c r="A270" t="s">
        <v>842</v>
      </c>
      <c r="B270">
        <v>34472</v>
      </c>
      <c r="C270" t="s">
        <v>927</v>
      </c>
      <c r="D270" t="s">
        <v>226</v>
      </c>
      <c r="E270" t="s">
        <v>172</v>
      </c>
      <c r="F270" s="538">
        <v>2957.5</v>
      </c>
      <c r="G270" s="538">
        <v>3000</v>
      </c>
    </row>
    <row r="271" spans="1:7" hidden="1" x14ac:dyDescent="0.25">
      <c r="A271" t="s">
        <v>842</v>
      </c>
      <c r="B271">
        <v>42425</v>
      </c>
      <c r="C271" t="s">
        <v>928</v>
      </c>
      <c r="D271" t="s">
        <v>226</v>
      </c>
      <c r="E271" t="s">
        <v>659</v>
      </c>
      <c r="F271" s="538">
        <v>2384.25</v>
      </c>
      <c r="G271" s="538">
        <v>2547.79</v>
      </c>
    </row>
    <row r="272" spans="1:7" hidden="1" x14ac:dyDescent="0.25">
      <c r="A272" t="s">
        <v>842</v>
      </c>
      <c r="B272">
        <v>42422</v>
      </c>
      <c r="C272" t="s">
        <v>929</v>
      </c>
      <c r="D272" t="s">
        <v>226</v>
      </c>
      <c r="E272" t="s">
        <v>172</v>
      </c>
      <c r="F272" s="538">
        <v>3539.5</v>
      </c>
      <c r="G272" s="538">
        <v>3782.28</v>
      </c>
    </row>
    <row r="273" spans="1:7" hidden="1" x14ac:dyDescent="0.25">
      <c r="A273" t="s">
        <v>842</v>
      </c>
      <c r="B273">
        <v>43184</v>
      </c>
      <c r="C273" t="s">
        <v>930</v>
      </c>
      <c r="D273" t="s">
        <v>226</v>
      </c>
      <c r="E273" t="s">
        <v>659</v>
      </c>
      <c r="F273" s="538">
        <v>4891.93</v>
      </c>
      <c r="G273" s="538">
        <v>5227.47</v>
      </c>
    </row>
    <row r="274" spans="1:7" hidden="1" x14ac:dyDescent="0.25">
      <c r="A274" t="s">
        <v>842</v>
      </c>
      <c r="B274">
        <v>42424</v>
      </c>
      <c r="C274" t="s">
        <v>931</v>
      </c>
      <c r="D274" t="s">
        <v>226</v>
      </c>
      <c r="E274" t="s">
        <v>659</v>
      </c>
      <c r="F274" s="538">
        <v>2129.34</v>
      </c>
      <c r="G274" s="538">
        <v>2275.4</v>
      </c>
    </row>
    <row r="275" spans="1:7" hidden="1" x14ac:dyDescent="0.25">
      <c r="A275" t="s">
        <v>842</v>
      </c>
      <c r="B275">
        <v>42416</v>
      </c>
      <c r="C275" t="s">
        <v>932</v>
      </c>
      <c r="D275" t="s">
        <v>226</v>
      </c>
      <c r="E275" t="s">
        <v>659</v>
      </c>
      <c r="F275" s="538">
        <v>9179.35</v>
      </c>
      <c r="G275" s="538">
        <v>9808.98</v>
      </c>
    </row>
    <row r="276" spans="1:7" hidden="1" x14ac:dyDescent="0.25">
      <c r="A276" t="s">
        <v>842</v>
      </c>
      <c r="B276">
        <v>42417</v>
      </c>
      <c r="C276" t="s">
        <v>933</v>
      </c>
      <c r="D276" t="s">
        <v>226</v>
      </c>
      <c r="E276" t="s">
        <v>659</v>
      </c>
      <c r="F276" s="538">
        <v>10290.81</v>
      </c>
      <c r="G276" s="538">
        <v>10996.67</v>
      </c>
    </row>
    <row r="277" spans="1:7" hidden="1" x14ac:dyDescent="0.25">
      <c r="A277" t="s">
        <v>842</v>
      </c>
      <c r="B277">
        <v>42419</v>
      </c>
      <c r="C277" t="s">
        <v>934</v>
      </c>
      <c r="D277" t="s">
        <v>226</v>
      </c>
      <c r="E277" t="s">
        <v>659</v>
      </c>
      <c r="F277" s="538">
        <v>11626.43</v>
      </c>
      <c r="G277" s="538">
        <v>12423.9</v>
      </c>
    </row>
    <row r="278" spans="1:7" hidden="1" x14ac:dyDescent="0.25">
      <c r="A278" t="s">
        <v>842</v>
      </c>
      <c r="B278">
        <v>42420</v>
      </c>
      <c r="C278" t="s">
        <v>935</v>
      </c>
      <c r="D278" t="s">
        <v>226</v>
      </c>
      <c r="E278" t="s">
        <v>659</v>
      </c>
      <c r="F278" s="538">
        <v>15979.66</v>
      </c>
      <c r="G278" s="538">
        <v>17075.73</v>
      </c>
    </row>
    <row r="279" spans="1:7" hidden="1" x14ac:dyDescent="0.25">
      <c r="A279" t="s">
        <v>842</v>
      </c>
      <c r="B279">
        <v>42421</v>
      </c>
      <c r="C279" t="s">
        <v>936</v>
      </c>
      <c r="D279" t="s">
        <v>226</v>
      </c>
      <c r="E279" t="s">
        <v>659</v>
      </c>
      <c r="F279" s="538">
        <v>19387.439999999999</v>
      </c>
      <c r="G279" s="538">
        <v>20717.25</v>
      </c>
    </row>
    <row r="280" spans="1:7" hidden="1" x14ac:dyDescent="0.25">
      <c r="A280" t="s">
        <v>842</v>
      </c>
      <c r="B280">
        <v>39556</v>
      </c>
      <c r="C280" t="s">
        <v>937</v>
      </c>
      <c r="D280" t="s">
        <v>226</v>
      </c>
      <c r="E280" t="s">
        <v>659</v>
      </c>
      <c r="F280" s="538">
        <v>6732.82</v>
      </c>
      <c r="G280" s="538">
        <v>7194.64</v>
      </c>
    </row>
    <row r="281" spans="1:7" hidden="1" x14ac:dyDescent="0.25">
      <c r="A281" t="s">
        <v>842</v>
      </c>
      <c r="B281">
        <v>39557</v>
      </c>
      <c r="C281" t="s">
        <v>938</v>
      </c>
      <c r="D281" t="s">
        <v>226</v>
      </c>
      <c r="E281" t="s">
        <v>659</v>
      </c>
      <c r="F281" s="538">
        <v>7249.78</v>
      </c>
      <c r="G281" s="538">
        <v>7747.05</v>
      </c>
    </row>
    <row r="282" spans="1:7" hidden="1" x14ac:dyDescent="0.25">
      <c r="A282" t="s">
        <v>842</v>
      </c>
      <c r="B282">
        <v>39559</v>
      </c>
      <c r="C282" t="s">
        <v>939</v>
      </c>
      <c r="D282" t="s">
        <v>226</v>
      </c>
      <c r="E282" t="s">
        <v>659</v>
      </c>
      <c r="F282" s="538">
        <v>10713.78</v>
      </c>
      <c r="G282" s="538">
        <v>11448.66</v>
      </c>
    </row>
    <row r="283" spans="1:7" hidden="1" x14ac:dyDescent="0.25">
      <c r="A283" t="s">
        <v>842</v>
      </c>
      <c r="B283">
        <v>39560</v>
      </c>
      <c r="C283" t="s">
        <v>940</v>
      </c>
      <c r="D283" t="s">
        <v>226</v>
      </c>
      <c r="E283" t="s">
        <v>659</v>
      </c>
      <c r="F283" s="538">
        <v>12394.8</v>
      </c>
      <c r="G283" s="538">
        <v>13244.98</v>
      </c>
    </row>
    <row r="284" spans="1:7" hidden="1" x14ac:dyDescent="0.25">
      <c r="A284" t="s">
        <v>842</v>
      </c>
      <c r="B284">
        <v>39561</v>
      </c>
      <c r="C284" t="s">
        <v>941</v>
      </c>
      <c r="D284" t="s">
        <v>226</v>
      </c>
      <c r="E284" t="s">
        <v>659</v>
      </c>
      <c r="F284" s="538">
        <v>12966.54</v>
      </c>
      <c r="G284" s="538">
        <v>13855.94</v>
      </c>
    </row>
    <row r="285" spans="1:7" hidden="1" x14ac:dyDescent="0.25">
      <c r="A285" t="s">
        <v>842</v>
      </c>
      <c r="B285">
        <v>43195</v>
      </c>
      <c r="C285" t="s">
        <v>942</v>
      </c>
      <c r="D285" t="s">
        <v>226</v>
      </c>
      <c r="E285" t="s">
        <v>659</v>
      </c>
      <c r="F285" s="538">
        <v>5626.67</v>
      </c>
      <c r="G285" s="538">
        <v>6012.61</v>
      </c>
    </row>
    <row r="286" spans="1:7" hidden="1" x14ac:dyDescent="0.25">
      <c r="A286" t="s">
        <v>842</v>
      </c>
      <c r="B286">
        <v>43196</v>
      </c>
      <c r="C286" t="s">
        <v>943</v>
      </c>
      <c r="D286" t="s">
        <v>226</v>
      </c>
      <c r="E286" t="s">
        <v>659</v>
      </c>
      <c r="F286" s="538">
        <v>6973.44</v>
      </c>
      <c r="G286" s="538">
        <v>7451.76</v>
      </c>
    </row>
    <row r="287" spans="1:7" hidden="1" x14ac:dyDescent="0.25">
      <c r="A287" t="s">
        <v>842</v>
      </c>
      <c r="B287">
        <v>43198</v>
      </c>
      <c r="C287" t="s">
        <v>944</v>
      </c>
      <c r="D287" t="s">
        <v>226</v>
      </c>
      <c r="E287" t="s">
        <v>659</v>
      </c>
      <c r="F287" s="538">
        <v>10362.370000000001</v>
      </c>
      <c r="G287" s="538">
        <v>11073.15</v>
      </c>
    </row>
    <row r="288" spans="1:7" hidden="1" x14ac:dyDescent="0.25">
      <c r="A288" t="s">
        <v>842</v>
      </c>
      <c r="B288">
        <v>43199</v>
      </c>
      <c r="C288" t="s">
        <v>945</v>
      </c>
      <c r="D288" t="s">
        <v>226</v>
      </c>
      <c r="E288" t="s">
        <v>659</v>
      </c>
      <c r="F288" s="538">
        <v>10742.09</v>
      </c>
      <c r="G288" s="538">
        <v>11478.9</v>
      </c>
    </row>
    <row r="289" spans="1:7" hidden="1" x14ac:dyDescent="0.25">
      <c r="A289" t="s">
        <v>842</v>
      </c>
      <c r="B289">
        <v>43200</v>
      </c>
      <c r="C289" t="s">
        <v>946</v>
      </c>
      <c r="D289" t="s">
        <v>226</v>
      </c>
      <c r="E289" t="s">
        <v>659</v>
      </c>
      <c r="F289" s="538">
        <v>12327.33</v>
      </c>
      <c r="G289" s="538">
        <v>13172.88</v>
      </c>
    </row>
    <row r="290" spans="1:7" hidden="1" x14ac:dyDescent="0.25">
      <c r="A290" t="s">
        <v>842</v>
      </c>
      <c r="B290">
        <v>43190</v>
      </c>
      <c r="C290" t="s">
        <v>947</v>
      </c>
      <c r="D290" t="s">
        <v>226</v>
      </c>
      <c r="E290" t="s">
        <v>659</v>
      </c>
      <c r="F290" s="538">
        <v>1913.52</v>
      </c>
      <c r="G290" s="538">
        <v>2044.77</v>
      </c>
    </row>
    <row r="291" spans="1:7" hidden="1" x14ac:dyDescent="0.25">
      <c r="A291" t="s">
        <v>842</v>
      </c>
      <c r="B291">
        <v>39555</v>
      </c>
      <c r="C291" t="s">
        <v>948</v>
      </c>
      <c r="D291" t="s">
        <v>226</v>
      </c>
      <c r="E291" t="s">
        <v>659</v>
      </c>
      <c r="F291" s="538">
        <v>2069.9299999999998</v>
      </c>
      <c r="G291" s="538">
        <v>2211.91</v>
      </c>
    </row>
    <row r="292" spans="1:7" hidden="1" x14ac:dyDescent="0.25">
      <c r="A292" t="s">
        <v>842</v>
      </c>
      <c r="B292">
        <v>43191</v>
      </c>
      <c r="C292" t="s">
        <v>949</v>
      </c>
      <c r="D292" t="s">
        <v>226</v>
      </c>
      <c r="E292" t="s">
        <v>659</v>
      </c>
      <c r="F292" s="538">
        <v>2753.29</v>
      </c>
      <c r="G292" s="538">
        <v>2942.15</v>
      </c>
    </row>
    <row r="293" spans="1:7" hidden="1" x14ac:dyDescent="0.25">
      <c r="A293" t="s">
        <v>842</v>
      </c>
      <c r="B293">
        <v>39548</v>
      </c>
      <c r="C293" t="s">
        <v>950</v>
      </c>
      <c r="D293" t="s">
        <v>226</v>
      </c>
      <c r="E293" t="s">
        <v>659</v>
      </c>
      <c r="F293" s="538">
        <v>3070.35</v>
      </c>
      <c r="G293" s="538">
        <v>3280.95</v>
      </c>
    </row>
    <row r="294" spans="1:7" hidden="1" x14ac:dyDescent="0.25">
      <c r="A294" t="s">
        <v>842</v>
      </c>
      <c r="B294">
        <v>43192</v>
      </c>
      <c r="C294" t="s">
        <v>951</v>
      </c>
      <c r="D294" t="s">
        <v>226</v>
      </c>
      <c r="E294" t="s">
        <v>659</v>
      </c>
      <c r="F294" s="538">
        <v>3606.57</v>
      </c>
      <c r="G294" s="538">
        <v>3853.95</v>
      </c>
    </row>
    <row r="295" spans="1:7" hidden="1" x14ac:dyDescent="0.25">
      <c r="A295" t="s">
        <v>842</v>
      </c>
      <c r="B295">
        <v>39554</v>
      </c>
      <c r="C295" t="s">
        <v>952</v>
      </c>
      <c r="D295" t="s">
        <v>226</v>
      </c>
      <c r="E295" t="s">
        <v>659</v>
      </c>
      <c r="F295" s="538">
        <v>4060.08</v>
      </c>
      <c r="G295" s="538">
        <v>4338.57</v>
      </c>
    </row>
    <row r="296" spans="1:7" hidden="1" x14ac:dyDescent="0.25">
      <c r="A296" t="s">
        <v>842</v>
      </c>
      <c r="B296">
        <v>43194</v>
      </c>
      <c r="C296" t="s">
        <v>953</v>
      </c>
      <c r="D296" t="s">
        <v>226</v>
      </c>
      <c r="E296" t="s">
        <v>659</v>
      </c>
      <c r="F296" s="538">
        <v>1639.25</v>
      </c>
      <c r="G296" s="538">
        <v>1751.69</v>
      </c>
    </row>
    <row r="297" spans="1:7" hidden="1" x14ac:dyDescent="0.25">
      <c r="A297" t="s">
        <v>842</v>
      </c>
      <c r="B297">
        <v>39551</v>
      </c>
      <c r="C297" t="s">
        <v>954</v>
      </c>
      <c r="D297" t="s">
        <v>226</v>
      </c>
      <c r="E297" t="s">
        <v>659</v>
      </c>
      <c r="F297" s="538">
        <v>1804.99</v>
      </c>
      <c r="G297" s="538">
        <v>1928.8</v>
      </c>
    </row>
    <row r="298" spans="1:7" hidden="1" x14ac:dyDescent="0.25">
      <c r="A298" t="s">
        <v>842</v>
      </c>
      <c r="B298">
        <v>43185</v>
      </c>
      <c r="C298" t="s">
        <v>955</v>
      </c>
      <c r="D298" t="s">
        <v>226</v>
      </c>
      <c r="E298" t="s">
        <v>659</v>
      </c>
      <c r="F298" s="538">
        <v>5129.47</v>
      </c>
      <c r="G298" s="538">
        <v>5481.31</v>
      </c>
    </row>
    <row r="299" spans="1:7" hidden="1" x14ac:dyDescent="0.25">
      <c r="A299" t="s">
        <v>842</v>
      </c>
      <c r="B299">
        <v>43186</v>
      </c>
      <c r="C299" t="s">
        <v>956</v>
      </c>
      <c r="D299" t="s">
        <v>226</v>
      </c>
      <c r="E299" t="s">
        <v>659</v>
      </c>
      <c r="F299" s="538">
        <v>5410.55</v>
      </c>
      <c r="G299" s="538">
        <v>5781.67</v>
      </c>
    </row>
    <row r="300" spans="1:7" hidden="1" x14ac:dyDescent="0.25">
      <c r="A300" t="s">
        <v>842</v>
      </c>
      <c r="B300">
        <v>43187</v>
      </c>
      <c r="C300" t="s">
        <v>957</v>
      </c>
      <c r="D300" t="s">
        <v>226</v>
      </c>
      <c r="E300" t="s">
        <v>659</v>
      </c>
      <c r="F300" s="538">
        <v>7179.86</v>
      </c>
      <c r="G300" s="538">
        <v>7672.34</v>
      </c>
    </row>
    <row r="301" spans="1:7" hidden="1" x14ac:dyDescent="0.25">
      <c r="A301" t="s">
        <v>842</v>
      </c>
      <c r="B301">
        <v>43188</v>
      </c>
      <c r="C301" t="s">
        <v>958</v>
      </c>
      <c r="D301" t="s">
        <v>226</v>
      </c>
      <c r="E301" t="s">
        <v>659</v>
      </c>
      <c r="F301" s="538">
        <v>8699.35</v>
      </c>
      <c r="G301" s="538">
        <v>9296.0499999999993</v>
      </c>
    </row>
    <row r="302" spans="1:7" hidden="1" x14ac:dyDescent="0.25">
      <c r="A302" t="s">
        <v>842</v>
      </c>
      <c r="B302">
        <v>43189</v>
      </c>
      <c r="C302" t="s">
        <v>959</v>
      </c>
      <c r="D302" t="s">
        <v>226</v>
      </c>
      <c r="E302" t="s">
        <v>659</v>
      </c>
      <c r="F302" s="538">
        <v>9785.32</v>
      </c>
      <c r="G302" s="538">
        <v>10456.51</v>
      </c>
    </row>
    <row r="303" spans="1:7" hidden="1" x14ac:dyDescent="0.25">
      <c r="A303" t="s">
        <v>842</v>
      </c>
      <c r="B303">
        <v>39580</v>
      </c>
      <c r="C303" t="s">
        <v>960</v>
      </c>
      <c r="D303" t="s">
        <v>226</v>
      </c>
      <c r="E303" t="s">
        <v>659</v>
      </c>
      <c r="F303" s="538">
        <v>77112.320000000007</v>
      </c>
      <c r="G303" s="538">
        <v>82401.58</v>
      </c>
    </row>
    <row r="304" spans="1:7" hidden="1" x14ac:dyDescent="0.25">
      <c r="A304" t="s">
        <v>842</v>
      </c>
      <c r="B304">
        <v>39577</v>
      </c>
      <c r="C304" t="s">
        <v>961</v>
      </c>
      <c r="D304" t="s">
        <v>226</v>
      </c>
      <c r="E304" t="s">
        <v>659</v>
      </c>
      <c r="F304" s="538">
        <v>24135.99</v>
      </c>
      <c r="G304" s="538">
        <v>25791.52</v>
      </c>
    </row>
    <row r="305" spans="1:7" hidden="1" x14ac:dyDescent="0.25">
      <c r="A305" t="s">
        <v>842</v>
      </c>
      <c r="B305">
        <v>39578</v>
      </c>
      <c r="C305" t="s">
        <v>962</v>
      </c>
      <c r="D305" t="s">
        <v>226</v>
      </c>
      <c r="E305" t="s">
        <v>659</v>
      </c>
      <c r="F305" s="538">
        <v>31147.97</v>
      </c>
      <c r="G305" s="538">
        <v>33284.46</v>
      </c>
    </row>
    <row r="306" spans="1:7" hidden="1" x14ac:dyDescent="0.25">
      <c r="A306" t="s">
        <v>842</v>
      </c>
      <c r="B306">
        <v>39579</v>
      </c>
      <c r="C306" t="s">
        <v>963</v>
      </c>
      <c r="D306" t="s">
        <v>226</v>
      </c>
      <c r="E306" t="s">
        <v>659</v>
      </c>
      <c r="F306" s="538">
        <v>45317.87</v>
      </c>
      <c r="G306" s="538">
        <v>48426.29</v>
      </c>
    </row>
    <row r="307" spans="1:7" hidden="1" x14ac:dyDescent="0.25">
      <c r="A307" t="s">
        <v>842</v>
      </c>
      <c r="B307">
        <v>39826</v>
      </c>
      <c r="C307" t="s">
        <v>964</v>
      </c>
      <c r="D307" t="s">
        <v>226</v>
      </c>
      <c r="E307" t="s">
        <v>659</v>
      </c>
      <c r="F307" s="538">
        <v>5565.86</v>
      </c>
      <c r="G307" s="538">
        <v>5947.63</v>
      </c>
    </row>
    <row r="308" spans="1:7" hidden="1" x14ac:dyDescent="0.25">
      <c r="A308" t="s">
        <v>842</v>
      </c>
      <c r="B308">
        <v>10700</v>
      </c>
      <c r="C308" t="s">
        <v>965</v>
      </c>
      <c r="D308" t="s">
        <v>226</v>
      </c>
      <c r="E308" t="s">
        <v>659</v>
      </c>
      <c r="F308">
        <f>G308</f>
        <v>22731.29</v>
      </c>
      <c r="G308" s="538">
        <v>22731.29</v>
      </c>
    </row>
    <row r="309" spans="1:7" hidden="1" x14ac:dyDescent="0.25">
      <c r="A309" t="s">
        <v>660</v>
      </c>
      <c r="B309">
        <v>346</v>
      </c>
      <c r="C309" t="s">
        <v>966</v>
      </c>
      <c r="D309" t="s">
        <v>708</v>
      </c>
      <c r="E309" t="s">
        <v>659</v>
      </c>
      <c r="F309">
        <v>24.28</v>
      </c>
      <c r="G309">
        <v>25.66</v>
      </c>
    </row>
    <row r="310" spans="1:7" hidden="1" x14ac:dyDescent="0.25">
      <c r="A310" t="s">
        <v>660</v>
      </c>
      <c r="B310">
        <v>3312</v>
      </c>
      <c r="C310" t="s">
        <v>967</v>
      </c>
      <c r="D310" t="s">
        <v>708</v>
      </c>
      <c r="E310" t="s">
        <v>659</v>
      </c>
      <c r="F310">
        <v>21.5</v>
      </c>
      <c r="G310">
        <v>22.72</v>
      </c>
    </row>
    <row r="311" spans="1:7" hidden="1" x14ac:dyDescent="0.25">
      <c r="A311" t="s">
        <v>660</v>
      </c>
      <c r="B311">
        <v>339</v>
      </c>
      <c r="C311" t="s">
        <v>968</v>
      </c>
      <c r="D311" t="s">
        <v>704</v>
      </c>
      <c r="E311" t="s">
        <v>659</v>
      </c>
      <c r="F311">
        <v>1.25</v>
      </c>
      <c r="G311">
        <v>1.32</v>
      </c>
    </row>
    <row r="312" spans="1:7" hidden="1" x14ac:dyDescent="0.25">
      <c r="A312" t="s">
        <v>660</v>
      </c>
      <c r="B312">
        <v>340</v>
      </c>
      <c r="C312" t="s">
        <v>969</v>
      </c>
      <c r="D312" t="s">
        <v>704</v>
      </c>
      <c r="E312" t="s">
        <v>659</v>
      </c>
      <c r="F312">
        <v>1.1299999999999999</v>
      </c>
      <c r="G312">
        <v>1.19</v>
      </c>
    </row>
    <row r="313" spans="1:7" hidden="1" x14ac:dyDescent="0.25">
      <c r="A313" t="s">
        <v>660</v>
      </c>
      <c r="B313">
        <v>43130</v>
      </c>
      <c r="C313" t="s">
        <v>970</v>
      </c>
      <c r="D313" t="s">
        <v>708</v>
      </c>
      <c r="E313" t="s">
        <v>172</v>
      </c>
      <c r="F313">
        <v>20.5</v>
      </c>
      <c r="G313">
        <v>21.66</v>
      </c>
    </row>
    <row r="314" spans="1:7" hidden="1" x14ac:dyDescent="0.25">
      <c r="A314" t="s">
        <v>660</v>
      </c>
      <c r="B314">
        <v>344</v>
      </c>
      <c r="C314" t="s">
        <v>971</v>
      </c>
      <c r="D314" t="s">
        <v>708</v>
      </c>
      <c r="E314" t="s">
        <v>659</v>
      </c>
      <c r="F314">
        <v>26.95</v>
      </c>
      <c r="G314">
        <v>28.47</v>
      </c>
    </row>
    <row r="315" spans="1:7" hidden="1" x14ac:dyDescent="0.25">
      <c r="A315" t="s">
        <v>660</v>
      </c>
      <c r="B315">
        <v>345</v>
      </c>
      <c r="C315" t="s">
        <v>972</v>
      </c>
      <c r="D315" t="s">
        <v>708</v>
      </c>
      <c r="E315" t="s">
        <v>659</v>
      </c>
      <c r="F315">
        <v>29.24</v>
      </c>
      <c r="G315">
        <v>30.89</v>
      </c>
    </row>
    <row r="316" spans="1:7" hidden="1" x14ac:dyDescent="0.25">
      <c r="A316" t="s">
        <v>660</v>
      </c>
      <c r="B316">
        <v>43131</v>
      </c>
      <c r="C316" t="s">
        <v>973</v>
      </c>
      <c r="D316" t="s">
        <v>708</v>
      </c>
      <c r="E316" t="s">
        <v>659</v>
      </c>
      <c r="F316">
        <v>23.81</v>
      </c>
      <c r="G316">
        <v>25.16</v>
      </c>
    </row>
    <row r="317" spans="1:7" hidden="1" x14ac:dyDescent="0.25">
      <c r="A317" t="s">
        <v>660</v>
      </c>
      <c r="B317">
        <v>3313</v>
      </c>
      <c r="C317" t="s">
        <v>974</v>
      </c>
      <c r="D317" t="s">
        <v>708</v>
      </c>
      <c r="E317" t="s">
        <v>659</v>
      </c>
      <c r="F317">
        <v>27.67</v>
      </c>
      <c r="G317">
        <v>29.24</v>
      </c>
    </row>
    <row r="318" spans="1:7" hidden="1" x14ac:dyDescent="0.25">
      <c r="A318" t="s">
        <v>660</v>
      </c>
      <c r="B318">
        <v>43132</v>
      </c>
      <c r="C318" t="s">
        <v>975</v>
      </c>
      <c r="D318" t="s">
        <v>708</v>
      </c>
      <c r="E318" t="s">
        <v>659</v>
      </c>
      <c r="F318">
        <v>20.5</v>
      </c>
      <c r="G318">
        <v>21.66</v>
      </c>
    </row>
    <row r="319" spans="1:7" hidden="1" x14ac:dyDescent="0.25">
      <c r="A319" t="s">
        <v>660</v>
      </c>
      <c r="B319">
        <v>45245</v>
      </c>
      <c r="C319" t="s">
        <v>976</v>
      </c>
      <c r="D319" t="s">
        <v>226</v>
      </c>
      <c r="E319" t="s">
        <v>659</v>
      </c>
      <c r="F319">
        <v>46.46</v>
      </c>
      <c r="G319">
        <v>40.159999999999997</v>
      </c>
    </row>
    <row r="320" spans="1:7" hidden="1" x14ac:dyDescent="0.25">
      <c r="A320" t="s">
        <v>660</v>
      </c>
      <c r="B320">
        <v>366</v>
      </c>
      <c r="C320" t="s">
        <v>977</v>
      </c>
      <c r="D320" t="s">
        <v>806</v>
      </c>
      <c r="E320" t="s">
        <v>172</v>
      </c>
      <c r="F320">
        <v>165</v>
      </c>
      <c r="G320">
        <v>85</v>
      </c>
    </row>
    <row r="321" spans="1:7" hidden="1" x14ac:dyDescent="0.25">
      <c r="A321" t="s">
        <v>660</v>
      </c>
      <c r="B321">
        <v>367</v>
      </c>
      <c r="C321" t="s">
        <v>978</v>
      </c>
      <c r="D321" t="s">
        <v>806</v>
      </c>
      <c r="E321" t="s">
        <v>659</v>
      </c>
      <c r="F321">
        <v>167.15</v>
      </c>
      <c r="G321">
        <v>86.11</v>
      </c>
    </row>
    <row r="322" spans="1:7" hidden="1" x14ac:dyDescent="0.25">
      <c r="A322" t="s">
        <v>660</v>
      </c>
      <c r="B322">
        <v>370</v>
      </c>
      <c r="C322" t="s">
        <v>979</v>
      </c>
      <c r="D322" t="s">
        <v>806</v>
      </c>
      <c r="E322" t="s">
        <v>659</v>
      </c>
      <c r="F322">
        <v>165</v>
      </c>
      <c r="G322">
        <v>85</v>
      </c>
    </row>
    <row r="323" spans="1:7" hidden="1" x14ac:dyDescent="0.25">
      <c r="A323" t="s">
        <v>660</v>
      </c>
      <c r="B323">
        <v>368</v>
      </c>
      <c r="C323" t="s">
        <v>980</v>
      </c>
      <c r="D323" t="s">
        <v>806</v>
      </c>
      <c r="E323" t="s">
        <v>659</v>
      </c>
      <c r="F323">
        <v>82.5</v>
      </c>
      <c r="G323">
        <v>42.5</v>
      </c>
    </row>
    <row r="324" spans="1:7" hidden="1" x14ac:dyDescent="0.25">
      <c r="A324" t="s">
        <v>660</v>
      </c>
      <c r="B324">
        <v>11075</v>
      </c>
      <c r="C324" t="s">
        <v>981</v>
      </c>
      <c r="D324" t="s">
        <v>806</v>
      </c>
      <c r="E324" t="s">
        <v>659</v>
      </c>
      <c r="F324" s="538">
        <v>1893.69</v>
      </c>
      <c r="G324">
        <v>975.53</v>
      </c>
    </row>
    <row r="325" spans="1:7" hidden="1" x14ac:dyDescent="0.25">
      <c r="A325" t="s">
        <v>660</v>
      </c>
      <c r="B325">
        <v>1381</v>
      </c>
      <c r="C325" t="s">
        <v>982</v>
      </c>
      <c r="D325" t="s">
        <v>708</v>
      </c>
      <c r="E325" t="s">
        <v>172</v>
      </c>
      <c r="F325">
        <v>0.68</v>
      </c>
      <c r="G325">
        <v>0.8</v>
      </c>
    </row>
    <row r="326" spans="1:7" hidden="1" x14ac:dyDescent="0.25">
      <c r="A326" t="s">
        <v>660</v>
      </c>
      <c r="B326">
        <v>34353</v>
      </c>
      <c r="C326" t="s">
        <v>983</v>
      </c>
      <c r="D326" t="s">
        <v>708</v>
      </c>
      <c r="E326" t="s">
        <v>659</v>
      </c>
      <c r="F326">
        <v>1.26</v>
      </c>
      <c r="G326">
        <v>1.49</v>
      </c>
    </row>
    <row r="327" spans="1:7" hidden="1" x14ac:dyDescent="0.25">
      <c r="A327" t="s">
        <v>660</v>
      </c>
      <c r="B327">
        <v>37595</v>
      </c>
      <c r="C327" t="s">
        <v>984</v>
      </c>
      <c r="D327" t="s">
        <v>708</v>
      </c>
      <c r="E327" t="s">
        <v>659</v>
      </c>
      <c r="F327">
        <v>2.09</v>
      </c>
      <c r="G327">
        <v>2.46</v>
      </c>
    </row>
    <row r="328" spans="1:7" hidden="1" x14ac:dyDescent="0.25">
      <c r="A328" t="s">
        <v>660</v>
      </c>
      <c r="B328">
        <v>37596</v>
      </c>
      <c r="C328" t="s">
        <v>985</v>
      </c>
      <c r="D328" t="s">
        <v>708</v>
      </c>
      <c r="E328" t="s">
        <v>659</v>
      </c>
      <c r="F328">
        <v>2.39</v>
      </c>
      <c r="G328">
        <v>2.82</v>
      </c>
    </row>
    <row r="329" spans="1:7" hidden="1" x14ac:dyDescent="0.25">
      <c r="A329" t="s">
        <v>660</v>
      </c>
      <c r="B329">
        <v>371</v>
      </c>
      <c r="C329" t="s">
        <v>986</v>
      </c>
      <c r="D329" t="s">
        <v>708</v>
      </c>
      <c r="E329" t="s">
        <v>659</v>
      </c>
      <c r="F329">
        <v>0.74</v>
      </c>
      <c r="G329">
        <v>0.87</v>
      </c>
    </row>
    <row r="330" spans="1:7" hidden="1" x14ac:dyDescent="0.25">
      <c r="A330" t="s">
        <v>660</v>
      </c>
      <c r="B330">
        <v>37553</v>
      </c>
      <c r="C330" t="s">
        <v>987</v>
      </c>
      <c r="D330" t="s">
        <v>708</v>
      </c>
      <c r="E330" t="s">
        <v>659</v>
      </c>
      <c r="F330">
        <v>1.39</v>
      </c>
      <c r="G330">
        <v>1.63</v>
      </c>
    </row>
    <row r="331" spans="1:7" hidden="1" x14ac:dyDescent="0.25">
      <c r="A331" t="s">
        <v>660</v>
      </c>
      <c r="B331">
        <v>37552</v>
      </c>
      <c r="C331" t="s">
        <v>988</v>
      </c>
      <c r="D331" t="s">
        <v>708</v>
      </c>
      <c r="E331" t="s">
        <v>659</v>
      </c>
      <c r="F331">
        <v>2.23</v>
      </c>
      <c r="G331">
        <v>2.63</v>
      </c>
    </row>
    <row r="332" spans="1:7" hidden="1" x14ac:dyDescent="0.25">
      <c r="A332" t="s">
        <v>660</v>
      </c>
      <c r="B332">
        <v>36880</v>
      </c>
      <c r="C332" t="s">
        <v>989</v>
      </c>
      <c r="D332" t="s">
        <v>708</v>
      </c>
      <c r="E332" t="s">
        <v>659</v>
      </c>
      <c r="F332">
        <v>2.27</v>
      </c>
      <c r="G332">
        <v>2.67</v>
      </c>
    </row>
    <row r="333" spans="1:7" hidden="1" x14ac:dyDescent="0.25">
      <c r="A333" t="s">
        <v>660</v>
      </c>
      <c r="B333">
        <v>34355</v>
      </c>
      <c r="C333" t="s">
        <v>990</v>
      </c>
      <c r="D333" t="s">
        <v>708</v>
      </c>
      <c r="E333" t="s">
        <v>659</v>
      </c>
      <c r="F333">
        <v>1.95</v>
      </c>
      <c r="G333">
        <v>2.2999999999999998</v>
      </c>
    </row>
    <row r="334" spans="1:7" hidden="1" x14ac:dyDescent="0.25">
      <c r="A334" t="s">
        <v>660</v>
      </c>
      <c r="B334">
        <v>130</v>
      </c>
      <c r="C334" t="s">
        <v>991</v>
      </c>
      <c r="D334" t="s">
        <v>708</v>
      </c>
      <c r="E334" t="s">
        <v>659</v>
      </c>
      <c r="F334">
        <v>3.67</v>
      </c>
      <c r="G334">
        <v>4.18</v>
      </c>
    </row>
    <row r="335" spans="1:7" hidden="1" x14ac:dyDescent="0.25">
      <c r="A335" t="s">
        <v>660</v>
      </c>
      <c r="B335">
        <v>135</v>
      </c>
      <c r="C335" t="s">
        <v>992</v>
      </c>
      <c r="D335" t="s">
        <v>708</v>
      </c>
      <c r="E335" t="s">
        <v>659</v>
      </c>
      <c r="F335">
        <v>2.95</v>
      </c>
      <c r="G335">
        <v>3.36</v>
      </c>
    </row>
    <row r="336" spans="1:7" hidden="1" x14ac:dyDescent="0.25">
      <c r="A336" t="s">
        <v>660</v>
      </c>
      <c r="B336">
        <v>36886</v>
      </c>
      <c r="C336" t="s">
        <v>993</v>
      </c>
      <c r="D336" t="s">
        <v>708</v>
      </c>
      <c r="E336" t="s">
        <v>659</v>
      </c>
      <c r="F336">
        <v>0.7</v>
      </c>
      <c r="G336">
        <v>0.83</v>
      </c>
    </row>
    <row r="337" spans="1:7" hidden="1" x14ac:dyDescent="0.25">
      <c r="A337" t="s">
        <v>660</v>
      </c>
      <c r="B337">
        <v>38546</v>
      </c>
      <c r="C337" t="s">
        <v>994</v>
      </c>
      <c r="D337" t="s">
        <v>806</v>
      </c>
      <c r="E337" t="s">
        <v>659</v>
      </c>
      <c r="F337">
        <v>567.39</v>
      </c>
      <c r="G337">
        <v>480.1</v>
      </c>
    </row>
    <row r="338" spans="1:7" hidden="1" x14ac:dyDescent="0.25">
      <c r="A338" t="s">
        <v>660</v>
      </c>
      <c r="B338">
        <v>34549</v>
      </c>
      <c r="C338" t="s">
        <v>995</v>
      </c>
      <c r="D338" t="s">
        <v>806</v>
      </c>
      <c r="E338" t="s">
        <v>659</v>
      </c>
      <c r="F338">
        <f t="shared" ref="F338:F349" si="1">G338</f>
        <v>775.28</v>
      </c>
      <c r="G338">
        <v>775.28</v>
      </c>
    </row>
    <row r="339" spans="1:7" hidden="1" x14ac:dyDescent="0.25">
      <c r="A339" t="s">
        <v>660</v>
      </c>
      <c r="B339">
        <v>6081</v>
      </c>
      <c r="C339" t="s">
        <v>996</v>
      </c>
      <c r="D339" t="s">
        <v>806</v>
      </c>
      <c r="E339" t="s">
        <v>659</v>
      </c>
      <c r="F339">
        <f t="shared" si="1"/>
        <v>54.26</v>
      </c>
      <c r="G339">
        <v>54.26</v>
      </c>
    </row>
    <row r="340" spans="1:7" hidden="1" x14ac:dyDescent="0.25">
      <c r="A340" t="s">
        <v>660</v>
      </c>
      <c r="B340">
        <v>6077</v>
      </c>
      <c r="C340" t="s">
        <v>997</v>
      </c>
      <c r="D340" t="s">
        <v>806</v>
      </c>
      <c r="E340" t="s">
        <v>659</v>
      </c>
      <c r="F340">
        <f t="shared" si="1"/>
        <v>38.76</v>
      </c>
      <c r="G340">
        <v>38.76</v>
      </c>
    </row>
    <row r="341" spans="1:7" hidden="1" x14ac:dyDescent="0.25">
      <c r="A341" t="s">
        <v>660</v>
      </c>
      <c r="B341">
        <v>6079</v>
      </c>
      <c r="C341" t="s">
        <v>998</v>
      </c>
      <c r="D341" t="s">
        <v>806</v>
      </c>
      <c r="E341" t="s">
        <v>659</v>
      </c>
      <c r="F341">
        <f t="shared" si="1"/>
        <v>38.76</v>
      </c>
      <c r="G341">
        <v>38.76</v>
      </c>
    </row>
    <row r="342" spans="1:7" x14ac:dyDescent="0.25">
      <c r="A342" t="s">
        <v>660</v>
      </c>
      <c r="B342">
        <v>1091</v>
      </c>
      <c r="C342" t="s">
        <v>999</v>
      </c>
      <c r="D342" t="s">
        <v>226</v>
      </c>
      <c r="E342" t="s">
        <v>659</v>
      </c>
      <c r="F342">
        <f t="shared" si="1"/>
        <v>26.08</v>
      </c>
      <c r="G342">
        <v>26.08</v>
      </c>
    </row>
    <row r="343" spans="1:7" x14ac:dyDescent="0.25">
      <c r="A343" t="s">
        <v>660</v>
      </c>
      <c r="B343">
        <v>1094</v>
      </c>
      <c r="C343" t="s">
        <v>1000</v>
      </c>
      <c r="D343" t="s">
        <v>226</v>
      </c>
      <c r="E343" t="s">
        <v>659</v>
      </c>
      <c r="F343">
        <f t="shared" si="1"/>
        <v>18.239999999999998</v>
      </c>
      <c r="G343">
        <v>18.239999999999998</v>
      </c>
    </row>
    <row r="344" spans="1:7" x14ac:dyDescent="0.25">
      <c r="A344" t="s">
        <v>660</v>
      </c>
      <c r="B344">
        <v>1095</v>
      </c>
      <c r="C344" t="s">
        <v>1001</v>
      </c>
      <c r="D344" t="s">
        <v>226</v>
      </c>
      <c r="E344" t="s">
        <v>659</v>
      </c>
      <c r="F344">
        <f t="shared" si="1"/>
        <v>38.770000000000003</v>
      </c>
      <c r="G344">
        <v>38.770000000000003</v>
      </c>
    </row>
    <row r="345" spans="1:7" x14ac:dyDescent="0.25">
      <c r="A345" t="s">
        <v>660</v>
      </c>
      <c r="B345">
        <v>1092</v>
      </c>
      <c r="C345" t="s">
        <v>1002</v>
      </c>
      <c r="D345" t="s">
        <v>226</v>
      </c>
      <c r="E345" t="s">
        <v>172</v>
      </c>
      <c r="F345">
        <f t="shared" si="1"/>
        <v>30</v>
      </c>
      <c r="G345">
        <v>30</v>
      </c>
    </row>
    <row r="346" spans="1:7" x14ac:dyDescent="0.25">
      <c r="A346" t="s">
        <v>660</v>
      </c>
      <c r="B346">
        <v>1093</v>
      </c>
      <c r="C346" t="s">
        <v>1003</v>
      </c>
      <c r="D346" t="s">
        <v>226</v>
      </c>
      <c r="E346" t="s">
        <v>659</v>
      </c>
      <c r="F346">
        <f t="shared" si="1"/>
        <v>70.06</v>
      </c>
      <c r="G346">
        <v>70.06</v>
      </c>
    </row>
    <row r="347" spans="1:7" x14ac:dyDescent="0.25">
      <c r="A347" t="s">
        <v>660</v>
      </c>
      <c r="B347">
        <v>1090</v>
      </c>
      <c r="C347" t="s">
        <v>1004</v>
      </c>
      <c r="D347" t="s">
        <v>226</v>
      </c>
      <c r="E347" t="s">
        <v>659</v>
      </c>
      <c r="F347">
        <f t="shared" si="1"/>
        <v>50.16</v>
      </c>
      <c r="G347">
        <v>50.16</v>
      </c>
    </row>
    <row r="348" spans="1:7" x14ac:dyDescent="0.25">
      <c r="A348" t="s">
        <v>660</v>
      </c>
      <c r="B348">
        <v>1096</v>
      </c>
      <c r="C348" t="s">
        <v>1005</v>
      </c>
      <c r="D348" t="s">
        <v>226</v>
      </c>
      <c r="E348" t="s">
        <v>659</v>
      </c>
      <c r="F348">
        <f t="shared" si="1"/>
        <v>90.27</v>
      </c>
      <c r="G348">
        <v>90.27</v>
      </c>
    </row>
    <row r="349" spans="1:7" x14ac:dyDescent="0.25">
      <c r="A349" t="s">
        <v>660</v>
      </c>
      <c r="B349">
        <v>1097</v>
      </c>
      <c r="C349" t="s">
        <v>1006</v>
      </c>
      <c r="D349" t="s">
        <v>226</v>
      </c>
      <c r="E349" t="s">
        <v>659</v>
      </c>
      <c r="F349">
        <f t="shared" si="1"/>
        <v>76.63</v>
      </c>
      <c r="G349">
        <v>76.63</v>
      </c>
    </row>
    <row r="350" spans="1:7" hidden="1" x14ac:dyDescent="0.25">
      <c r="A350" t="s">
        <v>807</v>
      </c>
      <c r="B350">
        <v>378</v>
      </c>
      <c r="C350" t="s">
        <v>1007</v>
      </c>
      <c r="D350" t="s">
        <v>809</v>
      </c>
      <c r="E350" t="s">
        <v>659</v>
      </c>
      <c r="F350">
        <v>11.13</v>
      </c>
      <c r="G350">
        <v>12.11</v>
      </c>
    </row>
    <row r="351" spans="1:7" hidden="1" x14ac:dyDescent="0.25">
      <c r="A351" t="s">
        <v>807</v>
      </c>
      <c r="B351">
        <v>40911</v>
      </c>
      <c r="C351" t="s">
        <v>1008</v>
      </c>
      <c r="D351" t="s">
        <v>811</v>
      </c>
      <c r="E351" t="s">
        <v>659</v>
      </c>
      <c r="F351" s="538">
        <v>2448.6</v>
      </c>
      <c r="G351" s="538">
        <v>2664.2</v>
      </c>
    </row>
    <row r="352" spans="1:7" hidden="1" x14ac:dyDescent="0.25">
      <c r="A352" t="s">
        <v>807</v>
      </c>
      <c r="B352">
        <v>33939</v>
      </c>
      <c r="C352" t="s">
        <v>1009</v>
      </c>
      <c r="D352" t="s">
        <v>809</v>
      </c>
      <c r="E352" t="s">
        <v>659</v>
      </c>
      <c r="F352">
        <v>56.81</v>
      </c>
      <c r="G352">
        <v>56.81</v>
      </c>
    </row>
    <row r="353" spans="1:7" hidden="1" x14ac:dyDescent="0.25">
      <c r="A353" t="s">
        <v>807</v>
      </c>
      <c r="B353">
        <v>40815</v>
      </c>
      <c r="C353" t="s">
        <v>1010</v>
      </c>
      <c r="D353" t="s">
        <v>811</v>
      </c>
      <c r="E353" t="s">
        <v>659</v>
      </c>
      <c r="F353" s="538">
        <v>12500.3</v>
      </c>
      <c r="G353" s="538">
        <v>12500.3</v>
      </c>
    </row>
    <row r="354" spans="1:7" hidden="1" x14ac:dyDescent="0.25">
      <c r="A354" t="s">
        <v>807</v>
      </c>
      <c r="B354">
        <v>33952</v>
      </c>
      <c r="C354" t="s">
        <v>1011</v>
      </c>
      <c r="D354" t="s">
        <v>809</v>
      </c>
      <c r="E354" t="s">
        <v>659</v>
      </c>
      <c r="F354">
        <v>59.94</v>
      </c>
      <c r="G354">
        <v>59.94</v>
      </c>
    </row>
    <row r="355" spans="1:7" hidden="1" x14ac:dyDescent="0.25">
      <c r="A355" t="s">
        <v>807</v>
      </c>
      <c r="B355">
        <v>40816</v>
      </c>
      <c r="C355" t="s">
        <v>1012</v>
      </c>
      <c r="D355" t="s">
        <v>811</v>
      </c>
      <c r="E355" t="s">
        <v>659</v>
      </c>
      <c r="F355" s="538">
        <v>13188.24</v>
      </c>
      <c r="G355" s="538">
        <v>13188.24</v>
      </c>
    </row>
    <row r="356" spans="1:7" hidden="1" x14ac:dyDescent="0.25">
      <c r="A356" t="s">
        <v>807</v>
      </c>
      <c r="B356">
        <v>33953</v>
      </c>
      <c r="C356" t="s">
        <v>1013</v>
      </c>
      <c r="D356" t="s">
        <v>809</v>
      </c>
      <c r="E356" t="s">
        <v>659</v>
      </c>
      <c r="F356">
        <v>61.84</v>
      </c>
      <c r="G356">
        <v>64.08</v>
      </c>
    </row>
    <row r="357" spans="1:7" hidden="1" x14ac:dyDescent="0.25">
      <c r="A357" t="s">
        <v>807</v>
      </c>
      <c r="B357">
        <v>40817</v>
      </c>
      <c r="C357" t="s">
        <v>1014</v>
      </c>
      <c r="D357" t="s">
        <v>811</v>
      </c>
      <c r="E357" t="s">
        <v>659</v>
      </c>
      <c r="F357" s="538">
        <v>13604.91</v>
      </c>
      <c r="G357" s="538">
        <v>14099.24</v>
      </c>
    </row>
    <row r="358" spans="1:7" hidden="1" x14ac:dyDescent="0.25">
      <c r="A358" t="s">
        <v>660</v>
      </c>
      <c r="B358">
        <v>13348</v>
      </c>
      <c r="C358" t="s">
        <v>1015</v>
      </c>
      <c r="D358" t="s">
        <v>226</v>
      </c>
      <c r="E358" t="s">
        <v>659</v>
      </c>
      <c r="F358">
        <f>G358</f>
        <v>1.63</v>
      </c>
      <c r="G358">
        <v>1.63</v>
      </c>
    </row>
    <row r="359" spans="1:7" hidden="1" x14ac:dyDescent="0.25">
      <c r="A359" t="s">
        <v>660</v>
      </c>
      <c r="B359">
        <v>39212</v>
      </c>
      <c r="C359" t="s">
        <v>1016</v>
      </c>
      <c r="D359" t="s">
        <v>226</v>
      </c>
      <c r="E359" t="s">
        <v>659</v>
      </c>
      <c r="F359">
        <v>2.61</v>
      </c>
      <c r="G359">
        <v>2.1800000000000002</v>
      </c>
    </row>
    <row r="360" spans="1:7" hidden="1" x14ac:dyDescent="0.25">
      <c r="A360" t="s">
        <v>660</v>
      </c>
      <c r="B360">
        <v>39211</v>
      </c>
      <c r="C360" t="s">
        <v>1017</v>
      </c>
      <c r="D360" t="s">
        <v>226</v>
      </c>
      <c r="E360" t="s">
        <v>659</v>
      </c>
      <c r="F360">
        <v>2.34</v>
      </c>
      <c r="G360">
        <v>1.96</v>
      </c>
    </row>
    <row r="361" spans="1:7" hidden="1" x14ac:dyDescent="0.25">
      <c r="A361" t="s">
        <v>660</v>
      </c>
      <c r="B361">
        <v>39210</v>
      </c>
      <c r="C361" t="s">
        <v>1018</v>
      </c>
      <c r="D361" t="s">
        <v>226</v>
      </c>
      <c r="E361" t="s">
        <v>659</v>
      </c>
      <c r="F361">
        <v>1.31</v>
      </c>
      <c r="G361">
        <v>1.1000000000000001</v>
      </c>
    </row>
    <row r="362" spans="1:7" hidden="1" x14ac:dyDescent="0.25">
      <c r="A362" t="s">
        <v>660</v>
      </c>
      <c r="B362">
        <v>39208</v>
      </c>
      <c r="C362" t="s">
        <v>1019</v>
      </c>
      <c r="D362" t="s">
        <v>226</v>
      </c>
      <c r="E362" t="s">
        <v>659</v>
      </c>
      <c r="F362">
        <v>0.71</v>
      </c>
      <c r="G362">
        <v>0.6</v>
      </c>
    </row>
    <row r="363" spans="1:7" hidden="1" x14ac:dyDescent="0.25">
      <c r="A363" t="s">
        <v>660</v>
      </c>
      <c r="B363">
        <v>39214</v>
      </c>
      <c r="C363" t="s">
        <v>1020</v>
      </c>
      <c r="D363" t="s">
        <v>226</v>
      </c>
      <c r="E363" t="s">
        <v>659</v>
      </c>
      <c r="F363">
        <v>4.83</v>
      </c>
      <c r="G363">
        <v>4.05</v>
      </c>
    </row>
    <row r="364" spans="1:7" hidden="1" x14ac:dyDescent="0.25">
      <c r="A364" t="s">
        <v>660</v>
      </c>
      <c r="B364">
        <v>39213</v>
      </c>
      <c r="C364" t="s">
        <v>1021</v>
      </c>
      <c r="D364" t="s">
        <v>226</v>
      </c>
      <c r="E364" t="s">
        <v>659</v>
      </c>
      <c r="F364">
        <v>3.41</v>
      </c>
      <c r="G364">
        <v>2.86</v>
      </c>
    </row>
    <row r="365" spans="1:7" hidden="1" x14ac:dyDescent="0.25">
      <c r="A365" t="s">
        <v>660</v>
      </c>
      <c r="B365">
        <v>39215</v>
      </c>
      <c r="C365" t="s">
        <v>1022</v>
      </c>
      <c r="D365" t="s">
        <v>226</v>
      </c>
      <c r="E365" t="s">
        <v>659</v>
      </c>
      <c r="F365">
        <v>8.8000000000000007</v>
      </c>
      <c r="G365">
        <v>7.37</v>
      </c>
    </row>
    <row r="366" spans="1:7" hidden="1" x14ac:dyDescent="0.25">
      <c r="A366" t="s">
        <v>660</v>
      </c>
      <c r="B366">
        <v>39209</v>
      </c>
      <c r="C366" t="s">
        <v>1023</v>
      </c>
      <c r="D366" t="s">
        <v>226</v>
      </c>
      <c r="E366" t="s">
        <v>659</v>
      </c>
      <c r="F366">
        <v>0.85</v>
      </c>
      <c r="G366">
        <v>0.71</v>
      </c>
    </row>
    <row r="367" spans="1:7" hidden="1" x14ac:dyDescent="0.25">
      <c r="A367" t="s">
        <v>660</v>
      </c>
      <c r="B367">
        <v>39207</v>
      </c>
      <c r="C367" t="s">
        <v>1024</v>
      </c>
      <c r="D367" t="s">
        <v>226</v>
      </c>
      <c r="E367" t="s">
        <v>659</v>
      </c>
      <c r="F367">
        <v>1.31</v>
      </c>
      <c r="G367">
        <v>1.1000000000000001</v>
      </c>
    </row>
    <row r="368" spans="1:7" hidden="1" x14ac:dyDescent="0.25">
      <c r="A368" t="s">
        <v>660</v>
      </c>
      <c r="B368">
        <v>39216</v>
      </c>
      <c r="C368" t="s">
        <v>1025</v>
      </c>
      <c r="D368" t="s">
        <v>226</v>
      </c>
      <c r="E368" t="s">
        <v>659</v>
      </c>
      <c r="F368">
        <v>12.28</v>
      </c>
      <c r="G368">
        <v>10.29</v>
      </c>
    </row>
    <row r="369" spans="1:7" hidden="1" x14ac:dyDescent="0.25">
      <c r="A369" t="s">
        <v>660</v>
      </c>
      <c r="B369">
        <v>11267</v>
      </c>
      <c r="C369" t="s">
        <v>1026</v>
      </c>
      <c r="D369" t="s">
        <v>226</v>
      </c>
      <c r="E369" t="s">
        <v>659</v>
      </c>
      <c r="F369">
        <f>G369</f>
        <v>1.43</v>
      </c>
      <c r="G369">
        <v>1.43</v>
      </c>
    </row>
    <row r="370" spans="1:7" hidden="1" x14ac:dyDescent="0.25">
      <c r="A370" t="s">
        <v>660</v>
      </c>
      <c r="B370">
        <v>379</v>
      </c>
      <c r="C370" t="s">
        <v>1027</v>
      </c>
      <c r="D370" t="s">
        <v>226</v>
      </c>
      <c r="E370" t="s">
        <v>659</v>
      </c>
      <c r="F370">
        <f>G370</f>
        <v>1.43</v>
      </c>
      <c r="G370">
        <v>1.43</v>
      </c>
    </row>
    <row r="371" spans="1:7" hidden="1" x14ac:dyDescent="0.25">
      <c r="A371" t="s">
        <v>660</v>
      </c>
      <c r="B371">
        <v>510</v>
      </c>
      <c r="C371" t="s">
        <v>1028</v>
      </c>
      <c r="D371" t="s">
        <v>708</v>
      </c>
      <c r="E371" t="s">
        <v>659</v>
      </c>
      <c r="F371">
        <v>12.64</v>
      </c>
      <c r="G371">
        <v>12.64</v>
      </c>
    </row>
    <row r="372" spans="1:7" hidden="1" x14ac:dyDescent="0.25">
      <c r="A372" t="s">
        <v>660</v>
      </c>
      <c r="B372">
        <v>516</v>
      </c>
      <c r="C372" t="s">
        <v>1029</v>
      </c>
      <c r="D372" t="s">
        <v>708</v>
      </c>
      <c r="E372" t="s">
        <v>659</v>
      </c>
      <c r="F372">
        <v>14.97</v>
      </c>
      <c r="G372">
        <v>14.97</v>
      </c>
    </row>
    <row r="373" spans="1:7" hidden="1" x14ac:dyDescent="0.25">
      <c r="A373" t="s">
        <v>660</v>
      </c>
      <c r="B373">
        <v>509</v>
      </c>
      <c r="C373" t="s">
        <v>1030</v>
      </c>
      <c r="D373" t="s">
        <v>708</v>
      </c>
      <c r="E373" t="s">
        <v>659</v>
      </c>
      <c r="F373">
        <v>16.8</v>
      </c>
      <c r="G373">
        <v>16.8</v>
      </c>
    </row>
    <row r="374" spans="1:7" hidden="1" x14ac:dyDescent="0.25">
      <c r="A374" t="s">
        <v>807</v>
      </c>
      <c r="B374">
        <v>40331</v>
      </c>
      <c r="C374" t="s">
        <v>1031</v>
      </c>
      <c r="D374" t="s">
        <v>809</v>
      </c>
      <c r="E374" t="s">
        <v>659</v>
      </c>
      <c r="F374">
        <v>8.6</v>
      </c>
      <c r="G374">
        <v>11.04</v>
      </c>
    </row>
    <row r="375" spans="1:7" hidden="1" x14ac:dyDescent="0.25">
      <c r="A375" t="s">
        <v>807</v>
      </c>
      <c r="B375">
        <v>40930</v>
      </c>
      <c r="C375" t="s">
        <v>1032</v>
      </c>
      <c r="D375" t="s">
        <v>811</v>
      </c>
      <c r="E375" t="s">
        <v>659</v>
      </c>
      <c r="F375" s="538">
        <v>1893.03</v>
      </c>
      <c r="G375" s="538">
        <v>2429.59</v>
      </c>
    </row>
    <row r="376" spans="1:7" hidden="1" x14ac:dyDescent="0.25">
      <c r="A376" t="s">
        <v>660</v>
      </c>
      <c r="B376">
        <v>377</v>
      </c>
      <c r="C376" t="s">
        <v>1033</v>
      </c>
      <c r="D376" t="s">
        <v>226</v>
      </c>
      <c r="E376" t="s">
        <v>172</v>
      </c>
      <c r="F376">
        <v>37.950000000000003</v>
      </c>
      <c r="G376">
        <v>38.9</v>
      </c>
    </row>
    <row r="377" spans="1:7" hidden="1" x14ac:dyDescent="0.25">
      <c r="A377" t="s">
        <v>660</v>
      </c>
      <c r="B377">
        <v>11761</v>
      </c>
      <c r="C377" t="s">
        <v>1034</v>
      </c>
      <c r="D377" t="s">
        <v>226</v>
      </c>
      <c r="E377" t="s">
        <v>659</v>
      </c>
      <c r="F377">
        <v>80.760000000000005</v>
      </c>
      <c r="G377">
        <v>82.78</v>
      </c>
    </row>
    <row r="378" spans="1:7" hidden="1" x14ac:dyDescent="0.25">
      <c r="A378" t="s">
        <v>660</v>
      </c>
      <c r="B378">
        <v>7588</v>
      </c>
      <c r="C378" t="s">
        <v>1035</v>
      </c>
      <c r="D378" t="s">
        <v>226</v>
      </c>
      <c r="E378" t="s">
        <v>172</v>
      </c>
      <c r="F378">
        <v>52.5</v>
      </c>
      <c r="G378">
        <v>43.59</v>
      </c>
    </row>
    <row r="379" spans="1:7" hidden="1" x14ac:dyDescent="0.25">
      <c r="A379" t="s">
        <v>807</v>
      </c>
      <c r="B379">
        <v>34551</v>
      </c>
      <c r="C379" t="s">
        <v>1036</v>
      </c>
      <c r="D379" t="s">
        <v>809</v>
      </c>
      <c r="E379" t="s">
        <v>659</v>
      </c>
      <c r="F379">
        <v>7.49</v>
      </c>
      <c r="G379">
        <v>9.9499999999999993</v>
      </c>
    </row>
    <row r="380" spans="1:7" hidden="1" x14ac:dyDescent="0.25">
      <c r="A380" t="s">
        <v>807</v>
      </c>
      <c r="B380">
        <v>41078</v>
      </c>
      <c r="C380" t="s">
        <v>1037</v>
      </c>
      <c r="D380" t="s">
        <v>811</v>
      </c>
      <c r="E380" t="s">
        <v>659</v>
      </c>
      <c r="F380" s="538">
        <v>1649.31</v>
      </c>
      <c r="G380" s="538">
        <v>2190.06</v>
      </c>
    </row>
    <row r="381" spans="1:7" hidden="1" x14ac:dyDescent="0.25">
      <c r="A381" t="s">
        <v>807</v>
      </c>
      <c r="B381">
        <v>246</v>
      </c>
      <c r="C381" t="s">
        <v>1038</v>
      </c>
      <c r="D381" t="s">
        <v>809</v>
      </c>
      <c r="E381" t="s">
        <v>659</v>
      </c>
      <c r="F381">
        <v>8.41</v>
      </c>
      <c r="G381">
        <v>11.08</v>
      </c>
    </row>
    <row r="382" spans="1:7" hidden="1" x14ac:dyDescent="0.25">
      <c r="A382" t="s">
        <v>807</v>
      </c>
      <c r="B382">
        <v>40927</v>
      </c>
      <c r="C382" t="s">
        <v>1039</v>
      </c>
      <c r="D382" t="s">
        <v>811</v>
      </c>
      <c r="E382" t="s">
        <v>659</v>
      </c>
      <c r="F382" s="538">
        <v>1850.59</v>
      </c>
      <c r="G382" s="538">
        <v>2438.1</v>
      </c>
    </row>
    <row r="383" spans="1:7" hidden="1" x14ac:dyDescent="0.25">
      <c r="A383" t="s">
        <v>807</v>
      </c>
      <c r="B383">
        <v>2350</v>
      </c>
      <c r="C383" t="s">
        <v>1040</v>
      </c>
      <c r="D383" t="s">
        <v>809</v>
      </c>
      <c r="E383" t="s">
        <v>659</v>
      </c>
      <c r="F383">
        <v>9.17</v>
      </c>
      <c r="G383">
        <v>15.17</v>
      </c>
    </row>
    <row r="384" spans="1:7" hidden="1" x14ac:dyDescent="0.25">
      <c r="A384" t="s">
        <v>807</v>
      </c>
      <c r="B384">
        <v>40812</v>
      </c>
      <c r="C384" t="s">
        <v>1041</v>
      </c>
      <c r="D384" t="s">
        <v>811</v>
      </c>
      <c r="E384" t="s">
        <v>659</v>
      </c>
      <c r="F384" s="538">
        <v>2018.38</v>
      </c>
      <c r="G384" s="538">
        <v>3337.42</v>
      </c>
    </row>
    <row r="385" spans="1:7" hidden="1" x14ac:dyDescent="0.25">
      <c r="A385" t="s">
        <v>807</v>
      </c>
      <c r="B385">
        <v>245</v>
      </c>
      <c r="C385" t="s">
        <v>1042</v>
      </c>
      <c r="D385" t="s">
        <v>809</v>
      </c>
      <c r="E385" t="s">
        <v>659</v>
      </c>
      <c r="F385">
        <v>14.27</v>
      </c>
      <c r="G385">
        <v>19.27</v>
      </c>
    </row>
    <row r="386" spans="1:7" hidden="1" x14ac:dyDescent="0.25">
      <c r="A386" t="s">
        <v>807</v>
      </c>
      <c r="B386">
        <v>41090</v>
      </c>
      <c r="C386" t="s">
        <v>1043</v>
      </c>
      <c r="D386" t="s">
        <v>811</v>
      </c>
      <c r="E386" t="s">
        <v>659</v>
      </c>
      <c r="F386" s="538">
        <v>3140.67</v>
      </c>
      <c r="G386" s="538">
        <v>4240.47</v>
      </c>
    </row>
    <row r="387" spans="1:7" hidden="1" x14ac:dyDescent="0.25">
      <c r="A387" t="s">
        <v>807</v>
      </c>
      <c r="B387">
        <v>251</v>
      </c>
      <c r="C387" t="s">
        <v>1044</v>
      </c>
      <c r="D387" t="s">
        <v>809</v>
      </c>
      <c r="E387" t="s">
        <v>659</v>
      </c>
      <c r="F387">
        <v>8.41</v>
      </c>
      <c r="G387">
        <v>11.08</v>
      </c>
    </row>
    <row r="388" spans="1:7" hidden="1" x14ac:dyDescent="0.25">
      <c r="A388" t="s">
        <v>807</v>
      </c>
      <c r="B388">
        <v>40975</v>
      </c>
      <c r="C388" t="s">
        <v>1045</v>
      </c>
      <c r="D388" t="s">
        <v>811</v>
      </c>
      <c r="E388" t="s">
        <v>659</v>
      </c>
      <c r="F388" s="538">
        <v>1850.59</v>
      </c>
      <c r="G388" s="538">
        <v>2438.1</v>
      </c>
    </row>
    <row r="389" spans="1:7" hidden="1" x14ac:dyDescent="0.25">
      <c r="A389" t="s">
        <v>807</v>
      </c>
      <c r="B389">
        <v>6127</v>
      </c>
      <c r="C389" t="s">
        <v>1046</v>
      </c>
      <c r="D389" t="s">
        <v>809</v>
      </c>
      <c r="E389" t="s">
        <v>659</v>
      </c>
      <c r="F389">
        <v>8.41</v>
      </c>
      <c r="G389">
        <v>11.08</v>
      </c>
    </row>
    <row r="390" spans="1:7" hidden="1" x14ac:dyDescent="0.25">
      <c r="A390" t="s">
        <v>807</v>
      </c>
      <c r="B390">
        <v>41072</v>
      </c>
      <c r="C390" t="s">
        <v>1047</v>
      </c>
      <c r="D390" t="s">
        <v>811</v>
      </c>
      <c r="E390" t="s">
        <v>659</v>
      </c>
      <c r="F390" s="538">
        <v>1850.59</v>
      </c>
      <c r="G390" s="538">
        <v>2438.1</v>
      </c>
    </row>
    <row r="391" spans="1:7" hidden="1" x14ac:dyDescent="0.25">
      <c r="A391" t="s">
        <v>807</v>
      </c>
      <c r="B391">
        <v>6121</v>
      </c>
      <c r="C391" t="s">
        <v>1048</v>
      </c>
      <c r="D391" t="s">
        <v>809</v>
      </c>
      <c r="E391" t="s">
        <v>659</v>
      </c>
      <c r="F391">
        <v>7.47</v>
      </c>
      <c r="G391">
        <v>9.9499999999999993</v>
      </c>
    </row>
    <row r="392" spans="1:7" hidden="1" x14ac:dyDescent="0.25">
      <c r="A392" t="s">
        <v>807</v>
      </c>
      <c r="B392">
        <v>41071</v>
      </c>
      <c r="C392" t="s">
        <v>1049</v>
      </c>
      <c r="D392" t="s">
        <v>811</v>
      </c>
      <c r="E392" t="s">
        <v>659</v>
      </c>
      <c r="F392" s="538">
        <v>1644.5</v>
      </c>
      <c r="G392" s="538">
        <v>2189</v>
      </c>
    </row>
    <row r="393" spans="1:7" hidden="1" x14ac:dyDescent="0.25">
      <c r="A393" t="s">
        <v>807</v>
      </c>
      <c r="B393">
        <v>244</v>
      </c>
      <c r="C393" t="s">
        <v>1050</v>
      </c>
      <c r="D393" t="s">
        <v>809</v>
      </c>
      <c r="E393" t="s">
        <v>659</v>
      </c>
      <c r="F393">
        <v>9.33</v>
      </c>
      <c r="G393">
        <v>16.11</v>
      </c>
    </row>
    <row r="394" spans="1:7" hidden="1" x14ac:dyDescent="0.25">
      <c r="A394" t="s">
        <v>807</v>
      </c>
      <c r="B394">
        <v>41093</v>
      </c>
      <c r="C394" t="s">
        <v>1051</v>
      </c>
      <c r="D394" t="s">
        <v>811</v>
      </c>
      <c r="E394" t="s">
        <v>659</v>
      </c>
      <c r="F394" s="538">
        <v>2054.38</v>
      </c>
      <c r="G394" s="538">
        <v>3545.42</v>
      </c>
    </row>
    <row r="395" spans="1:7" hidden="1" x14ac:dyDescent="0.25">
      <c r="A395" t="s">
        <v>807</v>
      </c>
      <c r="B395">
        <v>532</v>
      </c>
      <c r="C395" t="s">
        <v>1052</v>
      </c>
      <c r="D395" t="s">
        <v>809</v>
      </c>
      <c r="E395" t="s">
        <v>659</v>
      </c>
      <c r="F395">
        <v>17.309999999999999</v>
      </c>
      <c r="G395">
        <v>17.05</v>
      </c>
    </row>
    <row r="396" spans="1:7" hidden="1" x14ac:dyDescent="0.25">
      <c r="A396" t="s">
        <v>807</v>
      </c>
      <c r="B396">
        <v>40931</v>
      </c>
      <c r="C396" t="s">
        <v>1053</v>
      </c>
      <c r="D396" t="s">
        <v>811</v>
      </c>
      <c r="E396" t="s">
        <v>659</v>
      </c>
      <c r="F396" s="538">
        <v>3809.45</v>
      </c>
      <c r="G396" s="538">
        <v>3750.99</v>
      </c>
    </row>
    <row r="397" spans="1:7" hidden="1" x14ac:dyDescent="0.25">
      <c r="A397" t="s">
        <v>660</v>
      </c>
      <c r="B397">
        <v>36150</v>
      </c>
      <c r="C397" t="s">
        <v>1054</v>
      </c>
      <c r="D397" t="s">
        <v>226</v>
      </c>
      <c r="E397" t="s">
        <v>659</v>
      </c>
      <c r="F397">
        <v>40.19</v>
      </c>
      <c r="G397">
        <v>45.01</v>
      </c>
    </row>
    <row r="398" spans="1:7" hidden="1" x14ac:dyDescent="0.25">
      <c r="A398" t="s">
        <v>660</v>
      </c>
      <c r="B398">
        <v>45262</v>
      </c>
      <c r="C398" t="s">
        <v>1055</v>
      </c>
      <c r="D398" t="s">
        <v>226</v>
      </c>
      <c r="E398" t="s">
        <v>659</v>
      </c>
      <c r="F398">
        <v>11.96</v>
      </c>
      <c r="G398">
        <v>13.4</v>
      </c>
    </row>
    <row r="399" spans="1:7" hidden="1" x14ac:dyDescent="0.25">
      <c r="A399" t="s">
        <v>807</v>
      </c>
      <c r="B399">
        <v>4760</v>
      </c>
      <c r="C399" t="s">
        <v>1056</v>
      </c>
      <c r="D399" t="s">
        <v>809</v>
      </c>
      <c r="E399" t="s">
        <v>659</v>
      </c>
      <c r="F399">
        <v>12.06</v>
      </c>
      <c r="G399">
        <v>12.11</v>
      </c>
    </row>
    <row r="400" spans="1:7" hidden="1" x14ac:dyDescent="0.25">
      <c r="A400" t="s">
        <v>807</v>
      </c>
      <c r="B400">
        <v>41069</v>
      </c>
      <c r="C400" t="s">
        <v>1057</v>
      </c>
      <c r="D400" t="s">
        <v>811</v>
      </c>
      <c r="E400" t="s">
        <v>659</v>
      </c>
      <c r="F400" s="538">
        <v>2655.15</v>
      </c>
      <c r="G400" s="538">
        <v>2664.2</v>
      </c>
    </row>
    <row r="401" spans="1:7" hidden="1" x14ac:dyDescent="0.25">
      <c r="A401" t="s">
        <v>660</v>
      </c>
      <c r="B401">
        <v>10422</v>
      </c>
      <c r="C401" t="s">
        <v>1058</v>
      </c>
      <c r="D401" t="s">
        <v>226</v>
      </c>
      <c r="E401" t="s">
        <v>659</v>
      </c>
      <c r="F401">
        <v>443</v>
      </c>
      <c r="G401">
        <v>371.95</v>
      </c>
    </row>
    <row r="402" spans="1:7" hidden="1" x14ac:dyDescent="0.25">
      <c r="A402" t="s">
        <v>660</v>
      </c>
      <c r="B402">
        <v>44019</v>
      </c>
      <c r="C402" t="s">
        <v>1059</v>
      </c>
      <c r="D402" t="s">
        <v>226</v>
      </c>
      <c r="E402" t="s">
        <v>659</v>
      </c>
      <c r="F402">
        <v>613.22</v>
      </c>
      <c r="G402">
        <v>514.87</v>
      </c>
    </row>
    <row r="403" spans="1:7" hidden="1" x14ac:dyDescent="0.25">
      <c r="A403" t="s">
        <v>660</v>
      </c>
      <c r="B403">
        <v>36520</v>
      </c>
      <c r="C403" t="s">
        <v>1060</v>
      </c>
      <c r="D403" t="s">
        <v>226</v>
      </c>
      <c r="E403" t="s">
        <v>659</v>
      </c>
      <c r="F403">
        <v>745.61</v>
      </c>
      <c r="G403">
        <v>626.03</v>
      </c>
    </row>
    <row r="404" spans="1:7" hidden="1" x14ac:dyDescent="0.25">
      <c r="A404" t="s">
        <v>660</v>
      </c>
      <c r="B404">
        <v>42319</v>
      </c>
      <c r="C404" t="s">
        <v>1061</v>
      </c>
      <c r="D404" t="s">
        <v>226</v>
      </c>
      <c r="E404" t="s">
        <v>659</v>
      </c>
      <c r="F404">
        <v>668.1</v>
      </c>
      <c r="G404">
        <v>560.95000000000005</v>
      </c>
    </row>
    <row r="405" spans="1:7" x14ac:dyDescent="0.25">
      <c r="A405" t="s">
        <v>660</v>
      </c>
      <c r="B405">
        <v>10420</v>
      </c>
      <c r="C405" t="s">
        <v>1062</v>
      </c>
      <c r="D405" t="s">
        <v>226</v>
      </c>
      <c r="E405" t="s">
        <v>172</v>
      </c>
      <c r="F405">
        <v>237</v>
      </c>
      <c r="G405">
        <v>198.99</v>
      </c>
    </row>
    <row r="406" spans="1:7" x14ac:dyDescent="0.25">
      <c r="A406" t="s">
        <v>660</v>
      </c>
      <c r="B406">
        <v>10421</v>
      </c>
      <c r="C406" t="s">
        <v>1063</v>
      </c>
      <c r="D406" t="s">
        <v>226</v>
      </c>
      <c r="E406" t="s">
        <v>659</v>
      </c>
      <c r="F406">
        <v>260.43</v>
      </c>
      <c r="G406">
        <v>218.66</v>
      </c>
    </row>
    <row r="407" spans="1:7" hidden="1" x14ac:dyDescent="0.25">
      <c r="A407" t="s">
        <v>660</v>
      </c>
      <c r="B407">
        <v>11786</v>
      </c>
      <c r="C407" t="s">
        <v>1064</v>
      </c>
      <c r="D407" t="s">
        <v>226</v>
      </c>
      <c r="E407" t="s">
        <v>659</v>
      </c>
      <c r="F407">
        <v>525.13</v>
      </c>
      <c r="G407">
        <v>440.91</v>
      </c>
    </row>
    <row r="408" spans="1:7" hidden="1" x14ac:dyDescent="0.25">
      <c r="A408" t="s">
        <v>660</v>
      </c>
      <c r="B408">
        <v>45195</v>
      </c>
      <c r="C408" t="s">
        <v>1065</v>
      </c>
      <c r="D408" t="s">
        <v>226</v>
      </c>
      <c r="E408" t="s">
        <v>659</v>
      </c>
      <c r="F408" s="538">
        <v>5512.5</v>
      </c>
      <c r="G408" s="538">
        <v>4765.25</v>
      </c>
    </row>
    <row r="409" spans="1:7" hidden="1" x14ac:dyDescent="0.25">
      <c r="A409" t="s">
        <v>660</v>
      </c>
      <c r="B409">
        <v>45226</v>
      </c>
      <c r="C409" t="s">
        <v>1066</v>
      </c>
      <c r="D409" t="s">
        <v>226</v>
      </c>
      <c r="E409" t="s">
        <v>659</v>
      </c>
      <c r="F409">
        <v>17.57</v>
      </c>
      <c r="G409">
        <v>17.760000000000002</v>
      </c>
    </row>
    <row r="410" spans="1:7" hidden="1" x14ac:dyDescent="0.25">
      <c r="A410" t="s">
        <v>660</v>
      </c>
      <c r="B410">
        <v>4815</v>
      </c>
      <c r="C410" t="s">
        <v>1067</v>
      </c>
      <c r="D410" t="s">
        <v>226</v>
      </c>
      <c r="E410" t="s">
        <v>659</v>
      </c>
      <c r="F410">
        <v>9.84</v>
      </c>
      <c r="G410">
        <v>11.02</v>
      </c>
    </row>
    <row r="411" spans="1:7" hidden="1" x14ac:dyDescent="0.25">
      <c r="A411" t="s">
        <v>660</v>
      </c>
      <c r="B411">
        <v>541</v>
      </c>
      <c r="C411" t="s">
        <v>1068</v>
      </c>
      <c r="D411" t="s">
        <v>226</v>
      </c>
      <c r="E411" t="s">
        <v>172</v>
      </c>
      <c r="F411">
        <v>225</v>
      </c>
      <c r="G411">
        <v>275.89999999999998</v>
      </c>
    </row>
    <row r="412" spans="1:7" hidden="1" x14ac:dyDescent="0.25">
      <c r="A412" t="s">
        <v>660</v>
      </c>
      <c r="B412">
        <v>542</v>
      </c>
      <c r="C412" t="s">
        <v>1069</v>
      </c>
      <c r="D412" t="s">
        <v>226</v>
      </c>
      <c r="E412" t="s">
        <v>659</v>
      </c>
      <c r="F412">
        <v>282.04000000000002</v>
      </c>
      <c r="G412">
        <v>345.84</v>
      </c>
    </row>
    <row r="413" spans="1:7" hidden="1" x14ac:dyDescent="0.25">
      <c r="A413" t="s">
        <v>660</v>
      </c>
      <c r="B413">
        <v>540</v>
      </c>
      <c r="C413" t="s">
        <v>1070</v>
      </c>
      <c r="D413" t="s">
        <v>226</v>
      </c>
      <c r="E413" t="s">
        <v>659</v>
      </c>
      <c r="F413">
        <v>635.57000000000005</v>
      </c>
      <c r="G413">
        <v>779.35</v>
      </c>
    </row>
    <row r="414" spans="1:7" hidden="1" x14ac:dyDescent="0.25">
      <c r="A414" t="s">
        <v>660</v>
      </c>
      <c r="B414">
        <v>38364</v>
      </c>
      <c r="C414" t="s">
        <v>1071</v>
      </c>
      <c r="D414" t="s">
        <v>226</v>
      </c>
      <c r="E414" t="s">
        <v>659</v>
      </c>
      <c r="F414">
        <v>653.39</v>
      </c>
      <c r="G414">
        <v>943.39</v>
      </c>
    </row>
    <row r="415" spans="1:7" hidden="1" x14ac:dyDescent="0.25">
      <c r="A415" t="s">
        <v>660</v>
      </c>
      <c r="B415">
        <v>11692</v>
      </c>
      <c r="C415" t="s">
        <v>1072</v>
      </c>
      <c r="D415" t="s">
        <v>498</v>
      </c>
      <c r="E415" t="s">
        <v>659</v>
      </c>
      <c r="F415">
        <v>390.89</v>
      </c>
      <c r="G415">
        <v>642.71</v>
      </c>
    </row>
    <row r="416" spans="1:7" hidden="1" x14ac:dyDescent="0.25">
      <c r="A416" t="s">
        <v>660</v>
      </c>
      <c r="B416">
        <v>1746</v>
      </c>
      <c r="C416" t="s">
        <v>1073</v>
      </c>
      <c r="D416" t="s">
        <v>226</v>
      </c>
      <c r="E416" t="s">
        <v>172</v>
      </c>
      <c r="F416">
        <v>277.45</v>
      </c>
      <c r="G416">
        <v>254.87</v>
      </c>
    </row>
    <row r="417" spans="1:7" hidden="1" x14ac:dyDescent="0.25">
      <c r="A417" t="s">
        <v>660</v>
      </c>
      <c r="B417">
        <v>1748</v>
      </c>
      <c r="C417" t="s">
        <v>1074</v>
      </c>
      <c r="D417" t="s">
        <v>226</v>
      </c>
      <c r="E417" t="s">
        <v>659</v>
      </c>
      <c r="F417">
        <v>368.94</v>
      </c>
      <c r="G417">
        <v>338.91</v>
      </c>
    </row>
    <row r="418" spans="1:7" hidden="1" x14ac:dyDescent="0.25">
      <c r="A418" t="s">
        <v>660</v>
      </c>
      <c r="B418">
        <v>1749</v>
      </c>
      <c r="C418" t="s">
        <v>1075</v>
      </c>
      <c r="D418" t="s">
        <v>226</v>
      </c>
      <c r="E418" t="s">
        <v>659</v>
      </c>
      <c r="F418">
        <v>534.53</v>
      </c>
      <c r="G418">
        <v>491.03</v>
      </c>
    </row>
    <row r="419" spans="1:7" hidden="1" x14ac:dyDescent="0.25">
      <c r="A419" t="s">
        <v>660</v>
      </c>
      <c r="B419">
        <v>37412</v>
      </c>
      <c r="C419" t="s">
        <v>1076</v>
      </c>
      <c r="D419" t="s">
        <v>226</v>
      </c>
      <c r="E419" t="s">
        <v>659</v>
      </c>
      <c r="F419">
        <v>271.20999999999998</v>
      </c>
      <c r="G419">
        <v>249.13</v>
      </c>
    </row>
    <row r="420" spans="1:7" hidden="1" x14ac:dyDescent="0.25">
      <c r="A420" t="s">
        <v>660</v>
      </c>
      <c r="B420">
        <v>1745</v>
      </c>
      <c r="C420" t="s">
        <v>1077</v>
      </c>
      <c r="D420" t="s">
        <v>226</v>
      </c>
      <c r="E420" t="s">
        <v>659</v>
      </c>
      <c r="F420">
        <v>322.5</v>
      </c>
      <c r="G420">
        <v>296.25</v>
      </c>
    </row>
    <row r="421" spans="1:7" hidden="1" x14ac:dyDescent="0.25">
      <c r="A421" t="s">
        <v>660</v>
      </c>
      <c r="B421">
        <v>1750</v>
      </c>
      <c r="C421" t="s">
        <v>1078</v>
      </c>
      <c r="D421" t="s">
        <v>226</v>
      </c>
      <c r="E421" t="s">
        <v>659</v>
      </c>
      <c r="F421">
        <v>753.64</v>
      </c>
      <c r="G421">
        <v>692.3</v>
      </c>
    </row>
    <row r="422" spans="1:7" hidden="1" x14ac:dyDescent="0.25">
      <c r="A422" t="s">
        <v>660</v>
      </c>
      <c r="B422">
        <v>11687</v>
      </c>
      <c r="C422" t="s">
        <v>1079</v>
      </c>
      <c r="D422" t="s">
        <v>704</v>
      </c>
      <c r="E422" t="s">
        <v>659</v>
      </c>
      <c r="F422" s="538">
        <v>1200.77</v>
      </c>
      <c r="G422" s="538">
        <v>1103.05</v>
      </c>
    </row>
    <row r="423" spans="1:7" hidden="1" x14ac:dyDescent="0.25">
      <c r="A423" t="s">
        <v>660</v>
      </c>
      <c r="B423">
        <v>11689</v>
      </c>
      <c r="C423" t="s">
        <v>1080</v>
      </c>
      <c r="D423" t="s">
        <v>704</v>
      </c>
      <c r="E423" t="s">
        <v>659</v>
      </c>
      <c r="F423" s="538">
        <v>1504.5</v>
      </c>
      <c r="G423" s="538">
        <v>1382.05</v>
      </c>
    </row>
    <row r="424" spans="1:7" hidden="1" x14ac:dyDescent="0.25">
      <c r="A424" t="s">
        <v>660</v>
      </c>
      <c r="B424">
        <v>11693</v>
      </c>
      <c r="C424" t="s">
        <v>1081</v>
      </c>
      <c r="D424" t="s">
        <v>498</v>
      </c>
      <c r="E424" t="s">
        <v>659</v>
      </c>
      <c r="F424">
        <v>249.48</v>
      </c>
      <c r="G424">
        <v>305.91000000000003</v>
      </c>
    </row>
    <row r="425" spans="1:7" hidden="1" x14ac:dyDescent="0.25">
      <c r="A425" t="s">
        <v>660</v>
      </c>
      <c r="B425">
        <v>36215</v>
      </c>
      <c r="C425" t="s">
        <v>1082</v>
      </c>
      <c r="D425" t="s">
        <v>226</v>
      </c>
      <c r="E425" t="s">
        <v>659</v>
      </c>
      <c r="F425">
        <f>G425</f>
        <v>881.03</v>
      </c>
      <c r="G425">
        <v>881.03</v>
      </c>
    </row>
    <row r="426" spans="1:7" hidden="1" x14ac:dyDescent="0.25">
      <c r="A426" t="s">
        <v>660</v>
      </c>
      <c r="B426">
        <v>42439</v>
      </c>
      <c r="C426" t="s">
        <v>1083</v>
      </c>
      <c r="D426" t="s">
        <v>226</v>
      </c>
      <c r="E426" t="s">
        <v>659</v>
      </c>
      <c r="F426">
        <f>G426</f>
        <v>1207.8399999999999</v>
      </c>
      <c r="G426" s="538">
        <v>1207.8399999999999</v>
      </c>
    </row>
    <row r="427" spans="1:7" hidden="1" x14ac:dyDescent="0.25">
      <c r="A427" t="s">
        <v>660</v>
      </c>
      <c r="B427">
        <v>38381</v>
      </c>
      <c r="C427" t="s">
        <v>1084</v>
      </c>
      <c r="D427" t="s">
        <v>226</v>
      </c>
      <c r="E427" t="s">
        <v>659</v>
      </c>
      <c r="F427">
        <v>14.06</v>
      </c>
      <c r="G427">
        <v>14.2</v>
      </c>
    </row>
    <row r="428" spans="1:7" hidden="1" x14ac:dyDescent="0.25">
      <c r="A428" t="s">
        <v>660</v>
      </c>
      <c r="B428">
        <v>39621</v>
      </c>
      <c r="C428" t="s">
        <v>1085</v>
      </c>
      <c r="D428" t="s">
        <v>1086</v>
      </c>
      <c r="E428" t="s">
        <v>659</v>
      </c>
      <c r="F428" s="538">
        <v>1216.01</v>
      </c>
      <c r="G428" s="538">
        <v>1398.41</v>
      </c>
    </row>
    <row r="429" spans="1:7" hidden="1" x14ac:dyDescent="0.25">
      <c r="A429" t="s">
        <v>660</v>
      </c>
      <c r="B429">
        <v>39624</v>
      </c>
      <c r="C429" t="s">
        <v>1087</v>
      </c>
      <c r="D429" t="s">
        <v>1086</v>
      </c>
      <c r="E429" t="s">
        <v>659</v>
      </c>
      <c r="F429" s="538">
        <v>1341.39</v>
      </c>
      <c r="G429" s="538">
        <v>1542.6</v>
      </c>
    </row>
    <row r="430" spans="1:7" hidden="1" x14ac:dyDescent="0.25">
      <c r="A430" t="s">
        <v>660</v>
      </c>
      <c r="B430">
        <v>39615</v>
      </c>
      <c r="C430" t="s">
        <v>1088</v>
      </c>
      <c r="D430" t="s">
        <v>226</v>
      </c>
      <c r="E430" t="s">
        <v>659</v>
      </c>
      <c r="F430">
        <v>542.04</v>
      </c>
      <c r="G430">
        <v>623.35</v>
      </c>
    </row>
    <row r="431" spans="1:7" hidden="1" x14ac:dyDescent="0.25">
      <c r="A431" t="s">
        <v>660</v>
      </c>
      <c r="B431">
        <v>39620</v>
      </c>
      <c r="C431" t="s">
        <v>1089</v>
      </c>
      <c r="D431" t="s">
        <v>226</v>
      </c>
      <c r="E431" t="s">
        <v>659</v>
      </c>
      <c r="F431">
        <v>827.85</v>
      </c>
      <c r="G431">
        <v>952.03</v>
      </c>
    </row>
    <row r="432" spans="1:7" hidden="1" x14ac:dyDescent="0.25">
      <c r="A432" t="s">
        <v>660</v>
      </c>
      <c r="B432">
        <v>39623</v>
      </c>
      <c r="C432" t="s">
        <v>1090</v>
      </c>
      <c r="D432" t="s">
        <v>226</v>
      </c>
      <c r="E432" t="s">
        <v>659</v>
      </c>
      <c r="F432">
        <v>886.7</v>
      </c>
      <c r="G432" s="538">
        <v>1019.7</v>
      </c>
    </row>
    <row r="433" spans="1:7" hidden="1" x14ac:dyDescent="0.25">
      <c r="A433" t="s">
        <v>660</v>
      </c>
      <c r="B433">
        <v>546</v>
      </c>
      <c r="C433" t="s">
        <v>1091</v>
      </c>
      <c r="D433" t="s">
        <v>708</v>
      </c>
      <c r="E433" t="s">
        <v>172</v>
      </c>
      <c r="F433">
        <v>8.5</v>
      </c>
      <c r="G433">
        <v>10.43</v>
      </c>
    </row>
    <row r="434" spans="1:7" hidden="1" x14ac:dyDescent="0.25">
      <c r="A434" t="s">
        <v>660</v>
      </c>
      <c r="B434">
        <v>566</v>
      </c>
      <c r="C434" t="s">
        <v>1092</v>
      </c>
      <c r="D434" t="s">
        <v>704</v>
      </c>
      <c r="E434" t="s">
        <v>659</v>
      </c>
      <c r="F434">
        <v>4.03</v>
      </c>
      <c r="G434">
        <v>4.95</v>
      </c>
    </row>
    <row r="435" spans="1:7" hidden="1" x14ac:dyDescent="0.25">
      <c r="A435" t="s">
        <v>660</v>
      </c>
      <c r="B435">
        <v>565</v>
      </c>
      <c r="C435" t="s">
        <v>1093</v>
      </c>
      <c r="D435" t="s">
        <v>704</v>
      </c>
      <c r="E435" t="s">
        <v>659</v>
      </c>
      <c r="F435">
        <v>14.7</v>
      </c>
      <c r="G435">
        <v>18.04</v>
      </c>
    </row>
    <row r="436" spans="1:7" hidden="1" x14ac:dyDescent="0.25">
      <c r="A436" t="s">
        <v>660</v>
      </c>
      <c r="B436">
        <v>555</v>
      </c>
      <c r="C436" t="s">
        <v>1094</v>
      </c>
      <c r="D436" t="s">
        <v>704</v>
      </c>
      <c r="E436" t="s">
        <v>659</v>
      </c>
      <c r="F436">
        <v>10.42</v>
      </c>
      <c r="G436">
        <v>12.79</v>
      </c>
    </row>
    <row r="437" spans="1:7" hidden="1" x14ac:dyDescent="0.25">
      <c r="A437" t="s">
        <v>660</v>
      </c>
      <c r="B437">
        <v>557</v>
      </c>
      <c r="C437" t="s">
        <v>1095</v>
      </c>
      <c r="D437" t="s">
        <v>704</v>
      </c>
      <c r="E437" t="s">
        <v>659</v>
      </c>
      <c r="F437">
        <v>32.700000000000003</v>
      </c>
      <c r="G437">
        <v>40.130000000000003</v>
      </c>
    </row>
    <row r="438" spans="1:7" hidden="1" x14ac:dyDescent="0.25">
      <c r="A438" t="s">
        <v>660</v>
      </c>
      <c r="B438">
        <v>552</v>
      </c>
      <c r="C438" t="s">
        <v>1096</v>
      </c>
      <c r="D438" t="s">
        <v>704</v>
      </c>
      <c r="E438" t="s">
        <v>659</v>
      </c>
      <c r="F438">
        <v>16.22</v>
      </c>
      <c r="G438">
        <v>19.91</v>
      </c>
    </row>
    <row r="439" spans="1:7" hidden="1" x14ac:dyDescent="0.25">
      <c r="A439" t="s">
        <v>660</v>
      </c>
      <c r="B439">
        <v>563</v>
      </c>
      <c r="C439" t="s">
        <v>1097</v>
      </c>
      <c r="D439" t="s">
        <v>704</v>
      </c>
      <c r="E439" t="s">
        <v>659</v>
      </c>
      <c r="F439">
        <v>24.38</v>
      </c>
      <c r="G439">
        <v>29.92</v>
      </c>
    </row>
    <row r="440" spans="1:7" hidden="1" x14ac:dyDescent="0.25">
      <c r="A440" t="s">
        <v>660</v>
      </c>
      <c r="B440">
        <v>549</v>
      </c>
      <c r="C440" t="s">
        <v>1098</v>
      </c>
      <c r="D440" t="s">
        <v>704</v>
      </c>
      <c r="E440" t="s">
        <v>659</v>
      </c>
      <c r="F440">
        <v>43.88</v>
      </c>
      <c r="G440">
        <v>53.85</v>
      </c>
    </row>
    <row r="441" spans="1:7" hidden="1" x14ac:dyDescent="0.25">
      <c r="A441" t="s">
        <v>660</v>
      </c>
      <c r="B441">
        <v>551</v>
      </c>
      <c r="C441" t="s">
        <v>1099</v>
      </c>
      <c r="D441" t="s">
        <v>704</v>
      </c>
      <c r="E441" t="s">
        <v>659</v>
      </c>
      <c r="F441">
        <v>86.89</v>
      </c>
      <c r="G441">
        <v>106.62</v>
      </c>
    </row>
    <row r="442" spans="1:7" hidden="1" x14ac:dyDescent="0.25">
      <c r="A442" t="s">
        <v>660</v>
      </c>
      <c r="B442">
        <v>559</v>
      </c>
      <c r="C442" t="s">
        <v>1100</v>
      </c>
      <c r="D442" t="s">
        <v>704</v>
      </c>
      <c r="E442" t="s">
        <v>659</v>
      </c>
      <c r="F442">
        <v>21.72</v>
      </c>
      <c r="G442">
        <v>26.65</v>
      </c>
    </row>
    <row r="443" spans="1:7" hidden="1" x14ac:dyDescent="0.25">
      <c r="A443" t="s">
        <v>660</v>
      </c>
      <c r="B443">
        <v>560</v>
      </c>
      <c r="C443" t="s">
        <v>1101</v>
      </c>
      <c r="D443" t="s">
        <v>704</v>
      </c>
      <c r="E443" t="s">
        <v>659</v>
      </c>
      <c r="F443">
        <v>27.17</v>
      </c>
      <c r="G443">
        <v>33.340000000000003</v>
      </c>
    </row>
    <row r="444" spans="1:7" hidden="1" x14ac:dyDescent="0.25">
      <c r="A444" t="s">
        <v>660</v>
      </c>
      <c r="B444">
        <v>547</v>
      </c>
      <c r="C444" t="s">
        <v>1102</v>
      </c>
      <c r="D444" t="s">
        <v>704</v>
      </c>
      <c r="E444" t="s">
        <v>659</v>
      </c>
      <c r="F444">
        <v>32.54</v>
      </c>
      <c r="G444">
        <v>39.93</v>
      </c>
    </row>
    <row r="445" spans="1:7" hidden="1" x14ac:dyDescent="0.25">
      <c r="A445" t="s">
        <v>660</v>
      </c>
      <c r="B445">
        <v>36207</v>
      </c>
      <c r="C445" t="s">
        <v>1103</v>
      </c>
      <c r="D445" t="s">
        <v>226</v>
      </c>
      <c r="E445" t="s">
        <v>659</v>
      </c>
      <c r="F445">
        <f t="shared" ref="F445:F455" si="2">G445</f>
        <v>390.23</v>
      </c>
      <c r="G445">
        <v>390.23</v>
      </c>
    </row>
    <row r="446" spans="1:7" hidden="1" x14ac:dyDescent="0.25">
      <c r="A446" t="s">
        <v>660</v>
      </c>
      <c r="B446">
        <v>36209</v>
      </c>
      <c r="C446" t="s">
        <v>1104</v>
      </c>
      <c r="D446" t="s">
        <v>226</v>
      </c>
      <c r="E446" t="s">
        <v>659</v>
      </c>
      <c r="F446">
        <f t="shared" si="2"/>
        <v>447.85</v>
      </c>
      <c r="G446">
        <v>447.85</v>
      </c>
    </row>
    <row r="447" spans="1:7" hidden="1" x14ac:dyDescent="0.25">
      <c r="A447" t="s">
        <v>660</v>
      </c>
      <c r="B447">
        <v>36210</v>
      </c>
      <c r="C447" t="s">
        <v>1105</v>
      </c>
      <c r="D447" t="s">
        <v>226</v>
      </c>
      <c r="E447" t="s">
        <v>659</v>
      </c>
      <c r="F447">
        <f t="shared" si="2"/>
        <v>484.56</v>
      </c>
      <c r="G447">
        <v>484.56</v>
      </c>
    </row>
    <row r="448" spans="1:7" hidden="1" x14ac:dyDescent="0.25">
      <c r="A448" t="s">
        <v>660</v>
      </c>
      <c r="B448">
        <v>36204</v>
      </c>
      <c r="C448" t="s">
        <v>1106</v>
      </c>
      <c r="D448" t="s">
        <v>226</v>
      </c>
      <c r="E448" t="s">
        <v>659</v>
      </c>
      <c r="F448">
        <f t="shared" si="2"/>
        <v>171.81</v>
      </c>
      <c r="G448">
        <v>171.81</v>
      </c>
    </row>
    <row r="449" spans="1:7" hidden="1" x14ac:dyDescent="0.25">
      <c r="A449" t="s">
        <v>660</v>
      </c>
      <c r="B449">
        <v>36205</v>
      </c>
      <c r="C449" t="s">
        <v>1107</v>
      </c>
      <c r="D449" t="s">
        <v>226</v>
      </c>
      <c r="E449" t="s">
        <v>659</v>
      </c>
      <c r="F449">
        <f t="shared" si="2"/>
        <v>190.81</v>
      </c>
      <c r="G449">
        <v>190.81</v>
      </c>
    </row>
    <row r="450" spans="1:7" hidden="1" x14ac:dyDescent="0.25">
      <c r="A450" t="s">
        <v>660</v>
      </c>
      <c r="B450">
        <v>36081</v>
      </c>
      <c r="C450" t="s">
        <v>1108</v>
      </c>
      <c r="D450" t="s">
        <v>226</v>
      </c>
      <c r="E450" t="s">
        <v>172</v>
      </c>
      <c r="F450">
        <f t="shared" si="2"/>
        <v>203.45</v>
      </c>
      <c r="G450">
        <v>203.45</v>
      </c>
    </row>
    <row r="451" spans="1:7" hidden="1" x14ac:dyDescent="0.25">
      <c r="A451" t="s">
        <v>660</v>
      </c>
      <c r="B451">
        <v>36206</v>
      </c>
      <c r="C451" t="s">
        <v>1109</v>
      </c>
      <c r="D451" t="s">
        <v>226</v>
      </c>
      <c r="E451" t="s">
        <v>659</v>
      </c>
      <c r="F451">
        <f t="shared" si="2"/>
        <v>213.15</v>
      </c>
      <c r="G451">
        <v>213.15</v>
      </c>
    </row>
    <row r="452" spans="1:7" hidden="1" x14ac:dyDescent="0.25">
      <c r="A452" t="s">
        <v>660</v>
      </c>
      <c r="B452">
        <v>36218</v>
      </c>
      <c r="C452" t="s">
        <v>1110</v>
      </c>
      <c r="D452" t="s">
        <v>226</v>
      </c>
      <c r="E452" t="s">
        <v>659</v>
      </c>
      <c r="F452">
        <f t="shared" si="2"/>
        <v>173.26</v>
      </c>
      <c r="G452">
        <v>173.26</v>
      </c>
    </row>
    <row r="453" spans="1:7" hidden="1" x14ac:dyDescent="0.25">
      <c r="A453" t="s">
        <v>660</v>
      </c>
      <c r="B453">
        <v>36220</v>
      </c>
      <c r="C453" t="s">
        <v>1111</v>
      </c>
      <c r="D453" t="s">
        <v>226</v>
      </c>
      <c r="E453" t="s">
        <v>659</v>
      </c>
      <c r="F453">
        <f t="shared" si="2"/>
        <v>198.68</v>
      </c>
      <c r="G453">
        <v>198.68</v>
      </c>
    </row>
    <row r="454" spans="1:7" hidden="1" x14ac:dyDescent="0.25">
      <c r="A454" t="s">
        <v>660</v>
      </c>
      <c r="B454">
        <v>36080</v>
      </c>
      <c r="C454" t="s">
        <v>1112</v>
      </c>
      <c r="D454" t="s">
        <v>226</v>
      </c>
      <c r="E454" t="s">
        <v>172</v>
      </c>
      <c r="F454">
        <f t="shared" si="2"/>
        <v>214.9</v>
      </c>
      <c r="G454">
        <v>214.9</v>
      </c>
    </row>
    <row r="455" spans="1:7" hidden="1" x14ac:dyDescent="0.25">
      <c r="A455" t="s">
        <v>660</v>
      </c>
      <c r="B455">
        <v>36223</v>
      </c>
      <c r="C455" t="s">
        <v>1113</v>
      </c>
      <c r="D455" t="s">
        <v>226</v>
      </c>
      <c r="E455" t="s">
        <v>659</v>
      </c>
      <c r="F455">
        <f t="shared" si="2"/>
        <v>225.03</v>
      </c>
      <c r="G455">
        <v>225.03</v>
      </c>
    </row>
    <row r="456" spans="1:7" hidden="1" x14ac:dyDescent="0.25">
      <c r="A456" t="s">
        <v>660</v>
      </c>
      <c r="B456">
        <v>38127</v>
      </c>
      <c r="C456" t="s">
        <v>1114</v>
      </c>
      <c r="D456" t="s">
        <v>226</v>
      </c>
      <c r="E456" t="s">
        <v>659</v>
      </c>
      <c r="F456">
        <v>430.41</v>
      </c>
      <c r="G456">
        <v>386.86</v>
      </c>
    </row>
    <row r="457" spans="1:7" hidden="1" x14ac:dyDescent="0.25">
      <c r="A457" t="s">
        <v>660</v>
      </c>
      <c r="B457">
        <v>38060</v>
      </c>
      <c r="C457" t="s">
        <v>1115</v>
      </c>
      <c r="D457" t="s">
        <v>226</v>
      </c>
      <c r="E457" t="s">
        <v>659</v>
      </c>
      <c r="F457">
        <v>48.8</v>
      </c>
      <c r="G457">
        <v>57.92</v>
      </c>
    </row>
    <row r="458" spans="1:7" hidden="1" x14ac:dyDescent="0.25">
      <c r="A458" t="s">
        <v>660</v>
      </c>
      <c r="B458">
        <v>10956</v>
      </c>
      <c r="C458" t="s">
        <v>1116</v>
      </c>
      <c r="D458" t="s">
        <v>226</v>
      </c>
      <c r="E458" t="s">
        <v>659</v>
      </c>
      <c r="F458">
        <v>53.51</v>
      </c>
      <c r="G458">
        <v>63.51</v>
      </c>
    </row>
    <row r="459" spans="1:7" hidden="1" x14ac:dyDescent="0.25">
      <c r="A459" t="s">
        <v>660</v>
      </c>
      <c r="B459">
        <v>39380</v>
      </c>
      <c r="C459" t="s">
        <v>1117</v>
      </c>
      <c r="D459" t="s">
        <v>226</v>
      </c>
      <c r="E459" t="s">
        <v>659</v>
      </c>
      <c r="F459">
        <f>G459</f>
        <v>20.28</v>
      </c>
      <c r="G459">
        <v>20.28</v>
      </c>
    </row>
    <row r="460" spans="1:7" hidden="1" x14ac:dyDescent="0.25">
      <c r="A460" t="s">
        <v>660</v>
      </c>
      <c r="B460">
        <v>44172</v>
      </c>
      <c r="C460" t="s">
        <v>1118</v>
      </c>
      <c r="D460" t="s">
        <v>226</v>
      </c>
      <c r="E460" t="s">
        <v>659</v>
      </c>
      <c r="F460">
        <v>7.83</v>
      </c>
      <c r="G460">
        <v>7.83</v>
      </c>
    </row>
    <row r="461" spans="1:7" hidden="1" x14ac:dyDescent="0.25">
      <c r="A461" t="s">
        <v>842</v>
      </c>
      <c r="B461">
        <v>37597</v>
      </c>
      <c r="C461" t="s">
        <v>1119</v>
      </c>
      <c r="D461" t="s">
        <v>226</v>
      </c>
      <c r="E461" t="s">
        <v>659</v>
      </c>
      <c r="F461">
        <f>G461</f>
        <v>651367.18000000005</v>
      </c>
      <c r="G461" s="538">
        <v>651367.18000000005</v>
      </c>
    </row>
    <row r="462" spans="1:7" hidden="1" x14ac:dyDescent="0.25">
      <c r="A462" t="s">
        <v>660</v>
      </c>
      <c r="B462">
        <v>183</v>
      </c>
      <c r="C462" t="s">
        <v>1120</v>
      </c>
      <c r="D462" t="s">
        <v>1121</v>
      </c>
      <c r="E462" t="s">
        <v>172</v>
      </c>
      <c r="F462">
        <v>215.95</v>
      </c>
      <c r="G462">
        <v>280</v>
      </c>
    </row>
    <row r="463" spans="1:7" x14ac:dyDescent="0.25">
      <c r="A463" t="s">
        <v>660</v>
      </c>
      <c r="B463">
        <v>184</v>
      </c>
      <c r="C463" t="s">
        <v>1122</v>
      </c>
      <c r="D463" t="s">
        <v>1121</v>
      </c>
      <c r="E463" t="s">
        <v>659</v>
      </c>
      <c r="F463">
        <v>133.74</v>
      </c>
      <c r="G463">
        <v>173.41</v>
      </c>
    </row>
    <row r="464" spans="1:7" hidden="1" x14ac:dyDescent="0.25">
      <c r="A464" t="s">
        <v>660</v>
      </c>
      <c r="B464">
        <v>181</v>
      </c>
      <c r="C464" t="s">
        <v>1123</v>
      </c>
      <c r="D464" t="s">
        <v>1121</v>
      </c>
      <c r="E464" t="s">
        <v>659</v>
      </c>
      <c r="F464">
        <v>288.39</v>
      </c>
      <c r="G464">
        <v>373.93</v>
      </c>
    </row>
    <row r="465" spans="1:7" x14ac:dyDescent="0.25">
      <c r="A465" t="s">
        <v>660</v>
      </c>
      <c r="B465">
        <v>20001</v>
      </c>
      <c r="C465" t="s">
        <v>1124</v>
      </c>
      <c r="D465" t="s">
        <v>1121</v>
      </c>
      <c r="E465" t="s">
        <v>659</v>
      </c>
      <c r="F465">
        <v>167.18</v>
      </c>
      <c r="G465">
        <v>216.77</v>
      </c>
    </row>
    <row r="466" spans="1:7" hidden="1" x14ac:dyDescent="0.25">
      <c r="A466" t="s">
        <v>660</v>
      </c>
      <c r="B466">
        <v>39837</v>
      </c>
      <c r="C466" t="s">
        <v>1125</v>
      </c>
      <c r="D466" t="s">
        <v>1121</v>
      </c>
      <c r="E466" t="s">
        <v>659</v>
      </c>
      <c r="F466">
        <v>442.23</v>
      </c>
      <c r="G466">
        <v>410.94</v>
      </c>
    </row>
    <row r="467" spans="1:7" hidden="1" x14ac:dyDescent="0.25">
      <c r="A467" t="s">
        <v>660</v>
      </c>
      <c r="B467">
        <v>43366</v>
      </c>
      <c r="C467" t="s">
        <v>1126</v>
      </c>
      <c r="D467" t="s">
        <v>708</v>
      </c>
      <c r="E467" t="s">
        <v>659</v>
      </c>
      <c r="F467">
        <f>G467</f>
        <v>1.64</v>
      </c>
      <c r="G467">
        <v>1.64</v>
      </c>
    </row>
    <row r="468" spans="1:7" hidden="1" x14ac:dyDescent="0.25">
      <c r="A468" t="s">
        <v>842</v>
      </c>
      <c r="B468">
        <v>10535</v>
      </c>
      <c r="C468" t="s">
        <v>1127</v>
      </c>
      <c r="D468" t="s">
        <v>226</v>
      </c>
      <c r="E468" t="s">
        <v>172</v>
      </c>
      <c r="F468" s="538">
        <v>6135</v>
      </c>
      <c r="G468" s="538">
        <v>4914.08</v>
      </c>
    </row>
    <row r="469" spans="1:7" hidden="1" x14ac:dyDescent="0.25">
      <c r="A469" t="s">
        <v>842</v>
      </c>
      <c r="B469">
        <v>10537</v>
      </c>
      <c r="C469" t="s">
        <v>1128</v>
      </c>
      <c r="D469" t="s">
        <v>226</v>
      </c>
      <c r="E469" t="s">
        <v>659</v>
      </c>
      <c r="F469" s="538">
        <v>8366.4699999999993</v>
      </c>
      <c r="G469" s="538">
        <v>6701.47</v>
      </c>
    </row>
    <row r="470" spans="1:7" hidden="1" x14ac:dyDescent="0.25">
      <c r="A470" t="s">
        <v>842</v>
      </c>
      <c r="B470">
        <v>13891</v>
      </c>
      <c r="C470" t="s">
        <v>1129</v>
      </c>
      <c r="D470" t="s">
        <v>226</v>
      </c>
      <c r="E470" t="s">
        <v>659</v>
      </c>
      <c r="F470" s="538">
        <v>7673.94</v>
      </c>
      <c r="G470" s="538">
        <v>6146.76</v>
      </c>
    </row>
    <row r="471" spans="1:7" hidden="1" x14ac:dyDescent="0.25">
      <c r="A471" t="s">
        <v>842</v>
      </c>
      <c r="B471">
        <v>36396</v>
      </c>
      <c r="C471" t="s">
        <v>1130</v>
      </c>
      <c r="D471" t="s">
        <v>226</v>
      </c>
      <c r="E471" t="s">
        <v>659</v>
      </c>
      <c r="F471" s="538">
        <v>7018.85</v>
      </c>
      <c r="G471" s="538">
        <v>5622.04</v>
      </c>
    </row>
    <row r="472" spans="1:7" hidden="1" x14ac:dyDescent="0.25">
      <c r="A472" t="s">
        <v>842</v>
      </c>
      <c r="B472">
        <v>36397</v>
      </c>
      <c r="C472" t="s">
        <v>1131</v>
      </c>
      <c r="D472" t="s">
        <v>226</v>
      </c>
      <c r="E472" t="s">
        <v>659</v>
      </c>
      <c r="F472" s="538">
        <v>24955.93</v>
      </c>
      <c r="G472" s="538">
        <v>19989.47</v>
      </c>
    </row>
    <row r="473" spans="1:7" hidden="1" x14ac:dyDescent="0.25">
      <c r="A473" t="s">
        <v>842</v>
      </c>
      <c r="B473">
        <v>36398</v>
      </c>
      <c r="C473" t="s">
        <v>1132</v>
      </c>
      <c r="D473" t="s">
        <v>226</v>
      </c>
      <c r="E473" t="s">
        <v>659</v>
      </c>
      <c r="F473" s="538">
        <v>30331.85</v>
      </c>
      <c r="G473" s="538">
        <v>24295.54</v>
      </c>
    </row>
    <row r="474" spans="1:7" hidden="1" x14ac:dyDescent="0.25">
      <c r="A474" t="s">
        <v>842</v>
      </c>
      <c r="B474">
        <v>44492</v>
      </c>
      <c r="C474" t="s">
        <v>1133</v>
      </c>
      <c r="D474" t="s">
        <v>226</v>
      </c>
      <c r="E474" t="s">
        <v>659</v>
      </c>
      <c r="F474" s="538">
        <v>33378.550000000003</v>
      </c>
      <c r="G474" s="538">
        <v>26735.919999999998</v>
      </c>
    </row>
    <row r="475" spans="1:7" hidden="1" x14ac:dyDescent="0.25">
      <c r="A475" t="s">
        <v>807</v>
      </c>
      <c r="B475">
        <v>647</v>
      </c>
      <c r="C475" t="s">
        <v>1134</v>
      </c>
      <c r="D475" t="s">
        <v>809</v>
      </c>
      <c r="E475" t="s">
        <v>659</v>
      </c>
      <c r="F475">
        <v>9.91</v>
      </c>
      <c r="G475">
        <v>14.91</v>
      </c>
    </row>
    <row r="476" spans="1:7" hidden="1" x14ac:dyDescent="0.25">
      <c r="A476" t="s">
        <v>807</v>
      </c>
      <c r="B476">
        <v>40920</v>
      </c>
      <c r="C476" t="s">
        <v>1135</v>
      </c>
      <c r="D476" t="s">
        <v>811</v>
      </c>
      <c r="E476" t="s">
        <v>659</v>
      </c>
      <c r="F476" s="538">
        <v>2180.69</v>
      </c>
      <c r="G476" s="538">
        <v>3281.32</v>
      </c>
    </row>
    <row r="477" spans="1:7" hidden="1" x14ac:dyDescent="0.25">
      <c r="A477" t="s">
        <v>660</v>
      </c>
      <c r="B477">
        <v>715</v>
      </c>
      <c r="C477" t="s">
        <v>1136</v>
      </c>
      <c r="D477" t="s">
        <v>226</v>
      </c>
      <c r="E477" t="s">
        <v>172</v>
      </c>
      <c r="F477">
        <v>17.899999999999999</v>
      </c>
      <c r="G477">
        <v>19.850000000000001</v>
      </c>
    </row>
    <row r="478" spans="1:7" hidden="1" x14ac:dyDescent="0.25">
      <c r="A478" t="s">
        <v>660</v>
      </c>
      <c r="B478">
        <v>716</v>
      </c>
      <c r="C478" t="s">
        <v>1137</v>
      </c>
      <c r="D478" t="s">
        <v>226</v>
      </c>
      <c r="E478" t="s">
        <v>659</v>
      </c>
      <c r="F478">
        <v>20.239999999999998</v>
      </c>
      <c r="G478">
        <v>22.44</v>
      </c>
    </row>
    <row r="479" spans="1:7" hidden="1" x14ac:dyDescent="0.25">
      <c r="A479" t="s">
        <v>660</v>
      </c>
      <c r="B479">
        <v>7270</v>
      </c>
      <c r="C479" t="s">
        <v>1138</v>
      </c>
      <c r="D479" t="s">
        <v>226</v>
      </c>
      <c r="E479" t="s">
        <v>659</v>
      </c>
      <c r="F479">
        <v>0.79</v>
      </c>
      <c r="G479">
        <v>0.75</v>
      </c>
    </row>
    <row r="480" spans="1:7" hidden="1" x14ac:dyDescent="0.25">
      <c r="A480" t="s">
        <v>660</v>
      </c>
      <c r="B480">
        <v>44460</v>
      </c>
      <c r="C480" t="s">
        <v>1139</v>
      </c>
      <c r="D480" t="s">
        <v>226</v>
      </c>
      <c r="E480" t="s">
        <v>659</v>
      </c>
      <c r="F480">
        <v>1.33</v>
      </c>
      <c r="G480">
        <v>1.27</v>
      </c>
    </row>
    <row r="481" spans="1:7" hidden="1" x14ac:dyDescent="0.25">
      <c r="A481" t="s">
        <v>660</v>
      </c>
      <c r="B481">
        <v>44461</v>
      </c>
      <c r="C481" t="s">
        <v>1140</v>
      </c>
      <c r="D481" t="s">
        <v>226</v>
      </c>
      <c r="E481" t="s">
        <v>659</v>
      </c>
      <c r="F481">
        <v>1.82</v>
      </c>
      <c r="G481">
        <v>1.73</v>
      </c>
    </row>
    <row r="482" spans="1:7" hidden="1" x14ac:dyDescent="0.25">
      <c r="A482" t="s">
        <v>660</v>
      </c>
      <c r="B482">
        <v>7267</v>
      </c>
      <c r="C482" t="s">
        <v>1141</v>
      </c>
      <c r="D482" t="s">
        <v>226</v>
      </c>
      <c r="E482" t="s">
        <v>659</v>
      </c>
      <c r="F482">
        <v>0.67</v>
      </c>
      <c r="G482">
        <v>0.64</v>
      </c>
    </row>
    <row r="483" spans="1:7" hidden="1" x14ac:dyDescent="0.25">
      <c r="A483" t="s">
        <v>660</v>
      </c>
      <c r="B483">
        <v>44458</v>
      </c>
      <c r="C483" t="s">
        <v>1142</v>
      </c>
      <c r="D483" t="s">
        <v>226</v>
      </c>
      <c r="E483" t="s">
        <v>659</v>
      </c>
      <c r="F483">
        <v>0.81</v>
      </c>
      <c r="G483">
        <v>0.77</v>
      </c>
    </row>
    <row r="484" spans="1:7" hidden="1" x14ac:dyDescent="0.25">
      <c r="A484" t="s">
        <v>660</v>
      </c>
      <c r="B484">
        <v>44457</v>
      </c>
      <c r="C484" t="s">
        <v>1143</v>
      </c>
      <c r="D484" t="s">
        <v>226</v>
      </c>
      <c r="E484" t="s">
        <v>659</v>
      </c>
      <c r="F484">
        <v>1.57</v>
      </c>
      <c r="G484">
        <v>1.5</v>
      </c>
    </row>
    <row r="485" spans="1:7" hidden="1" x14ac:dyDescent="0.25">
      <c r="A485" t="s">
        <v>660</v>
      </c>
      <c r="B485">
        <v>7271</v>
      </c>
      <c r="C485" t="s">
        <v>1144</v>
      </c>
      <c r="D485" t="s">
        <v>226</v>
      </c>
      <c r="E485" t="s">
        <v>172</v>
      </c>
      <c r="F485">
        <v>0.85</v>
      </c>
      <c r="G485">
        <v>0.81</v>
      </c>
    </row>
    <row r="486" spans="1:7" hidden="1" x14ac:dyDescent="0.25">
      <c r="A486" t="s">
        <v>660</v>
      </c>
      <c r="B486">
        <v>7268</v>
      </c>
      <c r="C486" t="s">
        <v>1145</v>
      </c>
      <c r="D486" t="s">
        <v>226</v>
      </c>
      <c r="E486" t="s">
        <v>659</v>
      </c>
      <c r="F486">
        <v>1.32</v>
      </c>
      <c r="G486">
        <v>1.26</v>
      </c>
    </row>
    <row r="487" spans="1:7" hidden="1" x14ac:dyDescent="0.25">
      <c r="A487" t="s">
        <v>660</v>
      </c>
      <c r="B487">
        <v>44459</v>
      </c>
      <c r="C487" t="s">
        <v>1146</v>
      </c>
      <c r="D487" t="s">
        <v>226</v>
      </c>
      <c r="E487" t="s">
        <v>659</v>
      </c>
      <c r="F487">
        <v>0.85</v>
      </c>
      <c r="G487">
        <v>0.81</v>
      </c>
    </row>
    <row r="488" spans="1:7" hidden="1" x14ac:dyDescent="0.25">
      <c r="A488" t="s">
        <v>660</v>
      </c>
      <c r="B488">
        <v>44462</v>
      </c>
      <c r="C488" t="s">
        <v>1147</v>
      </c>
      <c r="D488" t="s">
        <v>226</v>
      </c>
      <c r="E488" t="s">
        <v>659</v>
      </c>
      <c r="F488">
        <v>1.51</v>
      </c>
      <c r="G488">
        <v>1.44</v>
      </c>
    </row>
    <row r="489" spans="1:7" hidden="1" x14ac:dyDescent="0.25">
      <c r="A489" t="s">
        <v>660</v>
      </c>
      <c r="B489">
        <v>44463</v>
      </c>
      <c r="C489" t="s">
        <v>1148</v>
      </c>
      <c r="D489" t="s">
        <v>226</v>
      </c>
      <c r="E489" t="s">
        <v>659</v>
      </c>
      <c r="F489">
        <v>1.95</v>
      </c>
      <c r="G489">
        <v>1.86</v>
      </c>
    </row>
    <row r="490" spans="1:7" hidden="1" x14ac:dyDescent="0.25">
      <c r="A490" t="s">
        <v>660</v>
      </c>
      <c r="B490">
        <v>44464</v>
      </c>
      <c r="C490" t="s">
        <v>1149</v>
      </c>
      <c r="D490" t="s">
        <v>226</v>
      </c>
      <c r="E490" t="s">
        <v>659</v>
      </c>
      <c r="F490">
        <v>2.02</v>
      </c>
      <c r="G490">
        <v>1.92</v>
      </c>
    </row>
    <row r="491" spans="1:7" hidden="1" x14ac:dyDescent="0.25">
      <c r="A491" t="s">
        <v>660</v>
      </c>
      <c r="B491">
        <v>44465</v>
      </c>
      <c r="C491" t="s">
        <v>1150</v>
      </c>
      <c r="D491" t="s">
        <v>226</v>
      </c>
      <c r="E491" t="s">
        <v>659</v>
      </c>
      <c r="F491">
        <v>2.77</v>
      </c>
      <c r="G491">
        <v>2.64</v>
      </c>
    </row>
    <row r="492" spans="1:7" hidden="1" x14ac:dyDescent="0.25">
      <c r="A492" t="s">
        <v>660</v>
      </c>
      <c r="B492">
        <v>38783</v>
      </c>
      <c r="C492" t="s">
        <v>1151</v>
      </c>
      <c r="D492" t="s">
        <v>226</v>
      </c>
      <c r="E492" t="s">
        <v>659</v>
      </c>
      <c r="F492">
        <v>0.97</v>
      </c>
      <c r="G492">
        <v>0.92</v>
      </c>
    </row>
    <row r="493" spans="1:7" x14ac:dyDescent="0.25">
      <c r="A493" t="s">
        <v>660</v>
      </c>
      <c r="B493">
        <v>44466</v>
      </c>
      <c r="C493" t="s">
        <v>1152</v>
      </c>
      <c r="D493" t="s">
        <v>226</v>
      </c>
      <c r="E493" t="s">
        <v>659</v>
      </c>
      <c r="F493">
        <v>1.97</v>
      </c>
      <c r="G493">
        <v>1.88</v>
      </c>
    </row>
    <row r="494" spans="1:7" x14ac:dyDescent="0.25">
      <c r="A494" t="s">
        <v>660</v>
      </c>
      <c r="B494">
        <v>44467</v>
      </c>
      <c r="C494" t="s">
        <v>1153</v>
      </c>
      <c r="D494" t="s">
        <v>226</v>
      </c>
      <c r="E494" t="s">
        <v>659</v>
      </c>
      <c r="F494">
        <v>2.37</v>
      </c>
      <c r="G494">
        <v>2.2599999999999998</v>
      </c>
    </row>
    <row r="495" spans="1:7" x14ac:dyDescent="0.25">
      <c r="A495" t="s">
        <v>660</v>
      </c>
      <c r="B495">
        <v>44468</v>
      </c>
      <c r="C495" t="s">
        <v>1154</v>
      </c>
      <c r="D495" t="s">
        <v>226</v>
      </c>
      <c r="E495" t="s">
        <v>659</v>
      </c>
      <c r="F495">
        <v>2.06</v>
      </c>
      <c r="G495">
        <v>1.96</v>
      </c>
    </row>
    <row r="496" spans="1:7" x14ac:dyDescent="0.25">
      <c r="A496" t="s">
        <v>660</v>
      </c>
      <c r="B496">
        <v>37593</v>
      </c>
      <c r="C496" t="s">
        <v>1155</v>
      </c>
      <c r="D496" t="s">
        <v>226</v>
      </c>
      <c r="E496" t="s">
        <v>659</v>
      </c>
      <c r="F496">
        <v>2.65</v>
      </c>
      <c r="G496">
        <v>2.5299999999999998</v>
      </c>
    </row>
    <row r="497" spans="1:7" x14ac:dyDescent="0.25">
      <c r="A497" t="s">
        <v>660</v>
      </c>
      <c r="B497">
        <v>37594</v>
      </c>
      <c r="C497" t="s">
        <v>1156</v>
      </c>
      <c r="D497" t="s">
        <v>226</v>
      </c>
      <c r="E497" t="s">
        <v>659</v>
      </c>
      <c r="F497">
        <v>3.15</v>
      </c>
      <c r="G497">
        <v>3</v>
      </c>
    </row>
    <row r="498" spans="1:7" x14ac:dyDescent="0.25">
      <c r="A498" t="s">
        <v>660</v>
      </c>
      <c r="B498">
        <v>37592</v>
      </c>
      <c r="C498" t="s">
        <v>1157</v>
      </c>
      <c r="D498" t="s">
        <v>226</v>
      </c>
      <c r="E498" t="s">
        <v>659</v>
      </c>
      <c r="F498">
        <v>2.1</v>
      </c>
      <c r="G498">
        <v>2</v>
      </c>
    </row>
    <row r="499" spans="1:7" hidden="1" x14ac:dyDescent="0.25">
      <c r="A499" t="s">
        <v>660</v>
      </c>
      <c r="B499">
        <v>41372</v>
      </c>
      <c r="C499" t="s">
        <v>1158</v>
      </c>
      <c r="D499" t="s">
        <v>498</v>
      </c>
      <c r="E499" t="s">
        <v>659</v>
      </c>
      <c r="F499">
        <v>120.13</v>
      </c>
      <c r="G499">
        <v>120.34</v>
      </c>
    </row>
    <row r="500" spans="1:7" hidden="1" x14ac:dyDescent="0.25">
      <c r="A500" t="s">
        <v>660</v>
      </c>
      <c r="B500">
        <v>41371</v>
      </c>
      <c r="C500" t="s">
        <v>1159</v>
      </c>
      <c r="D500" t="s">
        <v>498</v>
      </c>
      <c r="E500" t="s">
        <v>659</v>
      </c>
      <c r="F500">
        <v>71.010000000000005</v>
      </c>
      <c r="G500">
        <v>71.13</v>
      </c>
    </row>
    <row r="501" spans="1:7" hidden="1" x14ac:dyDescent="0.25">
      <c r="A501" t="s">
        <v>660</v>
      </c>
      <c r="B501">
        <v>34556</v>
      </c>
      <c r="C501" t="s">
        <v>1160</v>
      </c>
      <c r="D501" t="s">
        <v>226</v>
      </c>
      <c r="E501" t="s">
        <v>659</v>
      </c>
      <c r="F501">
        <v>5.24</v>
      </c>
      <c r="G501">
        <v>4.66</v>
      </c>
    </row>
    <row r="502" spans="1:7" hidden="1" x14ac:dyDescent="0.25">
      <c r="A502" t="s">
        <v>660</v>
      </c>
      <c r="B502">
        <v>37873</v>
      </c>
      <c r="C502" t="s">
        <v>1161</v>
      </c>
      <c r="D502" t="s">
        <v>226</v>
      </c>
      <c r="E502" t="s">
        <v>659</v>
      </c>
      <c r="F502">
        <v>5.33</v>
      </c>
      <c r="G502">
        <v>4.75</v>
      </c>
    </row>
    <row r="503" spans="1:7" hidden="1" x14ac:dyDescent="0.25">
      <c r="A503" t="s">
        <v>660</v>
      </c>
      <c r="B503">
        <v>34564</v>
      </c>
      <c r="C503" t="s">
        <v>1162</v>
      </c>
      <c r="D503" t="s">
        <v>226</v>
      </c>
      <c r="E503" t="s">
        <v>659</v>
      </c>
      <c r="F503">
        <v>5.58</v>
      </c>
      <c r="G503">
        <v>4.97</v>
      </c>
    </row>
    <row r="504" spans="1:7" hidden="1" x14ac:dyDescent="0.25">
      <c r="A504" t="s">
        <v>660</v>
      </c>
      <c r="B504">
        <v>34565</v>
      </c>
      <c r="C504" t="s">
        <v>1163</v>
      </c>
      <c r="D504" t="s">
        <v>226</v>
      </c>
      <c r="E504" t="s">
        <v>659</v>
      </c>
      <c r="F504">
        <v>5.9</v>
      </c>
      <c r="G504">
        <v>5.26</v>
      </c>
    </row>
    <row r="505" spans="1:7" hidden="1" x14ac:dyDescent="0.25">
      <c r="A505" t="s">
        <v>660</v>
      </c>
      <c r="B505">
        <v>38590</v>
      </c>
      <c r="C505" t="s">
        <v>1164</v>
      </c>
      <c r="D505" t="s">
        <v>226</v>
      </c>
      <c r="E505" t="s">
        <v>659</v>
      </c>
      <c r="F505">
        <v>4.3600000000000003</v>
      </c>
      <c r="G505">
        <v>3.89</v>
      </c>
    </row>
    <row r="506" spans="1:7" hidden="1" x14ac:dyDescent="0.25">
      <c r="A506" t="s">
        <v>660</v>
      </c>
      <c r="B506">
        <v>34566</v>
      </c>
      <c r="C506" t="s">
        <v>1165</v>
      </c>
      <c r="D506" t="s">
        <v>226</v>
      </c>
      <c r="E506" t="s">
        <v>659</v>
      </c>
      <c r="F506">
        <v>4.58</v>
      </c>
      <c r="G506">
        <v>4.08</v>
      </c>
    </row>
    <row r="507" spans="1:7" hidden="1" x14ac:dyDescent="0.25">
      <c r="A507" t="s">
        <v>660</v>
      </c>
      <c r="B507">
        <v>34567</v>
      </c>
      <c r="C507" t="s">
        <v>1166</v>
      </c>
      <c r="D507" t="s">
        <v>226</v>
      </c>
      <c r="E507" t="s">
        <v>659</v>
      </c>
      <c r="F507">
        <v>4.8600000000000003</v>
      </c>
      <c r="G507">
        <v>4.33</v>
      </c>
    </row>
    <row r="508" spans="1:7" hidden="1" x14ac:dyDescent="0.25">
      <c r="A508" t="s">
        <v>660</v>
      </c>
      <c r="B508">
        <v>38591</v>
      </c>
      <c r="C508" t="s">
        <v>1167</v>
      </c>
      <c r="D508" t="s">
        <v>226</v>
      </c>
      <c r="E508" t="s">
        <v>659</v>
      </c>
      <c r="F508">
        <v>4.41</v>
      </c>
      <c r="G508">
        <v>3.93</v>
      </c>
    </row>
    <row r="509" spans="1:7" hidden="1" x14ac:dyDescent="0.25">
      <c r="A509" t="s">
        <v>660</v>
      </c>
      <c r="B509">
        <v>34568</v>
      </c>
      <c r="C509" t="s">
        <v>1168</v>
      </c>
      <c r="D509" t="s">
        <v>226</v>
      </c>
      <c r="E509" t="s">
        <v>659</v>
      </c>
      <c r="F509">
        <v>5.74</v>
      </c>
      <c r="G509">
        <v>5.1100000000000003</v>
      </c>
    </row>
    <row r="510" spans="1:7" hidden="1" x14ac:dyDescent="0.25">
      <c r="A510" t="s">
        <v>660</v>
      </c>
      <c r="B510">
        <v>34569</v>
      </c>
      <c r="C510" t="s">
        <v>1169</v>
      </c>
      <c r="D510" t="s">
        <v>226</v>
      </c>
      <c r="E510" t="s">
        <v>659</v>
      </c>
      <c r="F510">
        <v>5.9</v>
      </c>
      <c r="G510">
        <v>5.26</v>
      </c>
    </row>
    <row r="511" spans="1:7" hidden="1" x14ac:dyDescent="0.25">
      <c r="A511" t="s">
        <v>660</v>
      </c>
      <c r="B511">
        <v>34570</v>
      </c>
      <c r="C511" t="s">
        <v>1170</v>
      </c>
      <c r="D511" t="s">
        <v>226</v>
      </c>
      <c r="E511" t="s">
        <v>659</v>
      </c>
      <c r="F511">
        <v>6.41</v>
      </c>
      <c r="G511">
        <v>5.71</v>
      </c>
    </row>
    <row r="512" spans="1:7" hidden="1" x14ac:dyDescent="0.25">
      <c r="A512" t="s">
        <v>660</v>
      </c>
      <c r="B512">
        <v>25070</v>
      </c>
      <c r="C512" t="s">
        <v>1171</v>
      </c>
      <c r="D512" t="s">
        <v>226</v>
      </c>
      <c r="E512" t="s">
        <v>659</v>
      </c>
      <c r="F512">
        <v>4.82</v>
      </c>
      <c r="G512">
        <v>4.29</v>
      </c>
    </row>
    <row r="513" spans="1:7" hidden="1" x14ac:dyDescent="0.25">
      <c r="A513" t="s">
        <v>660</v>
      </c>
      <c r="B513">
        <v>34571</v>
      </c>
      <c r="C513" t="s">
        <v>1172</v>
      </c>
      <c r="D513" t="s">
        <v>226</v>
      </c>
      <c r="E513" t="s">
        <v>659</v>
      </c>
      <c r="F513">
        <v>4.87</v>
      </c>
      <c r="G513">
        <v>4.34</v>
      </c>
    </row>
    <row r="514" spans="1:7" hidden="1" x14ac:dyDescent="0.25">
      <c r="A514" t="s">
        <v>660</v>
      </c>
      <c r="B514">
        <v>34573</v>
      </c>
      <c r="C514" t="s">
        <v>1173</v>
      </c>
      <c r="D514" t="s">
        <v>226</v>
      </c>
      <c r="E514" t="s">
        <v>659</v>
      </c>
      <c r="F514">
        <v>5.12</v>
      </c>
      <c r="G514">
        <v>4.5599999999999996</v>
      </c>
    </row>
    <row r="515" spans="1:7" hidden="1" x14ac:dyDescent="0.25">
      <c r="A515" t="s">
        <v>660</v>
      </c>
      <c r="B515">
        <v>37107</v>
      </c>
      <c r="C515" t="s">
        <v>1174</v>
      </c>
      <c r="D515" t="s">
        <v>226</v>
      </c>
      <c r="E515" t="s">
        <v>659</v>
      </c>
      <c r="F515">
        <v>6.77</v>
      </c>
      <c r="G515">
        <v>6.03</v>
      </c>
    </row>
    <row r="516" spans="1:7" hidden="1" x14ac:dyDescent="0.25">
      <c r="A516" t="s">
        <v>660</v>
      </c>
      <c r="B516">
        <v>34576</v>
      </c>
      <c r="C516" t="s">
        <v>1175</v>
      </c>
      <c r="D516" t="s">
        <v>226</v>
      </c>
      <c r="E516" t="s">
        <v>659</v>
      </c>
      <c r="F516">
        <v>7.47</v>
      </c>
      <c r="G516">
        <v>6.65</v>
      </c>
    </row>
    <row r="517" spans="1:7" hidden="1" x14ac:dyDescent="0.25">
      <c r="A517" t="s">
        <v>660</v>
      </c>
      <c r="B517">
        <v>34577</v>
      </c>
      <c r="C517" t="s">
        <v>1176</v>
      </c>
      <c r="D517" t="s">
        <v>226</v>
      </c>
      <c r="E517" t="s">
        <v>659</v>
      </c>
      <c r="F517">
        <v>7.79</v>
      </c>
      <c r="G517">
        <v>6.94</v>
      </c>
    </row>
    <row r="518" spans="1:7" hidden="1" x14ac:dyDescent="0.25">
      <c r="A518" t="s">
        <v>660</v>
      </c>
      <c r="B518">
        <v>34578</v>
      </c>
      <c r="C518" t="s">
        <v>1177</v>
      </c>
      <c r="D518" t="s">
        <v>226</v>
      </c>
      <c r="E518" t="s">
        <v>659</v>
      </c>
      <c r="F518">
        <v>8.4499999999999993</v>
      </c>
      <c r="G518">
        <v>7.52</v>
      </c>
    </row>
    <row r="519" spans="1:7" hidden="1" x14ac:dyDescent="0.25">
      <c r="A519" t="s">
        <v>660</v>
      </c>
      <c r="B519">
        <v>34579</v>
      </c>
      <c r="C519" t="s">
        <v>1178</v>
      </c>
      <c r="D519" t="s">
        <v>226</v>
      </c>
      <c r="E519" t="s">
        <v>659</v>
      </c>
      <c r="F519">
        <v>9.01</v>
      </c>
      <c r="G519">
        <v>8.02</v>
      </c>
    </row>
    <row r="520" spans="1:7" hidden="1" x14ac:dyDescent="0.25">
      <c r="A520" t="s">
        <v>660</v>
      </c>
      <c r="B520">
        <v>25067</v>
      </c>
      <c r="C520" t="s">
        <v>1179</v>
      </c>
      <c r="D520" t="s">
        <v>226</v>
      </c>
      <c r="E520" t="s">
        <v>659</v>
      </c>
      <c r="F520">
        <v>6.03</v>
      </c>
      <c r="G520">
        <v>5.37</v>
      </c>
    </row>
    <row r="521" spans="1:7" hidden="1" x14ac:dyDescent="0.25">
      <c r="A521" t="s">
        <v>660</v>
      </c>
      <c r="B521">
        <v>34580</v>
      </c>
      <c r="C521" t="s">
        <v>1180</v>
      </c>
      <c r="D521" t="s">
        <v>226</v>
      </c>
      <c r="E521" t="s">
        <v>659</v>
      </c>
      <c r="F521">
        <v>6.73</v>
      </c>
      <c r="G521">
        <v>5.99</v>
      </c>
    </row>
    <row r="522" spans="1:7" hidden="1" x14ac:dyDescent="0.25">
      <c r="A522" t="s">
        <v>660</v>
      </c>
      <c r="B522">
        <v>25071</v>
      </c>
      <c r="C522" t="s">
        <v>1181</v>
      </c>
      <c r="D522" t="s">
        <v>226</v>
      </c>
      <c r="E522" t="s">
        <v>659</v>
      </c>
      <c r="F522">
        <v>3.35</v>
      </c>
      <c r="G522">
        <v>2.98</v>
      </c>
    </row>
    <row r="523" spans="1:7" hidden="1" x14ac:dyDescent="0.25">
      <c r="A523" t="s">
        <v>660</v>
      </c>
      <c r="B523">
        <v>44171</v>
      </c>
      <c r="C523" t="s">
        <v>1182</v>
      </c>
      <c r="D523" t="s">
        <v>226</v>
      </c>
      <c r="E523" t="s">
        <v>659</v>
      </c>
      <c r="F523">
        <v>22.34</v>
      </c>
      <c r="G523">
        <v>22.34</v>
      </c>
    </row>
    <row r="524" spans="1:7" hidden="1" x14ac:dyDescent="0.25">
      <c r="A524" t="s">
        <v>660</v>
      </c>
      <c r="B524">
        <v>38395</v>
      </c>
      <c r="C524" t="s">
        <v>1183</v>
      </c>
      <c r="D524" t="s">
        <v>226</v>
      </c>
      <c r="E524" t="s">
        <v>659</v>
      </c>
      <c r="F524">
        <v>10.36</v>
      </c>
      <c r="G524">
        <v>9.8800000000000008</v>
      </c>
    </row>
    <row r="525" spans="1:7" hidden="1" x14ac:dyDescent="0.25">
      <c r="A525" t="s">
        <v>660</v>
      </c>
      <c r="B525">
        <v>34583</v>
      </c>
      <c r="C525" t="s">
        <v>1184</v>
      </c>
      <c r="D525" t="s">
        <v>498</v>
      </c>
      <c r="E525" t="s">
        <v>659</v>
      </c>
      <c r="F525">
        <v>60.06</v>
      </c>
      <c r="G525">
        <v>56.78</v>
      </c>
    </row>
    <row r="526" spans="1:7" hidden="1" x14ac:dyDescent="0.25">
      <c r="A526" t="s">
        <v>660</v>
      </c>
      <c r="B526">
        <v>34584</v>
      </c>
      <c r="C526" t="s">
        <v>1185</v>
      </c>
      <c r="D526" t="s">
        <v>498</v>
      </c>
      <c r="E526" t="s">
        <v>659</v>
      </c>
      <c r="F526">
        <v>44.04</v>
      </c>
      <c r="G526">
        <v>41.64</v>
      </c>
    </row>
    <row r="527" spans="1:7" hidden="1" x14ac:dyDescent="0.25">
      <c r="A527" t="s">
        <v>660</v>
      </c>
      <c r="B527">
        <v>709</v>
      </c>
      <c r="C527" t="s">
        <v>1186</v>
      </c>
      <c r="D527" t="s">
        <v>498</v>
      </c>
      <c r="E527" t="s">
        <v>659</v>
      </c>
      <c r="F527">
        <f>G527</f>
        <v>784.9</v>
      </c>
      <c r="G527">
        <v>784.9</v>
      </c>
    </row>
    <row r="528" spans="1:7" hidden="1" x14ac:dyDescent="0.25">
      <c r="A528" t="s">
        <v>660</v>
      </c>
      <c r="B528">
        <v>34592</v>
      </c>
      <c r="C528" t="s">
        <v>1187</v>
      </c>
      <c r="D528" t="s">
        <v>226</v>
      </c>
      <c r="E528" t="s">
        <v>659</v>
      </c>
      <c r="F528">
        <v>3.83</v>
      </c>
      <c r="G528">
        <v>3.41</v>
      </c>
    </row>
    <row r="529" spans="1:7" hidden="1" x14ac:dyDescent="0.25">
      <c r="A529" t="s">
        <v>660</v>
      </c>
      <c r="B529">
        <v>34599</v>
      </c>
      <c r="C529" t="s">
        <v>1188</v>
      </c>
      <c r="D529" t="s">
        <v>226</v>
      </c>
      <c r="E529" t="s">
        <v>659</v>
      </c>
      <c r="F529">
        <v>3.44</v>
      </c>
      <c r="G529">
        <v>3.07</v>
      </c>
    </row>
    <row r="530" spans="1:7" hidden="1" x14ac:dyDescent="0.25">
      <c r="A530" t="s">
        <v>660</v>
      </c>
      <c r="B530">
        <v>651</v>
      </c>
      <c r="C530" t="s">
        <v>1189</v>
      </c>
      <c r="D530" t="s">
        <v>226</v>
      </c>
      <c r="E530" t="s">
        <v>659</v>
      </c>
      <c r="F530">
        <v>4.2300000000000004</v>
      </c>
      <c r="G530">
        <v>3.76</v>
      </c>
    </row>
    <row r="531" spans="1:7" hidden="1" x14ac:dyDescent="0.25">
      <c r="A531" t="s">
        <v>660</v>
      </c>
      <c r="B531">
        <v>654</v>
      </c>
      <c r="C531" t="s">
        <v>1190</v>
      </c>
      <c r="D531" t="s">
        <v>226</v>
      </c>
      <c r="E531" t="s">
        <v>659</v>
      </c>
      <c r="F531">
        <v>5.24</v>
      </c>
      <c r="G531">
        <v>4.66</v>
      </c>
    </row>
    <row r="532" spans="1:7" hidden="1" x14ac:dyDescent="0.25">
      <c r="A532" t="s">
        <v>660</v>
      </c>
      <c r="B532">
        <v>37103</v>
      </c>
      <c r="C532" t="s">
        <v>1191</v>
      </c>
      <c r="D532" t="s">
        <v>226</v>
      </c>
      <c r="E532" t="s">
        <v>659</v>
      </c>
      <c r="F532">
        <v>4.3899999999999997</v>
      </c>
      <c r="G532">
        <v>3.91</v>
      </c>
    </row>
    <row r="533" spans="1:7" hidden="1" x14ac:dyDescent="0.25">
      <c r="A533" t="s">
        <v>660</v>
      </c>
      <c r="B533">
        <v>34555</v>
      </c>
      <c r="C533" t="s">
        <v>1192</v>
      </c>
      <c r="D533" t="s">
        <v>226</v>
      </c>
      <c r="E533" t="s">
        <v>659</v>
      </c>
      <c r="F533">
        <v>5.57</v>
      </c>
      <c r="G533">
        <v>4.96</v>
      </c>
    </row>
    <row r="534" spans="1:7" hidden="1" x14ac:dyDescent="0.25">
      <c r="A534" t="s">
        <v>660</v>
      </c>
      <c r="B534">
        <v>674</v>
      </c>
      <c r="C534" t="s">
        <v>1193</v>
      </c>
      <c r="D534" t="s">
        <v>498</v>
      </c>
      <c r="E534" t="s">
        <v>659</v>
      </c>
      <c r="F534">
        <v>85.6</v>
      </c>
      <c r="G534">
        <v>85.75</v>
      </c>
    </row>
    <row r="535" spans="1:7" hidden="1" x14ac:dyDescent="0.25">
      <c r="A535" t="s">
        <v>660</v>
      </c>
      <c r="B535">
        <v>34600</v>
      </c>
      <c r="C535" t="s">
        <v>1194</v>
      </c>
      <c r="D535" t="s">
        <v>498</v>
      </c>
      <c r="E535" t="s">
        <v>172</v>
      </c>
      <c r="F535">
        <v>125.73</v>
      </c>
      <c r="G535">
        <v>125.95</v>
      </c>
    </row>
    <row r="536" spans="1:7" hidden="1" x14ac:dyDescent="0.25">
      <c r="A536" t="s">
        <v>660</v>
      </c>
      <c r="B536">
        <v>652</v>
      </c>
      <c r="C536" t="s">
        <v>1195</v>
      </c>
      <c r="D536" t="s">
        <v>498</v>
      </c>
      <c r="E536" t="s">
        <v>659</v>
      </c>
      <c r="F536">
        <v>192.6</v>
      </c>
      <c r="G536">
        <v>192.94</v>
      </c>
    </row>
    <row r="537" spans="1:7" hidden="1" x14ac:dyDescent="0.25">
      <c r="A537" t="s">
        <v>660</v>
      </c>
      <c r="B537">
        <v>650</v>
      </c>
      <c r="C537" t="s">
        <v>1196</v>
      </c>
      <c r="D537" t="s">
        <v>226</v>
      </c>
      <c r="E537" t="s">
        <v>172</v>
      </c>
      <c r="F537">
        <v>3.38</v>
      </c>
      <c r="G537">
        <v>3.01</v>
      </c>
    </row>
    <row r="538" spans="1:7" hidden="1" x14ac:dyDescent="0.25">
      <c r="A538" t="s">
        <v>660</v>
      </c>
      <c r="B538">
        <v>718</v>
      </c>
      <c r="C538" t="s">
        <v>1197</v>
      </c>
      <c r="D538" t="s">
        <v>226</v>
      </c>
      <c r="E538" t="s">
        <v>659</v>
      </c>
      <c r="F538">
        <v>17.690000000000001</v>
      </c>
      <c r="G538">
        <v>19.61</v>
      </c>
    </row>
    <row r="539" spans="1:7" hidden="1" x14ac:dyDescent="0.25">
      <c r="A539" t="s">
        <v>660</v>
      </c>
      <c r="B539">
        <v>11981</v>
      </c>
      <c r="C539" t="s">
        <v>1198</v>
      </c>
      <c r="D539" t="s">
        <v>226</v>
      </c>
      <c r="E539" t="s">
        <v>659</v>
      </c>
      <c r="F539">
        <v>17.18</v>
      </c>
      <c r="G539">
        <v>19.05</v>
      </c>
    </row>
    <row r="540" spans="1:7" hidden="1" x14ac:dyDescent="0.25">
      <c r="A540" t="s">
        <v>660</v>
      </c>
      <c r="B540">
        <v>34586</v>
      </c>
      <c r="C540" t="s">
        <v>1199</v>
      </c>
      <c r="D540" t="s">
        <v>226</v>
      </c>
      <c r="E540" t="s">
        <v>659</v>
      </c>
      <c r="F540">
        <v>2.1</v>
      </c>
      <c r="G540">
        <v>2</v>
      </c>
    </row>
    <row r="541" spans="1:7" hidden="1" x14ac:dyDescent="0.25">
      <c r="A541" t="s">
        <v>660</v>
      </c>
      <c r="B541">
        <v>38603</v>
      </c>
      <c r="C541" t="s">
        <v>1200</v>
      </c>
      <c r="D541" t="s">
        <v>226</v>
      </c>
      <c r="E541" t="s">
        <v>659</v>
      </c>
      <c r="F541">
        <v>2.4900000000000002</v>
      </c>
      <c r="G541">
        <v>2.37</v>
      </c>
    </row>
    <row r="542" spans="1:7" hidden="1" x14ac:dyDescent="0.25">
      <c r="A542" t="s">
        <v>660</v>
      </c>
      <c r="B542">
        <v>34588</v>
      </c>
      <c r="C542" t="s">
        <v>1201</v>
      </c>
      <c r="D542" t="s">
        <v>226</v>
      </c>
      <c r="E542" t="s">
        <v>659</v>
      </c>
      <c r="F542">
        <v>2.83</v>
      </c>
      <c r="G542">
        <v>2.7</v>
      </c>
    </row>
    <row r="543" spans="1:7" hidden="1" x14ac:dyDescent="0.25">
      <c r="A543" t="s">
        <v>660</v>
      </c>
      <c r="B543">
        <v>34590</v>
      </c>
      <c r="C543" t="s">
        <v>1202</v>
      </c>
      <c r="D543" t="s">
        <v>226</v>
      </c>
      <c r="E543" t="s">
        <v>659</v>
      </c>
      <c r="F543">
        <v>2.8</v>
      </c>
      <c r="G543">
        <v>2.67</v>
      </c>
    </row>
    <row r="544" spans="1:7" hidden="1" x14ac:dyDescent="0.25">
      <c r="A544" t="s">
        <v>660</v>
      </c>
      <c r="B544">
        <v>34591</v>
      </c>
      <c r="C544" t="s">
        <v>1203</v>
      </c>
      <c r="D544" t="s">
        <v>226</v>
      </c>
      <c r="E544" t="s">
        <v>659</v>
      </c>
      <c r="F544">
        <v>3.42</v>
      </c>
      <c r="G544">
        <v>3.26</v>
      </c>
    </row>
    <row r="545" spans="1:7" hidden="1" x14ac:dyDescent="0.25">
      <c r="A545" t="s">
        <v>660</v>
      </c>
      <c r="B545">
        <v>40517</v>
      </c>
      <c r="C545" t="s">
        <v>1204</v>
      </c>
      <c r="D545" t="s">
        <v>498</v>
      </c>
      <c r="E545" t="s">
        <v>659</v>
      </c>
      <c r="F545">
        <v>68.489999999999995</v>
      </c>
      <c r="G545">
        <v>87.98</v>
      </c>
    </row>
    <row r="546" spans="1:7" hidden="1" x14ac:dyDescent="0.25">
      <c r="A546" t="s">
        <v>660</v>
      </c>
      <c r="B546">
        <v>40515</v>
      </c>
      <c r="C546" t="s">
        <v>1205</v>
      </c>
      <c r="D546" t="s">
        <v>498</v>
      </c>
      <c r="E546" t="s">
        <v>659</v>
      </c>
      <c r="F546">
        <v>75.34</v>
      </c>
      <c r="G546">
        <v>96.78</v>
      </c>
    </row>
    <row r="547" spans="1:7" hidden="1" x14ac:dyDescent="0.25">
      <c r="A547" t="s">
        <v>660</v>
      </c>
      <c r="B547">
        <v>40524</v>
      </c>
      <c r="C547" t="s">
        <v>1206</v>
      </c>
      <c r="D547" t="s">
        <v>498</v>
      </c>
      <c r="E547" t="s">
        <v>659</v>
      </c>
      <c r="F547">
        <v>78.28</v>
      </c>
      <c r="G547">
        <v>100.55</v>
      </c>
    </row>
    <row r="548" spans="1:7" hidden="1" x14ac:dyDescent="0.25">
      <c r="A548" t="s">
        <v>660</v>
      </c>
      <c r="B548">
        <v>40529</v>
      </c>
      <c r="C548" t="s">
        <v>1207</v>
      </c>
      <c r="D548" t="s">
        <v>498</v>
      </c>
      <c r="E548" t="s">
        <v>659</v>
      </c>
      <c r="F548">
        <v>124.11</v>
      </c>
      <c r="G548">
        <v>159.43</v>
      </c>
    </row>
    <row r="549" spans="1:7" hidden="1" x14ac:dyDescent="0.25">
      <c r="A549" t="s">
        <v>660</v>
      </c>
      <c r="B549">
        <v>36156</v>
      </c>
      <c r="C549" t="s">
        <v>1208</v>
      </c>
      <c r="D549" t="s">
        <v>498</v>
      </c>
      <c r="E549" t="s">
        <v>659</v>
      </c>
      <c r="F549">
        <v>74.150000000000006</v>
      </c>
      <c r="G549">
        <v>95.26</v>
      </c>
    </row>
    <row r="550" spans="1:7" hidden="1" x14ac:dyDescent="0.25">
      <c r="A550" t="s">
        <v>660</v>
      </c>
      <c r="B550">
        <v>36155</v>
      </c>
      <c r="C550" t="s">
        <v>1209</v>
      </c>
      <c r="D550" t="s">
        <v>498</v>
      </c>
      <c r="E550" t="s">
        <v>659</v>
      </c>
      <c r="F550">
        <v>58.71</v>
      </c>
      <c r="G550">
        <v>75.41</v>
      </c>
    </row>
    <row r="551" spans="1:7" hidden="1" x14ac:dyDescent="0.25">
      <c r="A551" t="s">
        <v>660</v>
      </c>
      <c r="B551">
        <v>36154</v>
      </c>
      <c r="C551" t="s">
        <v>1210</v>
      </c>
      <c r="D551" t="s">
        <v>498</v>
      </c>
      <c r="E551" t="s">
        <v>659</v>
      </c>
      <c r="F551">
        <v>88.57</v>
      </c>
      <c r="G551">
        <v>113.78</v>
      </c>
    </row>
    <row r="552" spans="1:7" hidden="1" x14ac:dyDescent="0.25">
      <c r="A552" t="s">
        <v>660</v>
      </c>
      <c r="B552">
        <v>36170</v>
      </c>
      <c r="C552" t="s">
        <v>1211</v>
      </c>
      <c r="D552" t="s">
        <v>498</v>
      </c>
      <c r="E552" t="s">
        <v>172</v>
      </c>
      <c r="F552">
        <v>66.95</v>
      </c>
      <c r="G552">
        <v>86</v>
      </c>
    </row>
    <row r="553" spans="1:7" hidden="1" x14ac:dyDescent="0.25">
      <c r="A553" t="s">
        <v>660</v>
      </c>
      <c r="B553">
        <v>695</v>
      </c>
      <c r="C553" t="s">
        <v>1212</v>
      </c>
      <c r="D553" t="s">
        <v>498</v>
      </c>
      <c r="E553" t="s">
        <v>659</v>
      </c>
      <c r="F553">
        <v>74.41</v>
      </c>
      <c r="G553">
        <v>95.59</v>
      </c>
    </row>
    <row r="554" spans="1:7" hidden="1" x14ac:dyDescent="0.25">
      <c r="A554" t="s">
        <v>660</v>
      </c>
      <c r="B554">
        <v>679</v>
      </c>
      <c r="C554" t="s">
        <v>1213</v>
      </c>
      <c r="D554" t="s">
        <v>498</v>
      </c>
      <c r="E554" t="s">
        <v>659</v>
      </c>
      <c r="F554">
        <v>106.19</v>
      </c>
      <c r="G554">
        <v>136.4</v>
      </c>
    </row>
    <row r="555" spans="1:7" hidden="1" x14ac:dyDescent="0.25">
      <c r="A555" t="s">
        <v>660</v>
      </c>
      <c r="B555">
        <v>711</v>
      </c>
      <c r="C555" t="s">
        <v>1214</v>
      </c>
      <c r="D555" t="s">
        <v>498</v>
      </c>
      <c r="E555" t="s">
        <v>659</v>
      </c>
      <c r="F555">
        <v>66.95</v>
      </c>
      <c r="G555">
        <v>86</v>
      </c>
    </row>
    <row r="556" spans="1:7" hidden="1" x14ac:dyDescent="0.25">
      <c r="A556" t="s">
        <v>660</v>
      </c>
      <c r="B556">
        <v>712</v>
      </c>
      <c r="C556" t="s">
        <v>1215</v>
      </c>
      <c r="D556" t="s">
        <v>498</v>
      </c>
      <c r="E556" t="s">
        <v>659</v>
      </c>
      <c r="F556">
        <v>80.34</v>
      </c>
      <c r="G556">
        <v>103.2</v>
      </c>
    </row>
    <row r="557" spans="1:7" x14ac:dyDescent="0.25">
      <c r="A557" t="s">
        <v>660</v>
      </c>
      <c r="B557">
        <v>12614</v>
      </c>
      <c r="C557" t="s">
        <v>1216</v>
      </c>
      <c r="D557" t="s">
        <v>226</v>
      </c>
      <c r="E557" t="s">
        <v>659</v>
      </c>
      <c r="F557">
        <v>56.66</v>
      </c>
      <c r="G557">
        <v>58.58</v>
      </c>
    </row>
    <row r="558" spans="1:7" hidden="1" x14ac:dyDescent="0.25">
      <c r="A558" t="s">
        <v>660</v>
      </c>
      <c r="B558">
        <v>6140</v>
      </c>
      <c r="C558" t="s">
        <v>1217</v>
      </c>
      <c r="D558" t="s">
        <v>226</v>
      </c>
      <c r="E558" t="s">
        <v>659</v>
      </c>
      <c r="F558">
        <v>4.3899999999999997</v>
      </c>
      <c r="G558">
        <v>4.3099999999999996</v>
      </c>
    </row>
    <row r="559" spans="1:7" hidden="1" x14ac:dyDescent="0.25">
      <c r="A559" t="s">
        <v>660</v>
      </c>
      <c r="B559">
        <v>38399</v>
      </c>
      <c r="C559" t="s">
        <v>1218</v>
      </c>
      <c r="D559" t="s">
        <v>226</v>
      </c>
      <c r="E559" t="s">
        <v>659</v>
      </c>
      <c r="F559">
        <v>215.04</v>
      </c>
      <c r="G559">
        <v>185.89</v>
      </c>
    </row>
    <row r="560" spans="1:7" hidden="1" x14ac:dyDescent="0.25">
      <c r="A560" t="s">
        <v>842</v>
      </c>
      <c r="B560">
        <v>729</v>
      </c>
      <c r="C560" t="s">
        <v>1219</v>
      </c>
      <c r="D560" t="s">
        <v>226</v>
      </c>
      <c r="E560" t="s">
        <v>172</v>
      </c>
      <c r="F560" s="538">
        <v>1180.19</v>
      </c>
      <c r="G560">
        <v>950.75</v>
      </c>
    </row>
    <row r="561" spans="1:7" hidden="1" x14ac:dyDescent="0.25">
      <c r="A561" t="s">
        <v>842</v>
      </c>
      <c r="B561">
        <v>39925</v>
      </c>
      <c r="C561" t="s">
        <v>1220</v>
      </c>
      <c r="D561" t="s">
        <v>226</v>
      </c>
      <c r="E561" t="s">
        <v>659</v>
      </c>
      <c r="F561" s="538">
        <v>17053.64</v>
      </c>
      <c r="G561" s="538">
        <v>13738.25</v>
      </c>
    </row>
    <row r="562" spans="1:7" hidden="1" x14ac:dyDescent="0.25">
      <c r="A562" t="s">
        <v>842</v>
      </c>
      <c r="B562">
        <v>731</v>
      </c>
      <c r="C562" t="s">
        <v>1221</v>
      </c>
      <c r="D562" t="s">
        <v>226</v>
      </c>
      <c r="E562" t="s">
        <v>659</v>
      </c>
      <c r="F562" s="538">
        <v>1148.6199999999999</v>
      </c>
      <c r="G562">
        <v>925.31</v>
      </c>
    </row>
    <row r="563" spans="1:7" hidden="1" x14ac:dyDescent="0.25">
      <c r="A563" t="s">
        <v>842</v>
      </c>
      <c r="B563">
        <v>10575</v>
      </c>
      <c r="C563" t="s">
        <v>1222</v>
      </c>
      <c r="D563" t="s">
        <v>226</v>
      </c>
      <c r="E563" t="s">
        <v>659</v>
      </c>
      <c r="F563" s="538">
        <v>1792.5</v>
      </c>
      <c r="G563" s="538">
        <v>1444.02</v>
      </c>
    </row>
    <row r="564" spans="1:7" hidden="1" x14ac:dyDescent="0.25">
      <c r="A564" t="s">
        <v>842</v>
      </c>
      <c r="B564">
        <v>733</v>
      </c>
      <c r="C564" t="s">
        <v>1223</v>
      </c>
      <c r="D564" t="s">
        <v>226</v>
      </c>
      <c r="E564" t="s">
        <v>659</v>
      </c>
      <c r="F564" s="538">
        <v>1962.57</v>
      </c>
      <c r="G564" s="538">
        <v>1581.03</v>
      </c>
    </row>
    <row r="565" spans="1:7" hidden="1" x14ac:dyDescent="0.25">
      <c r="A565" t="s">
        <v>842</v>
      </c>
      <c r="B565">
        <v>732</v>
      </c>
      <c r="C565" t="s">
        <v>1224</v>
      </c>
      <c r="D565" t="s">
        <v>226</v>
      </c>
      <c r="E565" t="s">
        <v>659</v>
      </c>
      <c r="F565" s="538">
        <v>1936.18</v>
      </c>
      <c r="G565" s="538">
        <v>1559.77</v>
      </c>
    </row>
    <row r="566" spans="1:7" hidden="1" x14ac:dyDescent="0.25">
      <c r="A566" t="s">
        <v>842</v>
      </c>
      <c r="B566">
        <v>735</v>
      </c>
      <c r="C566" t="s">
        <v>1225</v>
      </c>
      <c r="D566" t="s">
        <v>226</v>
      </c>
      <c r="E566" t="s">
        <v>659</v>
      </c>
      <c r="F566" s="538">
        <v>3444.37</v>
      </c>
      <c r="G566" s="538">
        <v>2774.75</v>
      </c>
    </row>
    <row r="567" spans="1:7" hidden="1" x14ac:dyDescent="0.25">
      <c r="A567" t="s">
        <v>842</v>
      </c>
      <c r="B567">
        <v>737</v>
      </c>
      <c r="C567" t="s">
        <v>1226</v>
      </c>
      <c r="D567" t="s">
        <v>226</v>
      </c>
      <c r="E567" t="s">
        <v>659</v>
      </c>
      <c r="F567" s="538">
        <v>10857.56</v>
      </c>
      <c r="G567" s="538">
        <v>8746.74</v>
      </c>
    </row>
    <row r="568" spans="1:7" hidden="1" x14ac:dyDescent="0.25">
      <c r="A568" t="s">
        <v>842</v>
      </c>
      <c r="B568">
        <v>736</v>
      </c>
      <c r="C568" t="s">
        <v>1227</v>
      </c>
      <c r="D568" t="s">
        <v>226</v>
      </c>
      <c r="E568" t="s">
        <v>659</v>
      </c>
      <c r="F568" s="538">
        <v>2896.09</v>
      </c>
      <c r="G568" s="538">
        <v>2333.0700000000002</v>
      </c>
    </row>
    <row r="569" spans="1:7" hidden="1" x14ac:dyDescent="0.25">
      <c r="A569" t="s">
        <v>842</v>
      </c>
      <c r="B569">
        <v>738</v>
      </c>
      <c r="C569" t="s">
        <v>1228</v>
      </c>
      <c r="D569" t="s">
        <v>226</v>
      </c>
      <c r="E569" t="s">
        <v>659</v>
      </c>
      <c r="F569" s="538">
        <v>5034.57</v>
      </c>
      <c r="G569" s="538">
        <v>4055.8</v>
      </c>
    </row>
    <row r="570" spans="1:7" hidden="1" x14ac:dyDescent="0.25">
      <c r="A570" t="s">
        <v>842</v>
      </c>
      <c r="B570">
        <v>740</v>
      </c>
      <c r="C570" t="s">
        <v>1229</v>
      </c>
      <c r="D570" t="s">
        <v>226</v>
      </c>
      <c r="E570" t="s">
        <v>659</v>
      </c>
      <c r="F570" s="538">
        <v>10214.1</v>
      </c>
      <c r="G570" s="538">
        <v>8228.3799999999992</v>
      </c>
    </row>
    <row r="571" spans="1:7" hidden="1" x14ac:dyDescent="0.25">
      <c r="A571" t="s">
        <v>842</v>
      </c>
      <c r="B571">
        <v>734</v>
      </c>
      <c r="C571" t="s">
        <v>1230</v>
      </c>
      <c r="D571" t="s">
        <v>226</v>
      </c>
      <c r="E571" t="s">
        <v>659</v>
      </c>
      <c r="F571" s="538">
        <v>2075.59</v>
      </c>
      <c r="G571" s="538">
        <v>1672.07</v>
      </c>
    </row>
    <row r="572" spans="1:7" hidden="1" x14ac:dyDescent="0.25">
      <c r="A572" t="s">
        <v>842</v>
      </c>
      <c r="B572">
        <v>39008</v>
      </c>
      <c r="C572" t="s">
        <v>1231</v>
      </c>
      <c r="D572" t="s">
        <v>226</v>
      </c>
      <c r="E572" t="s">
        <v>659</v>
      </c>
      <c r="F572" s="538">
        <v>74787.520000000004</v>
      </c>
      <c r="G572" s="538">
        <v>59904.13</v>
      </c>
    </row>
    <row r="573" spans="1:7" hidden="1" x14ac:dyDescent="0.25">
      <c r="A573" t="s">
        <v>842</v>
      </c>
      <c r="B573">
        <v>39009</v>
      </c>
      <c r="C573" t="s">
        <v>1232</v>
      </c>
      <c r="D573" t="s">
        <v>226</v>
      </c>
      <c r="E573" t="s">
        <v>659</v>
      </c>
      <c r="F573" s="538">
        <v>80125.56</v>
      </c>
      <c r="G573" s="538">
        <v>64179.85</v>
      </c>
    </row>
    <row r="574" spans="1:7" x14ac:dyDescent="0.25">
      <c r="A574" t="s">
        <v>842</v>
      </c>
      <c r="B574">
        <v>10587</v>
      </c>
      <c r="C574" t="s">
        <v>1233</v>
      </c>
      <c r="D574" t="s">
        <v>226</v>
      </c>
      <c r="E574" t="s">
        <v>659</v>
      </c>
      <c r="F574" s="538">
        <v>5298.43</v>
      </c>
      <c r="G574" s="538">
        <v>4242.7</v>
      </c>
    </row>
    <row r="575" spans="1:7" x14ac:dyDescent="0.25">
      <c r="A575" t="s">
        <v>842</v>
      </c>
      <c r="B575">
        <v>759</v>
      </c>
      <c r="C575" t="s">
        <v>1234</v>
      </c>
      <c r="D575" t="s">
        <v>226</v>
      </c>
      <c r="E575" t="s">
        <v>659</v>
      </c>
      <c r="F575" s="538">
        <v>7618.1</v>
      </c>
      <c r="G575" s="538">
        <v>6100.16</v>
      </c>
    </row>
    <row r="576" spans="1:7" x14ac:dyDescent="0.25">
      <c r="A576" t="s">
        <v>842</v>
      </c>
      <c r="B576">
        <v>761</v>
      </c>
      <c r="C576" t="s">
        <v>1235</v>
      </c>
      <c r="D576" t="s">
        <v>226</v>
      </c>
      <c r="E576" t="s">
        <v>659</v>
      </c>
      <c r="F576" s="538">
        <v>12913.32</v>
      </c>
      <c r="G576" s="538">
        <v>10340.280000000001</v>
      </c>
    </row>
    <row r="577" spans="1:7" x14ac:dyDescent="0.25">
      <c r="A577" t="s">
        <v>842</v>
      </c>
      <c r="B577">
        <v>750</v>
      </c>
      <c r="C577" t="s">
        <v>1236</v>
      </c>
      <c r="D577" t="s">
        <v>226</v>
      </c>
      <c r="E577" t="s">
        <v>659</v>
      </c>
      <c r="F577" s="538">
        <v>12260.17</v>
      </c>
      <c r="G577" s="538">
        <v>9817.27</v>
      </c>
    </row>
    <row r="578" spans="1:7" x14ac:dyDescent="0.25">
      <c r="A578" t="s">
        <v>842</v>
      </c>
      <c r="B578">
        <v>755</v>
      </c>
      <c r="C578" t="s">
        <v>1237</v>
      </c>
      <c r="D578" t="s">
        <v>226</v>
      </c>
      <c r="E578" t="s">
        <v>659</v>
      </c>
      <c r="F578" s="538">
        <v>50309.79</v>
      </c>
      <c r="G578" s="538">
        <v>40285.33</v>
      </c>
    </row>
    <row r="579" spans="1:7" x14ac:dyDescent="0.25">
      <c r="A579" t="s">
        <v>842</v>
      </c>
      <c r="B579">
        <v>749</v>
      </c>
      <c r="C579" t="s">
        <v>1238</v>
      </c>
      <c r="D579" t="s">
        <v>226</v>
      </c>
      <c r="E579" t="s">
        <v>659</v>
      </c>
      <c r="F579" s="538">
        <v>18503.009999999998</v>
      </c>
      <c r="G579" s="538">
        <v>14816.2</v>
      </c>
    </row>
    <row r="580" spans="1:7" x14ac:dyDescent="0.25">
      <c r="A580" t="s">
        <v>842</v>
      </c>
      <c r="B580">
        <v>756</v>
      </c>
      <c r="C580" t="s">
        <v>1239</v>
      </c>
      <c r="D580" t="s">
        <v>226</v>
      </c>
      <c r="E580" t="s">
        <v>659</v>
      </c>
      <c r="F580" s="538">
        <v>54869.56</v>
      </c>
      <c r="G580" s="538">
        <v>43936.55</v>
      </c>
    </row>
    <row r="581" spans="1:7" x14ac:dyDescent="0.25">
      <c r="A581" t="s">
        <v>842</v>
      </c>
      <c r="B581">
        <v>10588</v>
      </c>
      <c r="C581" t="s">
        <v>1240</v>
      </c>
      <c r="D581" t="s">
        <v>226</v>
      </c>
      <c r="E581" t="s">
        <v>659</v>
      </c>
      <c r="F581" s="538">
        <v>5500.45</v>
      </c>
      <c r="G581" s="538">
        <v>4404.46</v>
      </c>
    </row>
    <row r="582" spans="1:7" x14ac:dyDescent="0.25">
      <c r="A582" t="s">
        <v>842</v>
      </c>
      <c r="B582">
        <v>10592</v>
      </c>
      <c r="C582" t="s">
        <v>1241</v>
      </c>
      <c r="D582" t="s">
        <v>226</v>
      </c>
      <c r="E582" t="s">
        <v>172</v>
      </c>
      <c r="F582" s="538">
        <v>6643.81</v>
      </c>
      <c r="G582" s="538">
        <v>5320</v>
      </c>
    </row>
    <row r="583" spans="1:7" x14ac:dyDescent="0.25">
      <c r="A583" t="s">
        <v>842</v>
      </c>
      <c r="B583">
        <v>10589</v>
      </c>
      <c r="C583" t="s">
        <v>1242</v>
      </c>
      <c r="D583" t="s">
        <v>226</v>
      </c>
      <c r="E583" t="s">
        <v>659</v>
      </c>
      <c r="F583" s="538">
        <v>8925.5400000000009</v>
      </c>
      <c r="G583" s="538">
        <v>7147.08</v>
      </c>
    </row>
    <row r="584" spans="1:7" x14ac:dyDescent="0.25">
      <c r="A584" t="s">
        <v>842</v>
      </c>
      <c r="B584">
        <v>760</v>
      </c>
      <c r="C584" t="s">
        <v>1243</v>
      </c>
      <c r="D584" t="s">
        <v>226</v>
      </c>
      <c r="E584" t="s">
        <v>659</v>
      </c>
      <c r="F584" s="538">
        <v>49828.57</v>
      </c>
      <c r="G584" s="538">
        <v>39900</v>
      </c>
    </row>
    <row r="585" spans="1:7" x14ac:dyDescent="0.25">
      <c r="A585" t="s">
        <v>842</v>
      </c>
      <c r="B585">
        <v>751</v>
      </c>
      <c r="C585" t="s">
        <v>1244</v>
      </c>
      <c r="D585" t="s">
        <v>226</v>
      </c>
      <c r="E585" t="s">
        <v>659</v>
      </c>
      <c r="F585" s="538">
        <v>7848</v>
      </c>
      <c r="G585" s="538">
        <v>6284.25</v>
      </c>
    </row>
    <row r="586" spans="1:7" x14ac:dyDescent="0.25">
      <c r="A586" t="s">
        <v>842</v>
      </c>
      <c r="B586">
        <v>754</v>
      </c>
      <c r="C586" t="s">
        <v>1245</v>
      </c>
      <c r="D586" t="s">
        <v>226</v>
      </c>
      <c r="E586" t="s">
        <v>659</v>
      </c>
      <c r="F586" s="538">
        <v>12457.14</v>
      </c>
      <c r="G586" s="538">
        <v>9975</v>
      </c>
    </row>
    <row r="587" spans="1:7" x14ac:dyDescent="0.25">
      <c r="A587" t="s">
        <v>842</v>
      </c>
      <c r="B587">
        <v>757</v>
      </c>
      <c r="C587" t="s">
        <v>1246</v>
      </c>
      <c r="D587" t="s">
        <v>226</v>
      </c>
      <c r="E587" t="s">
        <v>659</v>
      </c>
      <c r="F587" s="538">
        <v>24914.28</v>
      </c>
      <c r="G587" s="538">
        <v>19950</v>
      </c>
    </row>
    <row r="588" spans="1:7" hidden="1" x14ac:dyDescent="0.25">
      <c r="A588" t="s">
        <v>842</v>
      </c>
      <c r="B588">
        <v>44489</v>
      </c>
      <c r="C588" t="s">
        <v>1247</v>
      </c>
      <c r="D588" t="s">
        <v>226</v>
      </c>
      <c r="E588" t="s">
        <v>659</v>
      </c>
      <c r="F588" s="538">
        <v>293394.7</v>
      </c>
      <c r="G588" s="538">
        <v>236356.02</v>
      </c>
    </row>
    <row r="589" spans="1:7" x14ac:dyDescent="0.25">
      <c r="A589" t="s">
        <v>842</v>
      </c>
      <c r="B589">
        <v>39917</v>
      </c>
      <c r="C589" t="s">
        <v>1248</v>
      </c>
      <c r="D589" t="s">
        <v>226</v>
      </c>
      <c r="E589" t="s">
        <v>659</v>
      </c>
      <c r="F589" s="538">
        <v>114879.03</v>
      </c>
      <c r="G589" s="538">
        <v>92017.07</v>
      </c>
    </row>
    <row r="590" spans="1:7" hidden="1" x14ac:dyDescent="0.25">
      <c r="A590" t="s">
        <v>660</v>
      </c>
      <c r="B590">
        <v>38167</v>
      </c>
      <c r="C590" t="s">
        <v>1249</v>
      </c>
      <c r="D590" t="s">
        <v>1086</v>
      </c>
      <c r="E590" t="s">
        <v>659</v>
      </c>
      <c r="F590">
        <v>30.52</v>
      </c>
      <c r="G590">
        <v>27.25</v>
      </c>
    </row>
    <row r="591" spans="1:7" hidden="1" x14ac:dyDescent="0.25">
      <c r="A591" t="s">
        <v>660</v>
      </c>
      <c r="B591">
        <v>36145</v>
      </c>
      <c r="C591" t="s">
        <v>1250</v>
      </c>
      <c r="D591" t="s">
        <v>1086</v>
      </c>
      <c r="E591" t="s">
        <v>659</v>
      </c>
      <c r="F591">
        <v>43.06</v>
      </c>
      <c r="G591">
        <v>48.23</v>
      </c>
    </row>
    <row r="592" spans="1:7" hidden="1" x14ac:dyDescent="0.25">
      <c r="A592" t="s">
        <v>660</v>
      </c>
      <c r="B592">
        <v>12893</v>
      </c>
      <c r="C592" t="s">
        <v>1251</v>
      </c>
      <c r="D592" t="s">
        <v>1086</v>
      </c>
      <c r="E592" t="s">
        <v>659</v>
      </c>
      <c r="F592">
        <v>75.790000000000006</v>
      </c>
      <c r="G592">
        <v>84.88</v>
      </c>
    </row>
    <row r="593" spans="1:7" hidden="1" x14ac:dyDescent="0.25">
      <c r="A593" t="s">
        <v>660</v>
      </c>
      <c r="B593">
        <v>11685</v>
      </c>
      <c r="C593" t="s">
        <v>1252</v>
      </c>
      <c r="D593" t="s">
        <v>226</v>
      </c>
      <c r="E593" t="s">
        <v>659</v>
      </c>
      <c r="F593">
        <v>39.43</v>
      </c>
      <c r="G593">
        <v>31.34</v>
      </c>
    </row>
    <row r="594" spans="1:7" hidden="1" x14ac:dyDescent="0.25">
      <c r="A594" t="s">
        <v>660</v>
      </c>
      <c r="B594">
        <v>11680</v>
      </c>
      <c r="C594" t="s">
        <v>1253</v>
      </c>
      <c r="D594" t="s">
        <v>226</v>
      </c>
      <c r="E594" t="s">
        <v>659</v>
      </c>
      <c r="F594">
        <v>16.93</v>
      </c>
      <c r="G594">
        <v>16.89</v>
      </c>
    </row>
    <row r="595" spans="1:7" hidden="1" x14ac:dyDescent="0.25">
      <c r="A595" t="s">
        <v>660</v>
      </c>
      <c r="B595">
        <v>11679</v>
      </c>
      <c r="C595" t="s">
        <v>1254</v>
      </c>
      <c r="D595" t="s">
        <v>226</v>
      </c>
      <c r="E595" t="s">
        <v>659</v>
      </c>
      <c r="F595">
        <v>22.95</v>
      </c>
      <c r="G595">
        <v>22.9</v>
      </c>
    </row>
    <row r="596" spans="1:7" hidden="1" x14ac:dyDescent="0.25">
      <c r="A596" t="s">
        <v>660</v>
      </c>
      <c r="B596">
        <v>2512</v>
      </c>
      <c r="C596" t="s">
        <v>1255</v>
      </c>
      <c r="D596" t="s">
        <v>226</v>
      </c>
      <c r="E596" t="s">
        <v>659</v>
      </c>
      <c r="F596">
        <f>G596</f>
        <v>39</v>
      </c>
      <c r="G596">
        <v>39</v>
      </c>
    </row>
    <row r="597" spans="1:7" hidden="1" x14ac:dyDescent="0.25">
      <c r="A597" t="s">
        <v>660</v>
      </c>
      <c r="B597">
        <v>45203</v>
      </c>
      <c r="C597" t="s">
        <v>1256</v>
      </c>
      <c r="D597" t="s">
        <v>226</v>
      </c>
      <c r="E597" t="s">
        <v>659</v>
      </c>
      <c r="F597">
        <v>9.74</v>
      </c>
      <c r="G597">
        <v>9.3000000000000007</v>
      </c>
    </row>
    <row r="598" spans="1:7" hidden="1" x14ac:dyDescent="0.25">
      <c r="A598" t="s">
        <v>660</v>
      </c>
      <c r="B598">
        <v>4374</v>
      </c>
      <c r="C598" t="s">
        <v>1257</v>
      </c>
      <c r="D598" t="s">
        <v>226</v>
      </c>
      <c r="E598" t="s">
        <v>659</v>
      </c>
      <c r="F598">
        <v>0.51</v>
      </c>
      <c r="G598">
        <v>0.18</v>
      </c>
    </row>
    <row r="599" spans="1:7" hidden="1" x14ac:dyDescent="0.25">
      <c r="A599" t="s">
        <v>660</v>
      </c>
      <c r="B599">
        <v>7568</v>
      </c>
      <c r="C599" t="s">
        <v>1258</v>
      </c>
      <c r="D599" t="s">
        <v>226</v>
      </c>
      <c r="E599" t="s">
        <v>659</v>
      </c>
      <c r="F599">
        <v>0.86</v>
      </c>
      <c r="G599">
        <v>0.3</v>
      </c>
    </row>
    <row r="600" spans="1:7" hidden="1" x14ac:dyDescent="0.25">
      <c r="A600" t="s">
        <v>660</v>
      </c>
      <c r="B600">
        <v>7584</v>
      </c>
      <c r="C600" t="s">
        <v>1259</v>
      </c>
      <c r="D600" t="s">
        <v>226</v>
      </c>
      <c r="E600" t="s">
        <v>659</v>
      </c>
      <c r="F600">
        <v>1.31</v>
      </c>
      <c r="G600">
        <v>0.46</v>
      </c>
    </row>
    <row r="601" spans="1:7" hidden="1" x14ac:dyDescent="0.25">
      <c r="A601" t="s">
        <v>660</v>
      </c>
      <c r="B601">
        <v>11945</v>
      </c>
      <c r="C601" t="s">
        <v>1260</v>
      </c>
      <c r="D601" t="s">
        <v>226</v>
      </c>
      <c r="E601" t="s">
        <v>659</v>
      </c>
      <c r="F601">
        <v>0.08</v>
      </c>
      <c r="G601">
        <v>0.03</v>
      </c>
    </row>
    <row r="602" spans="1:7" hidden="1" x14ac:dyDescent="0.25">
      <c r="A602" t="s">
        <v>660</v>
      </c>
      <c r="B602">
        <v>11946</v>
      </c>
      <c r="C602" t="s">
        <v>1261</v>
      </c>
      <c r="D602" t="s">
        <v>226</v>
      </c>
      <c r="E602" t="s">
        <v>659</v>
      </c>
      <c r="F602">
        <v>0.09</v>
      </c>
      <c r="G602">
        <v>0.03</v>
      </c>
    </row>
    <row r="603" spans="1:7" hidden="1" x14ac:dyDescent="0.25">
      <c r="A603" t="s">
        <v>660</v>
      </c>
      <c r="B603">
        <v>4375</v>
      </c>
      <c r="C603" t="s">
        <v>1262</v>
      </c>
      <c r="D603" t="s">
        <v>226</v>
      </c>
      <c r="E603" t="s">
        <v>172</v>
      </c>
      <c r="F603">
        <v>0.14000000000000001</v>
      </c>
      <c r="G603">
        <v>0.05</v>
      </c>
    </row>
    <row r="604" spans="1:7" hidden="1" x14ac:dyDescent="0.25">
      <c r="A604" t="s">
        <v>660</v>
      </c>
      <c r="B604">
        <v>11950</v>
      </c>
      <c r="C604" t="s">
        <v>1263</v>
      </c>
      <c r="D604" t="s">
        <v>226</v>
      </c>
      <c r="E604" t="s">
        <v>659</v>
      </c>
      <c r="F604">
        <v>0.28000000000000003</v>
      </c>
      <c r="G604">
        <v>0.1</v>
      </c>
    </row>
    <row r="605" spans="1:7" hidden="1" x14ac:dyDescent="0.25">
      <c r="A605" t="s">
        <v>660</v>
      </c>
      <c r="B605">
        <v>4376</v>
      </c>
      <c r="C605" t="s">
        <v>1264</v>
      </c>
      <c r="D605" t="s">
        <v>226</v>
      </c>
      <c r="E605" t="s">
        <v>659</v>
      </c>
      <c r="F605">
        <v>0.27</v>
      </c>
      <c r="G605">
        <v>0.09</v>
      </c>
    </row>
    <row r="606" spans="1:7" hidden="1" x14ac:dyDescent="0.25">
      <c r="A606" t="s">
        <v>660</v>
      </c>
      <c r="B606">
        <v>7583</v>
      </c>
      <c r="C606" t="s">
        <v>1265</v>
      </c>
      <c r="D606" t="s">
        <v>226</v>
      </c>
      <c r="E606" t="s">
        <v>659</v>
      </c>
      <c r="F606">
        <v>0.57999999999999996</v>
      </c>
      <c r="G606">
        <v>0.2</v>
      </c>
    </row>
    <row r="607" spans="1:7" hidden="1" x14ac:dyDescent="0.25">
      <c r="A607" t="s">
        <v>660</v>
      </c>
      <c r="B607">
        <v>4350</v>
      </c>
      <c r="C607" t="s">
        <v>1266</v>
      </c>
      <c r="D607" t="s">
        <v>226</v>
      </c>
      <c r="E607" t="s">
        <v>659</v>
      </c>
      <c r="F607">
        <v>0.82</v>
      </c>
      <c r="G607">
        <v>0.65</v>
      </c>
    </row>
    <row r="608" spans="1:7" hidden="1" x14ac:dyDescent="0.25">
      <c r="A608" t="s">
        <v>660</v>
      </c>
      <c r="B608">
        <v>44400</v>
      </c>
      <c r="C608" t="s">
        <v>1267</v>
      </c>
      <c r="D608" t="s">
        <v>226</v>
      </c>
      <c r="E608" t="s">
        <v>659</v>
      </c>
      <c r="F608">
        <v>34.75</v>
      </c>
      <c r="G608">
        <v>33.17</v>
      </c>
    </row>
    <row r="609" spans="1:7" hidden="1" x14ac:dyDescent="0.25">
      <c r="A609" t="s">
        <v>660</v>
      </c>
      <c r="B609">
        <v>39886</v>
      </c>
      <c r="C609" t="s">
        <v>1268</v>
      </c>
      <c r="D609" t="s">
        <v>226</v>
      </c>
      <c r="E609" t="s">
        <v>659</v>
      </c>
      <c r="F609">
        <f t="shared" ref="F609:F614" si="3">G609</f>
        <v>6.3</v>
      </c>
      <c r="G609">
        <v>6.3</v>
      </c>
    </row>
    <row r="610" spans="1:7" hidden="1" x14ac:dyDescent="0.25">
      <c r="A610" t="s">
        <v>660</v>
      </c>
      <c r="B610">
        <v>39887</v>
      </c>
      <c r="C610" t="s">
        <v>1269</v>
      </c>
      <c r="D610" t="s">
        <v>226</v>
      </c>
      <c r="E610" t="s">
        <v>659</v>
      </c>
      <c r="F610">
        <f t="shared" si="3"/>
        <v>9.4600000000000009</v>
      </c>
      <c r="G610">
        <v>9.4600000000000009</v>
      </c>
    </row>
    <row r="611" spans="1:7" hidden="1" x14ac:dyDescent="0.25">
      <c r="A611" t="s">
        <v>660</v>
      </c>
      <c r="B611">
        <v>39888</v>
      </c>
      <c r="C611" t="s">
        <v>1270</v>
      </c>
      <c r="D611" t="s">
        <v>226</v>
      </c>
      <c r="E611" t="s">
        <v>659</v>
      </c>
      <c r="F611">
        <f t="shared" si="3"/>
        <v>21.63</v>
      </c>
      <c r="G611">
        <v>21.63</v>
      </c>
    </row>
    <row r="612" spans="1:7" hidden="1" x14ac:dyDescent="0.25">
      <c r="A612" t="s">
        <v>660</v>
      </c>
      <c r="B612">
        <v>39890</v>
      </c>
      <c r="C612" t="s">
        <v>1271</v>
      </c>
      <c r="D612" t="s">
        <v>226</v>
      </c>
      <c r="E612" t="s">
        <v>659</v>
      </c>
      <c r="F612">
        <f t="shared" si="3"/>
        <v>36.92</v>
      </c>
      <c r="G612">
        <v>36.92</v>
      </c>
    </row>
    <row r="613" spans="1:7" hidden="1" x14ac:dyDescent="0.25">
      <c r="A613" t="s">
        <v>660</v>
      </c>
      <c r="B613">
        <v>39891</v>
      </c>
      <c r="C613" t="s">
        <v>1272</v>
      </c>
      <c r="D613" t="s">
        <v>226</v>
      </c>
      <c r="E613" t="s">
        <v>659</v>
      </c>
      <c r="F613">
        <f t="shared" si="3"/>
        <v>52.06</v>
      </c>
      <c r="G613">
        <v>52.06</v>
      </c>
    </row>
    <row r="614" spans="1:7" hidden="1" x14ac:dyDescent="0.25">
      <c r="A614" t="s">
        <v>660</v>
      </c>
      <c r="B614">
        <v>39892</v>
      </c>
      <c r="C614" t="s">
        <v>1273</v>
      </c>
      <c r="D614" t="s">
        <v>226</v>
      </c>
      <c r="E614" t="s">
        <v>659</v>
      </c>
      <c r="F614">
        <f t="shared" si="3"/>
        <v>162.29</v>
      </c>
      <c r="G614">
        <v>162.29</v>
      </c>
    </row>
    <row r="615" spans="1:7" hidden="1" x14ac:dyDescent="0.25">
      <c r="A615" t="s">
        <v>660</v>
      </c>
      <c r="B615">
        <v>790</v>
      </c>
      <c r="C615" t="s">
        <v>1274</v>
      </c>
      <c r="D615" t="s">
        <v>226</v>
      </c>
      <c r="E615" t="s">
        <v>659</v>
      </c>
      <c r="F615">
        <v>20.69</v>
      </c>
      <c r="G615">
        <v>21.58</v>
      </c>
    </row>
    <row r="616" spans="1:7" hidden="1" x14ac:dyDescent="0.25">
      <c r="A616" t="s">
        <v>660</v>
      </c>
      <c r="B616">
        <v>791</v>
      </c>
      <c r="C616" t="s">
        <v>1275</v>
      </c>
      <c r="D616" t="s">
        <v>226</v>
      </c>
      <c r="E616" t="s">
        <v>659</v>
      </c>
      <c r="F616">
        <v>20.69</v>
      </c>
      <c r="G616">
        <v>21.58</v>
      </c>
    </row>
    <row r="617" spans="1:7" hidden="1" x14ac:dyDescent="0.25">
      <c r="A617" t="s">
        <v>660</v>
      </c>
      <c r="B617">
        <v>766</v>
      </c>
      <c r="C617" t="s">
        <v>1276</v>
      </c>
      <c r="D617" t="s">
        <v>226</v>
      </c>
      <c r="E617" t="s">
        <v>659</v>
      </c>
      <c r="F617">
        <v>20.69</v>
      </c>
      <c r="G617">
        <v>21.58</v>
      </c>
    </row>
    <row r="618" spans="1:7" hidden="1" x14ac:dyDescent="0.25">
      <c r="A618" t="s">
        <v>660</v>
      </c>
      <c r="B618">
        <v>767</v>
      </c>
      <c r="C618" t="s">
        <v>1277</v>
      </c>
      <c r="D618" t="s">
        <v>226</v>
      </c>
      <c r="E618" t="s">
        <v>659</v>
      </c>
      <c r="F618">
        <v>20.69</v>
      </c>
      <c r="G618">
        <v>21.58</v>
      </c>
    </row>
    <row r="619" spans="1:7" hidden="1" x14ac:dyDescent="0.25">
      <c r="A619" t="s">
        <v>660</v>
      </c>
      <c r="B619">
        <v>789</v>
      </c>
      <c r="C619" t="s">
        <v>1278</v>
      </c>
      <c r="D619" t="s">
        <v>226</v>
      </c>
      <c r="E619" t="s">
        <v>659</v>
      </c>
      <c r="F619">
        <v>15.9</v>
      </c>
      <c r="G619">
        <v>16.579999999999998</v>
      </c>
    </row>
    <row r="620" spans="1:7" hidden="1" x14ac:dyDescent="0.25">
      <c r="A620" t="s">
        <v>660</v>
      </c>
      <c r="B620">
        <v>768</v>
      </c>
      <c r="C620" t="s">
        <v>1279</v>
      </c>
      <c r="D620" t="s">
        <v>226</v>
      </c>
      <c r="E620" t="s">
        <v>659</v>
      </c>
      <c r="F620">
        <v>16.25</v>
      </c>
      <c r="G620">
        <v>16.95</v>
      </c>
    </row>
    <row r="621" spans="1:7" hidden="1" x14ac:dyDescent="0.25">
      <c r="A621" t="s">
        <v>660</v>
      </c>
      <c r="B621">
        <v>769</v>
      </c>
      <c r="C621" t="s">
        <v>1280</v>
      </c>
      <c r="D621" t="s">
        <v>226</v>
      </c>
      <c r="E621" t="s">
        <v>659</v>
      </c>
      <c r="F621">
        <v>16.25</v>
      </c>
      <c r="G621">
        <v>16.95</v>
      </c>
    </row>
    <row r="622" spans="1:7" hidden="1" x14ac:dyDescent="0.25">
      <c r="A622" t="s">
        <v>660</v>
      </c>
      <c r="B622">
        <v>764</v>
      </c>
      <c r="C622" t="s">
        <v>1281</v>
      </c>
      <c r="D622" t="s">
        <v>226</v>
      </c>
      <c r="E622" t="s">
        <v>172</v>
      </c>
      <c r="F622">
        <v>10</v>
      </c>
      <c r="G622">
        <v>10.43</v>
      </c>
    </row>
    <row r="623" spans="1:7" hidden="1" x14ac:dyDescent="0.25">
      <c r="A623" t="s">
        <v>660</v>
      </c>
      <c r="B623">
        <v>765</v>
      </c>
      <c r="C623" t="s">
        <v>1282</v>
      </c>
      <c r="D623" t="s">
        <v>226</v>
      </c>
      <c r="E623" t="s">
        <v>659</v>
      </c>
      <c r="F623">
        <v>10</v>
      </c>
      <c r="G623">
        <v>10.43</v>
      </c>
    </row>
    <row r="624" spans="1:7" hidden="1" x14ac:dyDescent="0.25">
      <c r="A624" t="s">
        <v>660</v>
      </c>
      <c r="B624">
        <v>770</v>
      </c>
      <c r="C624" t="s">
        <v>1283</v>
      </c>
      <c r="D624" t="s">
        <v>226</v>
      </c>
      <c r="E624" t="s">
        <v>659</v>
      </c>
      <c r="F624">
        <v>5.73</v>
      </c>
      <c r="G624">
        <v>5.98</v>
      </c>
    </row>
    <row r="625" spans="1:7" hidden="1" x14ac:dyDescent="0.25">
      <c r="A625" t="s">
        <v>660</v>
      </c>
      <c r="B625">
        <v>12394</v>
      </c>
      <c r="C625" t="s">
        <v>1284</v>
      </c>
      <c r="D625" t="s">
        <v>226</v>
      </c>
      <c r="E625" t="s">
        <v>659</v>
      </c>
      <c r="F625">
        <v>5.73</v>
      </c>
      <c r="G625">
        <v>5.98</v>
      </c>
    </row>
    <row r="626" spans="1:7" hidden="1" x14ac:dyDescent="0.25">
      <c r="A626" t="s">
        <v>660</v>
      </c>
      <c r="B626">
        <v>787</v>
      </c>
      <c r="C626" t="s">
        <v>1285</v>
      </c>
      <c r="D626" t="s">
        <v>226</v>
      </c>
      <c r="E626" t="s">
        <v>659</v>
      </c>
      <c r="F626">
        <v>44.67</v>
      </c>
      <c r="G626">
        <v>46.59</v>
      </c>
    </row>
    <row r="627" spans="1:7" hidden="1" x14ac:dyDescent="0.25">
      <c r="A627" t="s">
        <v>660</v>
      </c>
      <c r="B627">
        <v>774</v>
      </c>
      <c r="C627" t="s">
        <v>1286</v>
      </c>
      <c r="D627" t="s">
        <v>226</v>
      </c>
      <c r="E627" t="s">
        <v>659</v>
      </c>
      <c r="F627">
        <v>44.67</v>
      </c>
      <c r="G627">
        <v>46.59</v>
      </c>
    </row>
    <row r="628" spans="1:7" hidden="1" x14ac:dyDescent="0.25">
      <c r="A628" t="s">
        <v>660</v>
      </c>
      <c r="B628">
        <v>773</v>
      </c>
      <c r="C628" t="s">
        <v>1287</v>
      </c>
      <c r="D628" t="s">
        <v>226</v>
      </c>
      <c r="E628" t="s">
        <v>659</v>
      </c>
      <c r="F628">
        <v>44.67</v>
      </c>
      <c r="G628">
        <v>46.59</v>
      </c>
    </row>
    <row r="629" spans="1:7" hidden="1" x14ac:dyDescent="0.25">
      <c r="A629" t="s">
        <v>660</v>
      </c>
      <c r="B629">
        <v>775</v>
      </c>
      <c r="C629" t="s">
        <v>1288</v>
      </c>
      <c r="D629" t="s">
        <v>226</v>
      </c>
      <c r="E629" t="s">
        <v>659</v>
      </c>
      <c r="F629">
        <v>44.67</v>
      </c>
      <c r="G629">
        <v>46.59</v>
      </c>
    </row>
    <row r="630" spans="1:7" hidden="1" x14ac:dyDescent="0.25">
      <c r="A630" t="s">
        <v>660</v>
      </c>
      <c r="B630">
        <v>788</v>
      </c>
      <c r="C630" t="s">
        <v>1289</v>
      </c>
      <c r="D630" t="s">
        <v>226</v>
      </c>
      <c r="E630" t="s">
        <v>659</v>
      </c>
      <c r="F630">
        <v>27.76</v>
      </c>
      <c r="G630">
        <v>28.96</v>
      </c>
    </row>
    <row r="631" spans="1:7" hidden="1" x14ac:dyDescent="0.25">
      <c r="A631" t="s">
        <v>660</v>
      </c>
      <c r="B631">
        <v>772</v>
      </c>
      <c r="C631" t="s">
        <v>1290</v>
      </c>
      <c r="D631" t="s">
        <v>226</v>
      </c>
      <c r="E631" t="s">
        <v>659</v>
      </c>
      <c r="F631">
        <v>27.76</v>
      </c>
      <c r="G631">
        <v>28.96</v>
      </c>
    </row>
    <row r="632" spans="1:7" hidden="1" x14ac:dyDescent="0.25">
      <c r="A632" t="s">
        <v>660</v>
      </c>
      <c r="B632">
        <v>771</v>
      </c>
      <c r="C632" t="s">
        <v>1291</v>
      </c>
      <c r="D632" t="s">
        <v>226</v>
      </c>
      <c r="E632" t="s">
        <v>659</v>
      </c>
      <c r="F632">
        <v>27.76</v>
      </c>
      <c r="G632">
        <v>28.96</v>
      </c>
    </row>
    <row r="633" spans="1:7" hidden="1" x14ac:dyDescent="0.25">
      <c r="A633" t="s">
        <v>660</v>
      </c>
      <c r="B633">
        <v>776</v>
      </c>
      <c r="C633" t="s">
        <v>1292</v>
      </c>
      <c r="D633" t="s">
        <v>226</v>
      </c>
      <c r="E633" t="s">
        <v>659</v>
      </c>
      <c r="F633">
        <v>65.849999999999994</v>
      </c>
      <c r="G633">
        <v>68.680000000000007</v>
      </c>
    </row>
    <row r="634" spans="1:7" hidden="1" x14ac:dyDescent="0.25">
      <c r="A634" t="s">
        <v>660</v>
      </c>
      <c r="B634">
        <v>777</v>
      </c>
      <c r="C634" t="s">
        <v>1293</v>
      </c>
      <c r="D634" t="s">
        <v>226</v>
      </c>
      <c r="E634" t="s">
        <v>659</v>
      </c>
      <c r="F634">
        <v>64.010000000000005</v>
      </c>
      <c r="G634">
        <v>66.77</v>
      </c>
    </row>
    <row r="635" spans="1:7" hidden="1" x14ac:dyDescent="0.25">
      <c r="A635" t="s">
        <v>660</v>
      </c>
      <c r="B635">
        <v>780</v>
      </c>
      <c r="C635" t="s">
        <v>1294</v>
      </c>
      <c r="D635" t="s">
        <v>226</v>
      </c>
      <c r="E635" t="s">
        <v>659</v>
      </c>
      <c r="F635">
        <v>64.33</v>
      </c>
      <c r="G635">
        <v>67.099999999999994</v>
      </c>
    </row>
    <row r="636" spans="1:7" hidden="1" x14ac:dyDescent="0.25">
      <c r="A636" t="s">
        <v>660</v>
      </c>
      <c r="B636">
        <v>778</v>
      </c>
      <c r="C636" t="s">
        <v>1295</v>
      </c>
      <c r="D636" t="s">
        <v>226</v>
      </c>
      <c r="E636" t="s">
        <v>659</v>
      </c>
      <c r="F636">
        <v>65.849999999999994</v>
      </c>
      <c r="G636">
        <v>68.680000000000007</v>
      </c>
    </row>
    <row r="637" spans="1:7" hidden="1" x14ac:dyDescent="0.25">
      <c r="A637" t="s">
        <v>660</v>
      </c>
      <c r="B637">
        <v>779</v>
      </c>
      <c r="C637" t="s">
        <v>1296</v>
      </c>
      <c r="D637" t="s">
        <v>226</v>
      </c>
      <c r="E637" t="s">
        <v>659</v>
      </c>
      <c r="F637">
        <v>6.9</v>
      </c>
      <c r="G637">
        <v>7.2</v>
      </c>
    </row>
    <row r="638" spans="1:7" hidden="1" x14ac:dyDescent="0.25">
      <c r="A638" t="s">
        <v>660</v>
      </c>
      <c r="B638">
        <v>781</v>
      </c>
      <c r="C638" t="s">
        <v>1297</v>
      </c>
      <c r="D638" t="s">
        <v>226</v>
      </c>
      <c r="E638" t="s">
        <v>659</v>
      </c>
      <c r="F638">
        <v>121.66</v>
      </c>
      <c r="G638">
        <v>126.9</v>
      </c>
    </row>
    <row r="639" spans="1:7" hidden="1" x14ac:dyDescent="0.25">
      <c r="A639" t="s">
        <v>660</v>
      </c>
      <c r="B639">
        <v>786</v>
      </c>
      <c r="C639" t="s">
        <v>1298</v>
      </c>
      <c r="D639" t="s">
        <v>226</v>
      </c>
      <c r="E639" t="s">
        <v>659</v>
      </c>
      <c r="F639">
        <v>121.66</v>
      </c>
      <c r="G639">
        <v>126.9</v>
      </c>
    </row>
    <row r="640" spans="1:7" hidden="1" x14ac:dyDescent="0.25">
      <c r="A640" t="s">
        <v>660</v>
      </c>
      <c r="B640">
        <v>782</v>
      </c>
      <c r="C640" t="s">
        <v>1299</v>
      </c>
      <c r="D640" t="s">
        <v>226</v>
      </c>
      <c r="E640" t="s">
        <v>659</v>
      </c>
      <c r="F640">
        <v>121.66</v>
      </c>
      <c r="G640">
        <v>126.9</v>
      </c>
    </row>
    <row r="641" spans="1:7" hidden="1" x14ac:dyDescent="0.25">
      <c r="A641" t="s">
        <v>660</v>
      </c>
      <c r="B641">
        <v>783</v>
      </c>
      <c r="C641" t="s">
        <v>1300</v>
      </c>
      <c r="D641" t="s">
        <v>226</v>
      </c>
      <c r="E641" t="s">
        <v>659</v>
      </c>
      <c r="F641">
        <v>332.99</v>
      </c>
      <c r="G641">
        <v>347.3</v>
      </c>
    </row>
    <row r="642" spans="1:7" hidden="1" x14ac:dyDescent="0.25">
      <c r="A642" t="s">
        <v>660</v>
      </c>
      <c r="B642">
        <v>785</v>
      </c>
      <c r="C642" t="s">
        <v>1301</v>
      </c>
      <c r="D642" t="s">
        <v>226</v>
      </c>
      <c r="E642" t="s">
        <v>659</v>
      </c>
      <c r="F642">
        <v>351.83</v>
      </c>
      <c r="G642">
        <v>366.96</v>
      </c>
    </row>
    <row r="643" spans="1:7" hidden="1" x14ac:dyDescent="0.25">
      <c r="A643" t="s">
        <v>660</v>
      </c>
      <c r="B643">
        <v>784</v>
      </c>
      <c r="C643" t="s">
        <v>1302</v>
      </c>
      <c r="D643" t="s">
        <v>226</v>
      </c>
      <c r="E643" t="s">
        <v>659</v>
      </c>
      <c r="F643">
        <v>377.43</v>
      </c>
      <c r="G643">
        <v>393.66</v>
      </c>
    </row>
    <row r="644" spans="1:7" hidden="1" x14ac:dyDescent="0.25">
      <c r="A644" t="s">
        <v>660</v>
      </c>
      <c r="B644">
        <v>828</v>
      </c>
      <c r="C644" t="s">
        <v>1303</v>
      </c>
      <c r="D644" t="s">
        <v>226</v>
      </c>
      <c r="E644" t="s">
        <v>659</v>
      </c>
      <c r="F644">
        <v>0.61</v>
      </c>
      <c r="G644">
        <v>0.62</v>
      </c>
    </row>
    <row r="645" spans="1:7" hidden="1" x14ac:dyDescent="0.25">
      <c r="A645" t="s">
        <v>660</v>
      </c>
      <c r="B645">
        <v>829</v>
      </c>
      <c r="C645" t="s">
        <v>1304</v>
      </c>
      <c r="D645" t="s">
        <v>226</v>
      </c>
      <c r="E645" t="s">
        <v>659</v>
      </c>
      <c r="F645">
        <v>0.98</v>
      </c>
      <c r="G645">
        <v>1</v>
      </c>
    </row>
    <row r="646" spans="1:7" hidden="1" x14ac:dyDescent="0.25">
      <c r="A646" t="s">
        <v>660</v>
      </c>
      <c r="B646">
        <v>812</v>
      </c>
      <c r="C646" t="s">
        <v>1305</v>
      </c>
      <c r="D646" t="s">
        <v>226</v>
      </c>
      <c r="E646" t="s">
        <v>659</v>
      </c>
      <c r="F646">
        <v>2.15</v>
      </c>
      <c r="G646">
        <v>2.2000000000000002</v>
      </c>
    </row>
    <row r="647" spans="1:7" hidden="1" x14ac:dyDescent="0.25">
      <c r="A647" t="s">
        <v>660</v>
      </c>
      <c r="B647">
        <v>819</v>
      </c>
      <c r="C647" t="s">
        <v>1306</v>
      </c>
      <c r="D647" t="s">
        <v>226</v>
      </c>
      <c r="E647" t="s">
        <v>659</v>
      </c>
      <c r="F647">
        <v>3.74</v>
      </c>
      <c r="G647">
        <v>3.82</v>
      </c>
    </row>
    <row r="648" spans="1:7" hidden="1" x14ac:dyDescent="0.25">
      <c r="A648" t="s">
        <v>660</v>
      </c>
      <c r="B648">
        <v>818</v>
      </c>
      <c r="C648" t="s">
        <v>1307</v>
      </c>
      <c r="D648" t="s">
        <v>226</v>
      </c>
      <c r="E648" t="s">
        <v>659</v>
      </c>
      <c r="F648">
        <v>6.98</v>
      </c>
      <c r="G648">
        <v>7.14</v>
      </c>
    </row>
    <row r="649" spans="1:7" hidden="1" x14ac:dyDescent="0.25">
      <c r="A649" t="s">
        <v>660</v>
      </c>
      <c r="B649">
        <v>20086</v>
      </c>
      <c r="C649" t="s">
        <v>1308</v>
      </c>
      <c r="D649" t="s">
        <v>226</v>
      </c>
      <c r="E649" t="s">
        <v>659</v>
      </c>
      <c r="F649">
        <v>3.24</v>
      </c>
      <c r="G649">
        <v>3.35</v>
      </c>
    </row>
    <row r="650" spans="1:7" hidden="1" x14ac:dyDescent="0.25">
      <c r="A650" t="s">
        <v>660</v>
      </c>
      <c r="B650">
        <v>832</v>
      </c>
      <c r="C650" t="s">
        <v>1309</v>
      </c>
      <c r="D650" t="s">
        <v>226</v>
      </c>
      <c r="E650" t="s">
        <v>659</v>
      </c>
      <c r="F650">
        <v>2.88</v>
      </c>
      <c r="G650">
        <v>2.95</v>
      </c>
    </row>
    <row r="651" spans="1:7" hidden="1" x14ac:dyDescent="0.25">
      <c r="A651" t="s">
        <v>660</v>
      </c>
      <c r="B651">
        <v>834</v>
      </c>
      <c r="C651" t="s">
        <v>1310</v>
      </c>
      <c r="D651" t="s">
        <v>226</v>
      </c>
      <c r="E651" t="s">
        <v>659</v>
      </c>
      <c r="F651">
        <v>3.73</v>
      </c>
      <c r="G651">
        <v>3.82</v>
      </c>
    </row>
    <row r="652" spans="1:7" hidden="1" x14ac:dyDescent="0.25">
      <c r="A652" t="s">
        <v>660</v>
      </c>
      <c r="B652">
        <v>813</v>
      </c>
      <c r="C652" t="s">
        <v>1311</v>
      </c>
      <c r="D652" t="s">
        <v>226</v>
      </c>
      <c r="E652" t="s">
        <v>659</v>
      </c>
      <c r="F652">
        <v>4.34</v>
      </c>
      <c r="G652">
        <v>4.4400000000000004</v>
      </c>
    </row>
    <row r="653" spans="1:7" hidden="1" x14ac:dyDescent="0.25">
      <c r="A653" t="s">
        <v>660</v>
      </c>
      <c r="B653">
        <v>820</v>
      </c>
      <c r="C653" t="s">
        <v>1312</v>
      </c>
      <c r="D653" t="s">
        <v>226</v>
      </c>
      <c r="E653" t="s">
        <v>659</v>
      </c>
      <c r="F653">
        <v>5.84</v>
      </c>
      <c r="G653">
        <v>5.98</v>
      </c>
    </row>
    <row r="654" spans="1:7" hidden="1" x14ac:dyDescent="0.25">
      <c r="A654" t="s">
        <v>660</v>
      </c>
      <c r="B654">
        <v>816</v>
      </c>
      <c r="C654" t="s">
        <v>1313</v>
      </c>
      <c r="D654" t="s">
        <v>226</v>
      </c>
      <c r="E654" t="s">
        <v>659</v>
      </c>
      <c r="F654">
        <v>10.41</v>
      </c>
      <c r="G654">
        <v>10.66</v>
      </c>
    </row>
    <row r="655" spans="1:7" hidden="1" x14ac:dyDescent="0.25">
      <c r="A655" t="s">
        <v>660</v>
      </c>
      <c r="B655">
        <v>814</v>
      </c>
      <c r="C655" t="s">
        <v>1314</v>
      </c>
      <c r="D655" t="s">
        <v>226</v>
      </c>
      <c r="E655" t="s">
        <v>659</v>
      </c>
      <c r="F655">
        <v>12.93</v>
      </c>
      <c r="G655">
        <v>13.24</v>
      </c>
    </row>
    <row r="656" spans="1:7" hidden="1" x14ac:dyDescent="0.25">
      <c r="A656" t="s">
        <v>660</v>
      </c>
      <c r="B656">
        <v>822</v>
      </c>
      <c r="C656" t="s">
        <v>1315</v>
      </c>
      <c r="D656" t="s">
        <v>226</v>
      </c>
      <c r="E656" t="s">
        <v>659</v>
      </c>
      <c r="F656">
        <v>16.89</v>
      </c>
      <c r="G656">
        <v>17.28</v>
      </c>
    </row>
    <row r="657" spans="1:7" hidden="1" x14ac:dyDescent="0.25">
      <c r="A657" t="s">
        <v>660</v>
      </c>
      <c r="B657">
        <v>821</v>
      </c>
      <c r="C657" t="s">
        <v>1316</v>
      </c>
      <c r="D657" t="s">
        <v>226</v>
      </c>
      <c r="E657" t="s">
        <v>659</v>
      </c>
      <c r="F657">
        <v>19.309999999999999</v>
      </c>
      <c r="G657">
        <v>19.77</v>
      </c>
    </row>
    <row r="658" spans="1:7" hidden="1" x14ac:dyDescent="0.25">
      <c r="A658" t="s">
        <v>660</v>
      </c>
      <c r="B658">
        <v>39191</v>
      </c>
      <c r="C658" t="s">
        <v>1317</v>
      </c>
      <c r="D658" t="s">
        <v>226</v>
      </c>
      <c r="E658" t="s">
        <v>659</v>
      </c>
      <c r="F658">
        <v>27.43</v>
      </c>
      <c r="G658">
        <v>22.98</v>
      </c>
    </row>
    <row r="659" spans="1:7" hidden="1" x14ac:dyDescent="0.25">
      <c r="A659" t="s">
        <v>660</v>
      </c>
      <c r="B659">
        <v>39190</v>
      </c>
      <c r="C659" t="s">
        <v>1318</v>
      </c>
      <c r="D659" t="s">
        <v>226</v>
      </c>
      <c r="E659" t="s">
        <v>659</v>
      </c>
      <c r="F659">
        <v>28.66</v>
      </c>
      <c r="G659">
        <v>24</v>
      </c>
    </row>
    <row r="660" spans="1:7" hidden="1" x14ac:dyDescent="0.25">
      <c r="A660" t="s">
        <v>660</v>
      </c>
      <c r="B660">
        <v>39189</v>
      </c>
      <c r="C660" t="s">
        <v>1319</v>
      </c>
      <c r="D660" t="s">
        <v>226</v>
      </c>
      <c r="E660" t="s">
        <v>659</v>
      </c>
      <c r="F660">
        <v>30.33</v>
      </c>
      <c r="G660">
        <v>25.4</v>
      </c>
    </row>
    <row r="661" spans="1:7" hidden="1" x14ac:dyDescent="0.25">
      <c r="A661" t="s">
        <v>660</v>
      </c>
      <c r="B661">
        <v>39188</v>
      </c>
      <c r="C661" t="s">
        <v>1320</v>
      </c>
      <c r="D661" t="s">
        <v>226</v>
      </c>
      <c r="E661" t="s">
        <v>659</v>
      </c>
      <c r="F661">
        <v>22.33</v>
      </c>
      <c r="G661">
        <v>18.7</v>
      </c>
    </row>
    <row r="662" spans="1:7" hidden="1" x14ac:dyDescent="0.25">
      <c r="A662" t="s">
        <v>660</v>
      </c>
      <c r="B662">
        <v>39186</v>
      </c>
      <c r="C662" t="s">
        <v>1321</v>
      </c>
      <c r="D662" t="s">
        <v>226</v>
      </c>
      <c r="E662" t="s">
        <v>659</v>
      </c>
      <c r="F662">
        <v>27.14</v>
      </c>
      <c r="G662">
        <v>22.73</v>
      </c>
    </row>
    <row r="663" spans="1:7" hidden="1" x14ac:dyDescent="0.25">
      <c r="A663" t="s">
        <v>660</v>
      </c>
      <c r="B663">
        <v>39187</v>
      </c>
      <c r="C663" t="s">
        <v>1322</v>
      </c>
      <c r="D663" t="s">
        <v>226</v>
      </c>
      <c r="E663" t="s">
        <v>659</v>
      </c>
      <c r="F663">
        <v>23.4</v>
      </c>
      <c r="G663">
        <v>19.600000000000001</v>
      </c>
    </row>
    <row r="664" spans="1:7" hidden="1" x14ac:dyDescent="0.25">
      <c r="A664" t="s">
        <v>660</v>
      </c>
      <c r="B664">
        <v>39184</v>
      </c>
      <c r="C664" t="s">
        <v>1323</v>
      </c>
      <c r="D664" t="s">
        <v>226</v>
      </c>
      <c r="E664" t="s">
        <v>659</v>
      </c>
      <c r="F664">
        <v>8.8000000000000007</v>
      </c>
      <c r="G664">
        <v>7.37</v>
      </c>
    </row>
    <row r="665" spans="1:7" hidden="1" x14ac:dyDescent="0.25">
      <c r="A665" t="s">
        <v>660</v>
      </c>
      <c r="B665">
        <v>39185</v>
      </c>
      <c r="C665" t="s">
        <v>1324</v>
      </c>
      <c r="D665" t="s">
        <v>226</v>
      </c>
      <c r="E665" t="s">
        <v>659</v>
      </c>
      <c r="F665">
        <v>8.0299999999999994</v>
      </c>
      <c r="G665">
        <v>6.72</v>
      </c>
    </row>
    <row r="666" spans="1:7" hidden="1" x14ac:dyDescent="0.25">
      <c r="A666" t="s">
        <v>660</v>
      </c>
      <c r="B666">
        <v>39198</v>
      </c>
      <c r="C666" t="s">
        <v>1325</v>
      </c>
      <c r="D666" t="s">
        <v>226</v>
      </c>
      <c r="E666" t="s">
        <v>659</v>
      </c>
      <c r="F666">
        <v>90</v>
      </c>
      <c r="G666">
        <v>75.38</v>
      </c>
    </row>
    <row r="667" spans="1:7" hidden="1" x14ac:dyDescent="0.25">
      <c r="A667" t="s">
        <v>660</v>
      </c>
      <c r="B667">
        <v>39197</v>
      </c>
      <c r="C667" t="s">
        <v>1326</v>
      </c>
      <c r="D667" t="s">
        <v>226</v>
      </c>
      <c r="E667" t="s">
        <v>659</v>
      </c>
      <c r="F667">
        <v>94.02</v>
      </c>
      <c r="G667">
        <v>78.739999999999995</v>
      </c>
    </row>
    <row r="668" spans="1:7" hidden="1" x14ac:dyDescent="0.25">
      <c r="A668" t="s">
        <v>660</v>
      </c>
      <c r="B668">
        <v>39196</v>
      </c>
      <c r="C668" t="s">
        <v>1327</v>
      </c>
      <c r="D668" t="s">
        <v>226</v>
      </c>
      <c r="E668" t="s">
        <v>659</v>
      </c>
      <c r="F668">
        <v>96.96</v>
      </c>
      <c r="G668">
        <v>81.209999999999994</v>
      </c>
    </row>
    <row r="669" spans="1:7" hidden="1" x14ac:dyDescent="0.25">
      <c r="A669" t="s">
        <v>660</v>
      </c>
      <c r="B669">
        <v>39199</v>
      </c>
      <c r="C669" t="s">
        <v>1328</v>
      </c>
      <c r="D669" t="s">
        <v>226</v>
      </c>
      <c r="E669" t="s">
        <v>659</v>
      </c>
      <c r="F669">
        <v>86.61</v>
      </c>
      <c r="G669">
        <v>72.540000000000006</v>
      </c>
    </row>
    <row r="670" spans="1:7" hidden="1" x14ac:dyDescent="0.25">
      <c r="A670" t="s">
        <v>660</v>
      </c>
      <c r="B670">
        <v>39195</v>
      </c>
      <c r="C670" t="s">
        <v>1329</v>
      </c>
      <c r="D670" t="s">
        <v>226</v>
      </c>
      <c r="E670" t="s">
        <v>659</v>
      </c>
      <c r="F670">
        <v>49.99</v>
      </c>
      <c r="G670">
        <v>41.87</v>
      </c>
    </row>
    <row r="671" spans="1:7" hidden="1" x14ac:dyDescent="0.25">
      <c r="A671" t="s">
        <v>660</v>
      </c>
      <c r="B671">
        <v>39194</v>
      </c>
      <c r="C671" t="s">
        <v>1330</v>
      </c>
      <c r="D671" t="s">
        <v>226</v>
      </c>
      <c r="E671" t="s">
        <v>659</v>
      </c>
      <c r="F671">
        <v>53.5</v>
      </c>
      <c r="G671">
        <v>44.81</v>
      </c>
    </row>
    <row r="672" spans="1:7" hidden="1" x14ac:dyDescent="0.25">
      <c r="A672" t="s">
        <v>660</v>
      </c>
      <c r="B672">
        <v>39193</v>
      </c>
      <c r="C672" t="s">
        <v>1331</v>
      </c>
      <c r="D672" t="s">
        <v>226</v>
      </c>
      <c r="E672" t="s">
        <v>659</v>
      </c>
      <c r="F672">
        <v>58.64</v>
      </c>
      <c r="G672">
        <v>49.11</v>
      </c>
    </row>
    <row r="673" spans="1:7" hidden="1" x14ac:dyDescent="0.25">
      <c r="A673" t="s">
        <v>660</v>
      </c>
      <c r="B673">
        <v>39192</v>
      </c>
      <c r="C673" t="s">
        <v>1332</v>
      </c>
      <c r="D673" t="s">
        <v>226</v>
      </c>
      <c r="E673" t="s">
        <v>659</v>
      </c>
      <c r="F673">
        <v>60.99</v>
      </c>
      <c r="G673">
        <v>51.09</v>
      </c>
    </row>
    <row r="674" spans="1:7" hidden="1" x14ac:dyDescent="0.25">
      <c r="A674" t="s">
        <v>660</v>
      </c>
      <c r="B674">
        <v>39201</v>
      </c>
      <c r="C674" t="s">
        <v>1333</v>
      </c>
      <c r="D674" t="s">
        <v>226</v>
      </c>
      <c r="E674" t="s">
        <v>659</v>
      </c>
      <c r="F674">
        <v>107.6</v>
      </c>
      <c r="G674">
        <v>90.12</v>
      </c>
    </row>
    <row r="675" spans="1:7" hidden="1" x14ac:dyDescent="0.25">
      <c r="A675" t="s">
        <v>660</v>
      </c>
      <c r="B675">
        <v>39200</v>
      </c>
      <c r="C675" t="s">
        <v>1334</v>
      </c>
      <c r="D675" t="s">
        <v>226</v>
      </c>
      <c r="E675" t="s">
        <v>659</v>
      </c>
      <c r="F675">
        <v>108.47</v>
      </c>
      <c r="G675">
        <v>90.85</v>
      </c>
    </row>
    <row r="676" spans="1:7" hidden="1" x14ac:dyDescent="0.25">
      <c r="A676" t="s">
        <v>660</v>
      </c>
      <c r="B676">
        <v>39203</v>
      </c>
      <c r="C676" t="s">
        <v>1335</v>
      </c>
      <c r="D676" t="s">
        <v>226</v>
      </c>
      <c r="E676" t="s">
        <v>659</v>
      </c>
      <c r="F676">
        <v>87.58</v>
      </c>
      <c r="G676">
        <v>73.36</v>
      </c>
    </row>
    <row r="677" spans="1:7" hidden="1" x14ac:dyDescent="0.25">
      <c r="A677" t="s">
        <v>660</v>
      </c>
      <c r="B677">
        <v>39202</v>
      </c>
      <c r="C677" t="s">
        <v>1336</v>
      </c>
      <c r="D677" t="s">
        <v>226</v>
      </c>
      <c r="E677" t="s">
        <v>659</v>
      </c>
      <c r="F677">
        <v>102.89</v>
      </c>
      <c r="G677">
        <v>86.17</v>
      </c>
    </row>
    <row r="678" spans="1:7" hidden="1" x14ac:dyDescent="0.25">
      <c r="A678" t="s">
        <v>660</v>
      </c>
      <c r="B678">
        <v>39920</v>
      </c>
      <c r="C678" t="s">
        <v>1337</v>
      </c>
      <c r="D678" t="s">
        <v>226</v>
      </c>
      <c r="E678" t="s">
        <v>659</v>
      </c>
      <c r="F678">
        <v>7.38</v>
      </c>
      <c r="G678">
        <v>6.18</v>
      </c>
    </row>
    <row r="679" spans="1:7" hidden="1" x14ac:dyDescent="0.25">
      <c r="A679" t="s">
        <v>660</v>
      </c>
      <c r="B679">
        <v>39205</v>
      </c>
      <c r="C679" t="s">
        <v>1338</v>
      </c>
      <c r="D679" t="s">
        <v>226</v>
      </c>
      <c r="E679" t="s">
        <v>659</v>
      </c>
      <c r="F679">
        <v>171.65</v>
      </c>
      <c r="G679">
        <v>143.77000000000001</v>
      </c>
    </row>
    <row r="680" spans="1:7" hidden="1" x14ac:dyDescent="0.25">
      <c r="A680" t="s">
        <v>660</v>
      </c>
      <c r="B680">
        <v>39204</v>
      </c>
      <c r="C680" t="s">
        <v>1339</v>
      </c>
      <c r="D680" t="s">
        <v>226</v>
      </c>
      <c r="E680" t="s">
        <v>659</v>
      </c>
      <c r="F680">
        <v>175.8</v>
      </c>
      <c r="G680">
        <v>147.24</v>
      </c>
    </row>
    <row r="681" spans="1:7" hidden="1" x14ac:dyDescent="0.25">
      <c r="A681" t="s">
        <v>660</v>
      </c>
      <c r="B681">
        <v>39206</v>
      </c>
      <c r="C681" t="s">
        <v>1340</v>
      </c>
      <c r="D681" t="s">
        <v>226</v>
      </c>
      <c r="E681" t="s">
        <v>659</v>
      </c>
      <c r="F681">
        <v>166.78</v>
      </c>
      <c r="G681">
        <v>139.69</v>
      </c>
    </row>
    <row r="682" spans="1:7" hidden="1" x14ac:dyDescent="0.25">
      <c r="A682" t="s">
        <v>660</v>
      </c>
      <c r="B682">
        <v>798</v>
      </c>
      <c r="C682" t="s">
        <v>1341</v>
      </c>
      <c r="D682" t="s">
        <v>226</v>
      </c>
      <c r="E682" t="s">
        <v>659</v>
      </c>
      <c r="F682">
        <v>1.2</v>
      </c>
      <c r="G682">
        <v>1.23</v>
      </c>
    </row>
    <row r="683" spans="1:7" hidden="1" x14ac:dyDescent="0.25">
      <c r="A683" t="s">
        <v>660</v>
      </c>
      <c r="B683">
        <v>797</v>
      </c>
      <c r="C683" t="s">
        <v>1342</v>
      </c>
      <c r="D683" t="s">
        <v>226</v>
      </c>
      <c r="E683" t="s">
        <v>659</v>
      </c>
      <c r="F683">
        <v>8.74</v>
      </c>
      <c r="G683">
        <v>8.9499999999999993</v>
      </c>
    </row>
    <row r="684" spans="1:7" hidden="1" x14ac:dyDescent="0.25">
      <c r="A684" t="s">
        <v>660</v>
      </c>
      <c r="B684">
        <v>796</v>
      </c>
      <c r="C684" t="s">
        <v>1343</v>
      </c>
      <c r="D684" t="s">
        <v>226</v>
      </c>
      <c r="E684" t="s">
        <v>659</v>
      </c>
      <c r="F684">
        <v>7.43</v>
      </c>
      <c r="G684">
        <v>7.6</v>
      </c>
    </row>
    <row r="685" spans="1:7" hidden="1" x14ac:dyDescent="0.25">
      <c r="A685" t="s">
        <v>660</v>
      </c>
      <c r="B685">
        <v>799</v>
      </c>
      <c r="C685" t="s">
        <v>1344</v>
      </c>
      <c r="D685" t="s">
        <v>226</v>
      </c>
      <c r="E685" t="s">
        <v>659</v>
      </c>
      <c r="F685">
        <v>3.59</v>
      </c>
      <c r="G685">
        <v>3.68</v>
      </c>
    </row>
    <row r="686" spans="1:7" hidden="1" x14ac:dyDescent="0.25">
      <c r="A686" t="s">
        <v>660</v>
      </c>
      <c r="B686">
        <v>792</v>
      </c>
      <c r="C686" t="s">
        <v>1345</v>
      </c>
      <c r="D686" t="s">
        <v>226</v>
      </c>
      <c r="E686" t="s">
        <v>659</v>
      </c>
      <c r="F686">
        <v>3.48</v>
      </c>
      <c r="G686">
        <v>3.56</v>
      </c>
    </row>
    <row r="687" spans="1:7" hidden="1" x14ac:dyDescent="0.25">
      <c r="A687" t="s">
        <v>660</v>
      </c>
      <c r="B687">
        <v>38001</v>
      </c>
      <c r="C687" t="s">
        <v>1346</v>
      </c>
      <c r="D687" t="s">
        <v>226</v>
      </c>
      <c r="E687" t="s">
        <v>659</v>
      </c>
      <c r="F687">
        <v>1.29</v>
      </c>
      <c r="G687">
        <v>1.23</v>
      </c>
    </row>
    <row r="688" spans="1:7" hidden="1" x14ac:dyDescent="0.25">
      <c r="A688" t="s">
        <v>660</v>
      </c>
      <c r="B688">
        <v>38002</v>
      </c>
      <c r="C688" t="s">
        <v>1347</v>
      </c>
      <c r="D688" t="s">
        <v>226</v>
      </c>
      <c r="E688" t="s">
        <v>659</v>
      </c>
      <c r="F688">
        <v>4.4800000000000004</v>
      </c>
      <c r="G688">
        <v>4.28</v>
      </c>
    </row>
    <row r="689" spans="1:7" hidden="1" x14ac:dyDescent="0.25">
      <c r="A689" t="s">
        <v>660</v>
      </c>
      <c r="B689">
        <v>38003</v>
      </c>
      <c r="C689" t="s">
        <v>1348</v>
      </c>
      <c r="D689" t="s">
        <v>226</v>
      </c>
      <c r="E689" t="s">
        <v>659</v>
      </c>
      <c r="F689">
        <v>30.64</v>
      </c>
      <c r="G689">
        <v>29.25</v>
      </c>
    </row>
    <row r="690" spans="1:7" hidden="1" x14ac:dyDescent="0.25">
      <c r="A690" t="s">
        <v>660</v>
      </c>
      <c r="B690">
        <v>38004</v>
      </c>
      <c r="C690" t="s">
        <v>1349</v>
      </c>
      <c r="D690" t="s">
        <v>226</v>
      </c>
      <c r="E690" t="s">
        <v>659</v>
      </c>
      <c r="F690">
        <v>35.229999999999997</v>
      </c>
      <c r="G690">
        <v>33.64</v>
      </c>
    </row>
    <row r="691" spans="1:7" hidden="1" x14ac:dyDescent="0.25">
      <c r="A691" t="s">
        <v>660</v>
      </c>
      <c r="B691">
        <v>44263</v>
      </c>
      <c r="C691" t="s">
        <v>1350</v>
      </c>
      <c r="D691" t="s">
        <v>226</v>
      </c>
      <c r="E691" t="s">
        <v>659</v>
      </c>
      <c r="F691">
        <v>63.25</v>
      </c>
      <c r="G691">
        <v>60.39</v>
      </c>
    </row>
    <row r="692" spans="1:7" hidden="1" x14ac:dyDescent="0.25">
      <c r="A692" t="s">
        <v>660</v>
      </c>
      <c r="B692">
        <v>36327</v>
      </c>
      <c r="C692" t="s">
        <v>1351</v>
      </c>
      <c r="D692" t="s">
        <v>226</v>
      </c>
      <c r="E692" t="s">
        <v>659</v>
      </c>
      <c r="F692">
        <f>G692</f>
        <v>4.28</v>
      </c>
      <c r="G692">
        <v>4.28</v>
      </c>
    </row>
    <row r="693" spans="1:7" hidden="1" x14ac:dyDescent="0.25">
      <c r="A693" t="s">
        <v>660</v>
      </c>
      <c r="B693">
        <v>38992</v>
      </c>
      <c r="C693" t="s">
        <v>1352</v>
      </c>
      <c r="D693" t="s">
        <v>226</v>
      </c>
      <c r="E693" t="s">
        <v>659</v>
      </c>
      <c r="F693">
        <f>G693</f>
        <v>5.19</v>
      </c>
      <c r="G693">
        <v>5.19</v>
      </c>
    </row>
    <row r="694" spans="1:7" hidden="1" x14ac:dyDescent="0.25">
      <c r="A694" t="s">
        <v>660</v>
      </c>
      <c r="B694">
        <v>38993</v>
      </c>
      <c r="C694" t="s">
        <v>1353</v>
      </c>
      <c r="D694" t="s">
        <v>226</v>
      </c>
      <c r="E694" t="s">
        <v>659</v>
      </c>
      <c r="F694">
        <f>G694</f>
        <v>13.51</v>
      </c>
      <c r="G694">
        <v>13.51</v>
      </c>
    </row>
    <row r="695" spans="1:7" hidden="1" x14ac:dyDescent="0.25">
      <c r="A695" t="s">
        <v>660</v>
      </c>
      <c r="B695">
        <v>44175</v>
      </c>
      <c r="C695" t="s">
        <v>1354</v>
      </c>
      <c r="D695" t="s">
        <v>226</v>
      </c>
      <c r="E695" t="s">
        <v>659</v>
      </c>
      <c r="F695">
        <f>G695</f>
        <v>23.57</v>
      </c>
      <c r="G695">
        <v>23.57</v>
      </c>
    </row>
    <row r="696" spans="1:7" hidden="1" x14ac:dyDescent="0.25">
      <c r="A696" t="s">
        <v>660</v>
      </c>
      <c r="B696">
        <v>44177</v>
      </c>
      <c r="C696" t="s">
        <v>1355</v>
      </c>
      <c r="D696" t="s">
        <v>226</v>
      </c>
      <c r="E696" t="s">
        <v>659</v>
      </c>
      <c r="F696">
        <f>G696</f>
        <v>17.61</v>
      </c>
      <c r="G696">
        <v>17.61</v>
      </c>
    </row>
    <row r="697" spans="1:7" hidden="1" x14ac:dyDescent="0.25">
      <c r="A697" t="s">
        <v>660</v>
      </c>
      <c r="B697">
        <v>38418</v>
      </c>
      <c r="C697" t="s">
        <v>1356</v>
      </c>
      <c r="D697" t="s">
        <v>226</v>
      </c>
      <c r="E697" t="s">
        <v>659</v>
      </c>
      <c r="F697">
        <v>5.57</v>
      </c>
      <c r="G697">
        <v>5.76</v>
      </c>
    </row>
    <row r="698" spans="1:7" hidden="1" x14ac:dyDescent="0.25">
      <c r="A698" t="s">
        <v>660</v>
      </c>
      <c r="B698">
        <v>39178</v>
      </c>
      <c r="C698" t="s">
        <v>1357</v>
      </c>
      <c r="D698" t="s">
        <v>226</v>
      </c>
      <c r="E698" t="s">
        <v>659</v>
      </c>
      <c r="F698">
        <v>2.97</v>
      </c>
      <c r="G698">
        <v>2.48</v>
      </c>
    </row>
    <row r="699" spans="1:7" hidden="1" x14ac:dyDescent="0.25">
      <c r="A699" t="s">
        <v>660</v>
      </c>
      <c r="B699">
        <v>39177</v>
      </c>
      <c r="C699" t="s">
        <v>1358</v>
      </c>
      <c r="D699" t="s">
        <v>226</v>
      </c>
      <c r="E699" t="s">
        <v>659</v>
      </c>
      <c r="F699">
        <v>2.68</v>
      </c>
      <c r="G699">
        <v>2.25</v>
      </c>
    </row>
    <row r="700" spans="1:7" hidden="1" x14ac:dyDescent="0.25">
      <c r="A700" t="s">
        <v>660</v>
      </c>
      <c r="B700">
        <v>39176</v>
      </c>
      <c r="C700" t="s">
        <v>1359</v>
      </c>
      <c r="D700" t="s">
        <v>226</v>
      </c>
      <c r="E700" t="s">
        <v>659</v>
      </c>
      <c r="F700">
        <v>1.76</v>
      </c>
      <c r="G700">
        <v>1.47</v>
      </c>
    </row>
    <row r="701" spans="1:7" hidden="1" x14ac:dyDescent="0.25">
      <c r="A701" t="s">
        <v>660</v>
      </c>
      <c r="B701">
        <v>39174</v>
      </c>
      <c r="C701" t="s">
        <v>1360</v>
      </c>
      <c r="D701" t="s">
        <v>226</v>
      </c>
      <c r="E701" t="s">
        <v>659</v>
      </c>
      <c r="F701">
        <v>1.34</v>
      </c>
      <c r="G701">
        <v>1.1200000000000001</v>
      </c>
    </row>
    <row r="702" spans="1:7" hidden="1" x14ac:dyDescent="0.25">
      <c r="A702" t="s">
        <v>660</v>
      </c>
      <c r="B702">
        <v>39180</v>
      </c>
      <c r="C702" t="s">
        <v>1361</v>
      </c>
      <c r="D702" t="s">
        <v>226</v>
      </c>
      <c r="E702" t="s">
        <v>659</v>
      </c>
      <c r="F702">
        <v>8.06</v>
      </c>
      <c r="G702">
        <v>6.75</v>
      </c>
    </row>
    <row r="703" spans="1:7" hidden="1" x14ac:dyDescent="0.25">
      <c r="A703" t="s">
        <v>660</v>
      </c>
      <c r="B703">
        <v>39179</v>
      </c>
      <c r="C703" t="s">
        <v>1362</v>
      </c>
      <c r="D703" t="s">
        <v>226</v>
      </c>
      <c r="E703" t="s">
        <v>659</v>
      </c>
      <c r="F703">
        <v>7.13</v>
      </c>
      <c r="G703">
        <v>5.97</v>
      </c>
    </row>
    <row r="704" spans="1:7" hidden="1" x14ac:dyDescent="0.25">
      <c r="A704" t="s">
        <v>660</v>
      </c>
      <c r="B704">
        <v>39181</v>
      </c>
      <c r="C704" t="s">
        <v>1363</v>
      </c>
      <c r="D704" t="s">
        <v>226</v>
      </c>
      <c r="E704" t="s">
        <v>659</v>
      </c>
      <c r="F704">
        <v>10.8</v>
      </c>
      <c r="G704">
        <v>9.0500000000000007</v>
      </c>
    </row>
    <row r="705" spans="1:7" hidden="1" x14ac:dyDescent="0.25">
      <c r="A705" t="s">
        <v>660</v>
      </c>
      <c r="B705">
        <v>39175</v>
      </c>
      <c r="C705" t="s">
        <v>1364</v>
      </c>
      <c r="D705" t="s">
        <v>226</v>
      </c>
      <c r="E705" t="s">
        <v>659</v>
      </c>
      <c r="F705">
        <v>1.64</v>
      </c>
      <c r="G705">
        <v>1.37</v>
      </c>
    </row>
    <row r="706" spans="1:7" hidden="1" x14ac:dyDescent="0.25">
      <c r="A706" t="s">
        <v>660</v>
      </c>
      <c r="B706">
        <v>39217</v>
      </c>
      <c r="C706" t="s">
        <v>1365</v>
      </c>
      <c r="D706" t="s">
        <v>226</v>
      </c>
      <c r="E706" t="s">
        <v>659</v>
      </c>
      <c r="F706">
        <v>1.26</v>
      </c>
      <c r="G706">
        <v>1.06</v>
      </c>
    </row>
    <row r="707" spans="1:7" hidden="1" x14ac:dyDescent="0.25">
      <c r="A707" t="s">
        <v>660</v>
      </c>
      <c r="B707">
        <v>39182</v>
      </c>
      <c r="C707" t="s">
        <v>1366</v>
      </c>
      <c r="D707" t="s">
        <v>226</v>
      </c>
      <c r="E707" t="s">
        <v>659</v>
      </c>
      <c r="F707">
        <v>15.19</v>
      </c>
      <c r="G707">
        <v>12.72</v>
      </c>
    </row>
    <row r="708" spans="1:7" x14ac:dyDescent="0.25">
      <c r="A708" t="s">
        <v>660</v>
      </c>
      <c r="B708">
        <v>12616</v>
      </c>
      <c r="C708" t="s">
        <v>1367</v>
      </c>
      <c r="D708" t="s">
        <v>226</v>
      </c>
      <c r="E708" t="s">
        <v>659</v>
      </c>
      <c r="F708">
        <v>17.18</v>
      </c>
      <c r="G708">
        <v>17.760000000000002</v>
      </c>
    </row>
    <row r="709" spans="1:7" hidden="1" x14ac:dyDescent="0.25">
      <c r="A709" t="s">
        <v>660</v>
      </c>
      <c r="B709">
        <v>1049</v>
      </c>
      <c r="C709" t="s">
        <v>1368</v>
      </c>
      <c r="D709" t="s">
        <v>226</v>
      </c>
      <c r="E709" t="s">
        <v>659</v>
      </c>
      <c r="F709">
        <v>12.71</v>
      </c>
      <c r="G709">
        <v>10.65</v>
      </c>
    </row>
    <row r="710" spans="1:7" hidden="1" x14ac:dyDescent="0.25">
      <c r="A710" t="s">
        <v>660</v>
      </c>
      <c r="B710">
        <v>1099</v>
      </c>
      <c r="C710" t="s">
        <v>1369</v>
      </c>
      <c r="D710" t="s">
        <v>226</v>
      </c>
      <c r="E710" t="s">
        <v>659</v>
      </c>
      <c r="F710">
        <v>9.73</v>
      </c>
      <c r="G710">
        <v>8.15</v>
      </c>
    </row>
    <row r="711" spans="1:7" hidden="1" x14ac:dyDescent="0.25">
      <c r="A711" t="s">
        <v>660</v>
      </c>
      <c r="B711">
        <v>1050</v>
      </c>
      <c r="C711" t="s">
        <v>1370</v>
      </c>
      <c r="D711" t="s">
        <v>226</v>
      </c>
      <c r="E711" t="s">
        <v>659</v>
      </c>
      <c r="F711">
        <v>6.65</v>
      </c>
      <c r="G711">
        <v>5.57</v>
      </c>
    </row>
    <row r="712" spans="1:7" hidden="1" x14ac:dyDescent="0.25">
      <c r="A712" t="s">
        <v>660</v>
      </c>
      <c r="B712">
        <v>39678</v>
      </c>
      <c r="C712" t="s">
        <v>1371</v>
      </c>
      <c r="D712" t="s">
        <v>226</v>
      </c>
      <c r="E712" t="s">
        <v>659</v>
      </c>
      <c r="F712">
        <v>3.92</v>
      </c>
      <c r="G712">
        <v>3.28</v>
      </c>
    </row>
    <row r="713" spans="1:7" hidden="1" x14ac:dyDescent="0.25">
      <c r="A713" t="s">
        <v>660</v>
      </c>
      <c r="B713">
        <v>1101</v>
      </c>
      <c r="C713" t="s">
        <v>1372</v>
      </c>
      <c r="D713" t="s">
        <v>226</v>
      </c>
      <c r="E713" t="s">
        <v>659</v>
      </c>
      <c r="F713">
        <v>41.95</v>
      </c>
      <c r="G713">
        <v>35.130000000000003</v>
      </c>
    </row>
    <row r="714" spans="1:7" hidden="1" x14ac:dyDescent="0.25">
      <c r="A714" t="s">
        <v>660</v>
      </c>
      <c r="B714">
        <v>1100</v>
      </c>
      <c r="C714" t="s">
        <v>1373</v>
      </c>
      <c r="D714" t="s">
        <v>226</v>
      </c>
      <c r="E714" t="s">
        <v>659</v>
      </c>
      <c r="F714">
        <v>21.64</v>
      </c>
      <c r="G714">
        <v>18.13</v>
      </c>
    </row>
    <row r="715" spans="1:7" hidden="1" x14ac:dyDescent="0.25">
      <c r="A715" t="s">
        <v>660</v>
      </c>
      <c r="B715">
        <v>39679</v>
      </c>
      <c r="C715" t="s">
        <v>1374</v>
      </c>
      <c r="D715" t="s">
        <v>226</v>
      </c>
      <c r="E715" t="s">
        <v>659</v>
      </c>
      <c r="F715">
        <v>83.6</v>
      </c>
      <c r="G715">
        <v>70.02</v>
      </c>
    </row>
    <row r="716" spans="1:7" hidden="1" x14ac:dyDescent="0.25">
      <c r="A716" t="s">
        <v>660</v>
      </c>
      <c r="B716">
        <v>1102</v>
      </c>
      <c r="C716" t="s">
        <v>1375</v>
      </c>
      <c r="D716" t="s">
        <v>226</v>
      </c>
      <c r="E716" t="s">
        <v>659</v>
      </c>
      <c r="F716">
        <v>62.55</v>
      </c>
      <c r="G716">
        <v>52.39</v>
      </c>
    </row>
    <row r="717" spans="1:7" hidden="1" x14ac:dyDescent="0.25">
      <c r="A717" t="s">
        <v>660</v>
      </c>
      <c r="B717">
        <v>1098</v>
      </c>
      <c r="C717" t="s">
        <v>1376</v>
      </c>
      <c r="D717" t="s">
        <v>226</v>
      </c>
      <c r="E717" t="s">
        <v>659</v>
      </c>
      <c r="F717">
        <v>5.19</v>
      </c>
      <c r="G717">
        <v>4.3499999999999996</v>
      </c>
    </row>
    <row r="718" spans="1:7" hidden="1" x14ac:dyDescent="0.25">
      <c r="A718" t="s">
        <v>660</v>
      </c>
      <c r="B718">
        <v>1051</v>
      </c>
      <c r="C718" t="s">
        <v>1377</v>
      </c>
      <c r="D718" t="s">
        <v>226</v>
      </c>
      <c r="E718" t="s">
        <v>659</v>
      </c>
      <c r="F718">
        <v>90.91</v>
      </c>
      <c r="G718">
        <v>76.14</v>
      </c>
    </row>
    <row r="719" spans="1:7" hidden="1" x14ac:dyDescent="0.25">
      <c r="A719" t="s">
        <v>660</v>
      </c>
      <c r="B719">
        <v>37399</v>
      </c>
      <c r="C719" t="s">
        <v>1378</v>
      </c>
      <c r="D719" t="s">
        <v>226</v>
      </c>
      <c r="E719" t="s">
        <v>659</v>
      </c>
      <c r="F719">
        <v>20.38</v>
      </c>
      <c r="G719">
        <v>31.25</v>
      </c>
    </row>
    <row r="720" spans="1:7" hidden="1" x14ac:dyDescent="0.25">
      <c r="A720" t="s">
        <v>660</v>
      </c>
      <c r="B720">
        <v>43834</v>
      </c>
      <c r="C720" t="s">
        <v>1379</v>
      </c>
      <c r="D720" t="s">
        <v>704</v>
      </c>
      <c r="E720" t="s">
        <v>659</v>
      </c>
      <c r="F720">
        <v>19</v>
      </c>
      <c r="G720">
        <v>22.49</v>
      </c>
    </row>
    <row r="721" spans="1:7" hidden="1" x14ac:dyDescent="0.25">
      <c r="A721" t="s">
        <v>660</v>
      </c>
      <c r="B721">
        <v>43835</v>
      </c>
      <c r="C721" t="s">
        <v>1380</v>
      </c>
      <c r="D721" t="s">
        <v>704</v>
      </c>
      <c r="E721" t="s">
        <v>659</v>
      </c>
      <c r="F721">
        <v>1.7</v>
      </c>
      <c r="G721">
        <v>2.0099999999999998</v>
      </c>
    </row>
    <row r="722" spans="1:7" hidden="1" x14ac:dyDescent="0.25">
      <c r="A722" t="s">
        <v>660</v>
      </c>
      <c r="B722">
        <v>43833</v>
      </c>
      <c r="C722" t="s">
        <v>1381</v>
      </c>
      <c r="D722" t="s">
        <v>704</v>
      </c>
      <c r="E722" t="s">
        <v>659</v>
      </c>
      <c r="F722">
        <v>1.77</v>
      </c>
      <c r="G722">
        <v>2.09</v>
      </c>
    </row>
    <row r="723" spans="1:7" hidden="1" x14ac:dyDescent="0.25">
      <c r="A723" t="s">
        <v>660</v>
      </c>
      <c r="B723">
        <v>41955</v>
      </c>
      <c r="C723" t="s">
        <v>1382</v>
      </c>
      <c r="D723" t="s">
        <v>708</v>
      </c>
      <c r="E723" t="s">
        <v>659</v>
      </c>
      <c r="F723">
        <v>68.61</v>
      </c>
      <c r="G723">
        <v>72.489999999999995</v>
      </c>
    </row>
    <row r="724" spans="1:7" hidden="1" x14ac:dyDescent="0.25">
      <c r="A724" t="s">
        <v>660</v>
      </c>
      <c r="B724">
        <v>41953</v>
      </c>
      <c r="C724" t="s">
        <v>1383</v>
      </c>
      <c r="D724" t="s">
        <v>708</v>
      </c>
      <c r="E724" t="s">
        <v>659</v>
      </c>
      <c r="F724">
        <v>65.47</v>
      </c>
      <c r="G724">
        <v>69.180000000000007</v>
      </c>
    </row>
    <row r="725" spans="1:7" hidden="1" x14ac:dyDescent="0.25">
      <c r="A725" t="s">
        <v>660</v>
      </c>
      <c r="B725">
        <v>41954</v>
      </c>
      <c r="C725" t="s">
        <v>1384</v>
      </c>
      <c r="D725" t="s">
        <v>708</v>
      </c>
      <c r="E725" t="s">
        <v>659</v>
      </c>
      <c r="F725">
        <v>64.849999999999994</v>
      </c>
      <c r="G725">
        <v>68.52</v>
      </c>
    </row>
    <row r="726" spans="1:7" hidden="1" x14ac:dyDescent="0.25">
      <c r="A726" t="s">
        <v>660</v>
      </c>
      <c r="B726">
        <v>25004</v>
      </c>
      <c r="C726" t="s">
        <v>1385</v>
      </c>
      <c r="D726" t="s">
        <v>708</v>
      </c>
      <c r="E726" t="s">
        <v>659</v>
      </c>
      <c r="F726">
        <v>51.99</v>
      </c>
      <c r="G726">
        <v>51.47</v>
      </c>
    </row>
    <row r="727" spans="1:7" hidden="1" x14ac:dyDescent="0.25">
      <c r="A727" t="s">
        <v>660</v>
      </c>
      <c r="B727">
        <v>25002</v>
      </c>
      <c r="C727" t="s">
        <v>1386</v>
      </c>
      <c r="D727" t="s">
        <v>708</v>
      </c>
      <c r="E727" t="s">
        <v>659</v>
      </c>
      <c r="F727">
        <v>51.99</v>
      </c>
      <c r="G727">
        <v>51.47</v>
      </c>
    </row>
    <row r="728" spans="1:7" hidden="1" x14ac:dyDescent="0.25">
      <c r="A728" t="s">
        <v>660</v>
      </c>
      <c r="B728">
        <v>37409</v>
      </c>
      <c r="C728" t="s">
        <v>1387</v>
      </c>
      <c r="D728" t="s">
        <v>708</v>
      </c>
      <c r="E728" t="s">
        <v>659</v>
      </c>
      <c r="F728">
        <v>51.99</v>
      </c>
      <c r="G728">
        <v>51.47</v>
      </c>
    </row>
    <row r="729" spans="1:7" hidden="1" x14ac:dyDescent="0.25">
      <c r="A729" t="s">
        <v>660</v>
      </c>
      <c r="B729">
        <v>841</v>
      </c>
      <c r="C729" t="s">
        <v>1388</v>
      </c>
      <c r="D729" t="s">
        <v>708</v>
      </c>
      <c r="E729" t="s">
        <v>659</v>
      </c>
      <c r="F729">
        <v>52.63</v>
      </c>
      <c r="G729">
        <v>52.1</v>
      </c>
    </row>
    <row r="730" spans="1:7" hidden="1" x14ac:dyDescent="0.25">
      <c r="A730" t="s">
        <v>660</v>
      </c>
      <c r="B730">
        <v>25005</v>
      </c>
      <c r="C730" t="s">
        <v>1389</v>
      </c>
      <c r="D730" t="s">
        <v>708</v>
      </c>
      <c r="E730" t="s">
        <v>659</v>
      </c>
      <c r="F730">
        <v>57.05</v>
      </c>
      <c r="G730">
        <v>56.48</v>
      </c>
    </row>
    <row r="731" spans="1:7" hidden="1" x14ac:dyDescent="0.25">
      <c r="A731" t="s">
        <v>660</v>
      </c>
      <c r="B731">
        <v>25003</v>
      </c>
      <c r="C731" t="s">
        <v>1390</v>
      </c>
      <c r="D731" t="s">
        <v>708</v>
      </c>
      <c r="E731" t="s">
        <v>659</v>
      </c>
      <c r="F731">
        <v>57.91</v>
      </c>
      <c r="G731">
        <v>57.33</v>
      </c>
    </row>
    <row r="732" spans="1:7" hidden="1" x14ac:dyDescent="0.25">
      <c r="A732" t="s">
        <v>660</v>
      </c>
      <c r="B732">
        <v>37410</v>
      </c>
      <c r="C732" t="s">
        <v>1391</v>
      </c>
      <c r="D732" t="s">
        <v>708</v>
      </c>
      <c r="E732" t="s">
        <v>659</v>
      </c>
      <c r="F732">
        <v>57.05</v>
      </c>
      <c r="G732">
        <v>56.48</v>
      </c>
    </row>
    <row r="733" spans="1:7" hidden="1" x14ac:dyDescent="0.25">
      <c r="A733" t="s">
        <v>660</v>
      </c>
      <c r="B733">
        <v>842</v>
      </c>
      <c r="C733" t="s">
        <v>1392</v>
      </c>
      <c r="D733" t="s">
        <v>708</v>
      </c>
      <c r="E733" t="s">
        <v>659</v>
      </c>
      <c r="F733">
        <v>57.87</v>
      </c>
      <c r="G733">
        <v>57.28</v>
      </c>
    </row>
    <row r="734" spans="1:7" hidden="1" x14ac:dyDescent="0.25">
      <c r="A734" t="s">
        <v>660</v>
      </c>
      <c r="B734">
        <v>44391</v>
      </c>
      <c r="C734" t="s">
        <v>1393</v>
      </c>
      <c r="D734" t="s">
        <v>704</v>
      </c>
      <c r="E734" t="s">
        <v>659</v>
      </c>
      <c r="F734">
        <v>123.3</v>
      </c>
      <c r="G734">
        <v>122.06</v>
      </c>
    </row>
    <row r="735" spans="1:7" hidden="1" x14ac:dyDescent="0.25">
      <c r="A735" t="s">
        <v>660</v>
      </c>
      <c r="B735">
        <v>44388</v>
      </c>
      <c r="C735" t="s">
        <v>1394</v>
      </c>
      <c r="D735" t="s">
        <v>704</v>
      </c>
      <c r="E735" t="s">
        <v>659</v>
      </c>
      <c r="F735">
        <v>2.67</v>
      </c>
      <c r="G735">
        <v>2.64</v>
      </c>
    </row>
    <row r="736" spans="1:7" hidden="1" x14ac:dyDescent="0.25">
      <c r="A736" t="s">
        <v>660</v>
      </c>
      <c r="B736">
        <v>44392</v>
      </c>
      <c r="C736" t="s">
        <v>1395</v>
      </c>
      <c r="D736" t="s">
        <v>704</v>
      </c>
      <c r="E736" t="s">
        <v>659</v>
      </c>
      <c r="F736">
        <v>245.51</v>
      </c>
      <c r="G736">
        <v>243.03</v>
      </c>
    </row>
    <row r="737" spans="1:7" hidden="1" x14ac:dyDescent="0.25">
      <c r="A737" t="s">
        <v>660</v>
      </c>
      <c r="B737">
        <v>44390</v>
      </c>
      <c r="C737" t="s">
        <v>1396</v>
      </c>
      <c r="D737" t="s">
        <v>704</v>
      </c>
      <c r="E737" t="s">
        <v>659</v>
      </c>
      <c r="F737">
        <v>52.02</v>
      </c>
      <c r="G737">
        <v>51.49</v>
      </c>
    </row>
    <row r="738" spans="1:7" hidden="1" x14ac:dyDescent="0.25">
      <c r="A738" t="s">
        <v>660</v>
      </c>
      <c r="B738">
        <v>44389</v>
      </c>
      <c r="C738" t="s">
        <v>1397</v>
      </c>
      <c r="D738" t="s">
        <v>704</v>
      </c>
      <c r="E738" t="s">
        <v>659</v>
      </c>
      <c r="F738">
        <v>6.14</v>
      </c>
      <c r="G738">
        <v>6.08</v>
      </c>
    </row>
    <row r="739" spans="1:7" hidden="1" x14ac:dyDescent="0.25">
      <c r="A739" t="s">
        <v>660</v>
      </c>
      <c r="B739">
        <v>862</v>
      </c>
      <c r="C739" t="s">
        <v>1398</v>
      </c>
      <c r="D739" t="s">
        <v>704</v>
      </c>
      <c r="E739" t="s">
        <v>659</v>
      </c>
      <c r="F739">
        <v>11.25</v>
      </c>
      <c r="G739">
        <v>11.14</v>
      </c>
    </row>
    <row r="740" spans="1:7" hidden="1" x14ac:dyDescent="0.25">
      <c r="A740" t="s">
        <v>660</v>
      </c>
      <c r="B740">
        <v>866</v>
      </c>
      <c r="C740" t="s">
        <v>1399</v>
      </c>
      <c r="D740" t="s">
        <v>704</v>
      </c>
      <c r="E740" t="s">
        <v>659</v>
      </c>
      <c r="F740">
        <v>142.96</v>
      </c>
      <c r="G740">
        <v>141.52000000000001</v>
      </c>
    </row>
    <row r="741" spans="1:7" hidden="1" x14ac:dyDescent="0.25">
      <c r="A741" t="s">
        <v>660</v>
      </c>
      <c r="B741">
        <v>892</v>
      </c>
      <c r="C741" t="s">
        <v>1400</v>
      </c>
      <c r="D741" t="s">
        <v>704</v>
      </c>
      <c r="E741" t="s">
        <v>659</v>
      </c>
      <c r="F741">
        <v>173.05</v>
      </c>
      <c r="G741">
        <v>171.3</v>
      </c>
    </row>
    <row r="742" spans="1:7" hidden="1" x14ac:dyDescent="0.25">
      <c r="A742" t="s">
        <v>660</v>
      </c>
      <c r="B742">
        <v>857</v>
      </c>
      <c r="C742" t="s">
        <v>1401</v>
      </c>
      <c r="D742" t="s">
        <v>704</v>
      </c>
      <c r="E742" t="s">
        <v>659</v>
      </c>
      <c r="F742">
        <v>18.82</v>
      </c>
      <c r="G742">
        <v>18.63</v>
      </c>
    </row>
    <row r="743" spans="1:7" hidden="1" x14ac:dyDescent="0.25">
      <c r="A743" t="s">
        <v>660</v>
      </c>
      <c r="B743">
        <v>37404</v>
      </c>
      <c r="C743" t="s">
        <v>1402</v>
      </c>
      <c r="D743" t="s">
        <v>704</v>
      </c>
      <c r="E743" t="s">
        <v>659</v>
      </c>
      <c r="F743">
        <v>200.22</v>
      </c>
      <c r="G743">
        <v>198.2</v>
      </c>
    </row>
    <row r="744" spans="1:7" hidden="1" x14ac:dyDescent="0.25">
      <c r="A744" t="s">
        <v>660</v>
      </c>
      <c r="B744">
        <v>868</v>
      </c>
      <c r="C744" t="s">
        <v>1403</v>
      </c>
      <c r="D744" t="s">
        <v>704</v>
      </c>
      <c r="E744" t="s">
        <v>659</v>
      </c>
      <c r="F744">
        <v>26.82</v>
      </c>
      <c r="G744">
        <v>26.55</v>
      </c>
    </row>
    <row r="745" spans="1:7" hidden="1" x14ac:dyDescent="0.25">
      <c r="A745" t="s">
        <v>660</v>
      </c>
      <c r="B745">
        <v>863</v>
      </c>
      <c r="C745" t="s">
        <v>1404</v>
      </c>
      <c r="D745" t="s">
        <v>704</v>
      </c>
      <c r="E745" t="s">
        <v>659</v>
      </c>
      <c r="F745">
        <v>39.5</v>
      </c>
      <c r="G745">
        <v>39.1</v>
      </c>
    </row>
    <row r="746" spans="1:7" hidden="1" x14ac:dyDescent="0.25">
      <c r="A746" t="s">
        <v>660</v>
      </c>
      <c r="B746">
        <v>867</v>
      </c>
      <c r="C746" t="s">
        <v>1405</v>
      </c>
      <c r="D746" t="s">
        <v>704</v>
      </c>
      <c r="E746" t="s">
        <v>659</v>
      </c>
      <c r="F746">
        <v>56.27</v>
      </c>
      <c r="G746">
        <v>55.71</v>
      </c>
    </row>
    <row r="747" spans="1:7" hidden="1" x14ac:dyDescent="0.25">
      <c r="A747" t="s">
        <v>660</v>
      </c>
      <c r="B747">
        <v>864</v>
      </c>
      <c r="C747" t="s">
        <v>1406</v>
      </c>
      <c r="D747" t="s">
        <v>704</v>
      </c>
      <c r="E747" t="s">
        <v>659</v>
      </c>
      <c r="F747">
        <v>74.33</v>
      </c>
      <c r="G747">
        <v>73.58</v>
      </c>
    </row>
    <row r="748" spans="1:7" hidden="1" x14ac:dyDescent="0.25">
      <c r="A748" t="s">
        <v>660</v>
      </c>
      <c r="B748">
        <v>865</v>
      </c>
      <c r="C748" t="s">
        <v>1407</v>
      </c>
      <c r="D748" t="s">
        <v>704</v>
      </c>
      <c r="E748" t="s">
        <v>659</v>
      </c>
      <c r="F748">
        <v>106.92</v>
      </c>
      <c r="G748">
        <v>105.84</v>
      </c>
    </row>
    <row r="749" spans="1:7" hidden="1" x14ac:dyDescent="0.25">
      <c r="A749" t="s">
        <v>660</v>
      </c>
      <c r="B749">
        <v>39251</v>
      </c>
      <c r="C749" t="s">
        <v>1408</v>
      </c>
      <c r="D749" t="s">
        <v>704</v>
      </c>
      <c r="E749" t="s">
        <v>659</v>
      </c>
      <c r="F749">
        <v>0.7</v>
      </c>
      <c r="G749">
        <v>0.69</v>
      </c>
    </row>
    <row r="750" spans="1:7" hidden="1" x14ac:dyDescent="0.25">
      <c r="A750" t="s">
        <v>660</v>
      </c>
      <c r="B750">
        <v>1011</v>
      </c>
      <c r="C750" t="s">
        <v>1409</v>
      </c>
      <c r="D750" t="s">
        <v>704</v>
      </c>
      <c r="E750" t="s">
        <v>659</v>
      </c>
      <c r="F750">
        <v>0.96</v>
      </c>
      <c r="G750">
        <v>0.95</v>
      </c>
    </row>
    <row r="751" spans="1:7" hidden="1" x14ac:dyDescent="0.25">
      <c r="A751" t="s">
        <v>660</v>
      </c>
      <c r="B751">
        <v>39252</v>
      </c>
      <c r="C751" t="s">
        <v>1410</v>
      </c>
      <c r="D751" t="s">
        <v>704</v>
      </c>
      <c r="E751" t="s">
        <v>659</v>
      </c>
      <c r="F751">
        <v>1.25</v>
      </c>
      <c r="G751">
        <v>1.24</v>
      </c>
    </row>
    <row r="752" spans="1:7" hidden="1" x14ac:dyDescent="0.25">
      <c r="A752" t="s">
        <v>660</v>
      </c>
      <c r="B752">
        <v>1013</v>
      </c>
      <c r="C752" t="s">
        <v>1411</v>
      </c>
      <c r="D752" t="s">
        <v>704</v>
      </c>
      <c r="E752" t="s">
        <v>659</v>
      </c>
      <c r="F752">
        <v>1.51</v>
      </c>
      <c r="G752">
        <v>1.49</v>
      </c>
    </row>
    <row r="753" spans="1:7" hidden="1" x14ac:dyDescent="0.25">
      <c r="A753" t="s">
        <v>660</v>
      </c>
      <c r="B753">
        <v>980</v>
      </c>
      <c r="C753" t="s">
        <v>1412</v>
      </c>
      <c r="D753" t="s">
        <v>704</v>
      </c>
      <c r="E753" t="s">
        <v>659</v>
      </c>
      <c r="F753">
        <v>10.88</v>
      </c>
      <c r="G753">
        <v>10.77</v>
      </c>
    </row>
    <row r="754" spans="1:7" hidden="1" x14ac:dyDescent="0.25">
      <c r="A754" t="s">
        <v>660</v>
      </c>
      <c r="B754">
        <v>39237</v>
      </c>
      <c r="C754" t="s">
        <v>1413</v>
      </c>
      <c r="D754" t="s">
        <v>704</v>
      </c>
      <c r="E754" t="s">
        <v>659</v>
      </c>
      <c r="F754">
        <v>115.74</v>
      </c>
      <c r="G754">
        <v>114.57</v>
      </c>
    </row>
    <row r="755" spans="1:7" hidden="1" x14ac:dyDescent="0.25">
      <c r="A755" t="s">
        <v>660</v>
      </c>
      <c r="B755">
        <v>39238</v>
      </c>
      <c r="C755" t="s">
        <v>1414</v>
      </c>
      <c r="D755" t="s">
        <v>704</v>
      </c>
      <c r="E755" t="s">
        <v>659</v>
      </c>
      <c r="F755">
        <v>145.97</v>
      </c>
      <c r="G755">
        <v>144.49</v>
      </c>
    </row>
    <row r="756" spans="1:7" hidden="1" x14ac:dyDescent="0.25">
      <c r="A756" t="s">
        <v>660</v>
      </c>
      <c r="B756">
        <v>979</v>
      </c>
      <c r="C756" t="s">
        <v>1415</v>
      </c>
      <c r="D756" t="s">
        <v>704</v>
      </c>
      <c r="E756" t="s">
        <v>659</v>
      </c>
      <c r="F756">
        <v>15.54</v>
      </c>
      <c r="G756">
        <v>15.39</v>
      </c>
    </row>
    <row r="757" spans="1:7" hidden="1" x14ac:dyDescent="0.25">
      <c r="A757" t="s">
        <v>660</v>
      </c>
      <c r="B757">
        <v>39239</v>
      </c>
      <c r="C757" t="s">
        <v>1416</v>
      </c>
      <c r="D757" t="s">
        <v>704</v>
      </c>
      <c r="E757" t="s">
        <v>659</v>
      </c>
      <c r="F757">
        <v>176.34</v>
      </c>
      <c r="G757">
        <v>174.56</v>
      </c>
    </row>
    <row r="758" spans="1:7" hidden="1" x14ac:dyDescent="0.25">
      <c r="A758" t="s">
        <v>660</v>
      </c>
      <c r="B758">
        <v>1014</v>
      </c>
      <c r="C758" t="s">
        <v>1417</v>
      </c>
      <c r="D758" t="s">
        <v>704</v>
      </c>
      <c r="E758" t="s">
        <v>659</v>
      </c>
      <c r="F758">
        <v>2.39</v>
      </c>
      <c r="G758">
        <v>2.36</v>
      </c>
    </row>
    <row r="759" spans="1:7" hidden="1" x14ac:dyDescent="0.25">
      <c r="A759" t="s">
        <v>660</v>
      </c>
      <c r="B759">
        <v>39240</v>
      </c>
      <c r="C759" t="s">
        <v>1418</v>
      </c>
      <c r="D759" t="s">
        <v>704</v>
      </c>
      <c r="E759" t="s">
        <v>659</v>
      </c>
      <c r="F759">
        <v>231.94</v>
      </c>
      <c r="G759">
        <v>229.6</v>
      </c>
    </row>
    <row r="760" spans="1:7" hidden="1" x14ac:dyDescent="0.25">
      <c r="A760" t="s">
        <v>660</v>
      </c>
      <c r="B760">
        <v>39232</v>
      </c>
      <c r="C760" t="s">
        <v>1419</v>
      </c>
      <c r="D760" t="s">
        <v>704</v>
      </c>
      <c r="E760" t="s">
        <v>659</v>
      </c>
      <c r="F760">
        <v>24.34</v>
      </c>
      <c r="G760">
        <v>24.09</v>
      </c>
    </row>
    <row r="761" spans="1:7" hidden="1" x14ac:dyDescent="0.25">
      <c r="A761" t="s">
        <v>660</v>
      </c>
      <c r="B761">
        <v>39233</v>
      </c>
      <c r="C761" t="s">
        <v>1420</v>
      </c>
      <c r="D761" t="s">
        <v>704</v>
      </c>
      <c r="E761" t="s">
        <v>659</v>
      </c>
      <c r="F761">
        <v>35.479999999999997</v>
      </c>
      <c r="G761">
        <v>35.119999999999997</v>
      </c>
    </row>
    <row r="762" spans="1:7" hidden="1" x14ac:dyDescent="0.25">
      <c r="A762" t="s">
        <v>660</v>
      </c>
      <c r="B762">
        <v>981</v>
      </c>
      <c r="C762" t="s">
        <v>1421</v>
      </c>
      <c r="D762" t="s">
        <v>704</v>
      </c>
      <c r="E762" t="s">
        <v>172</v>
      </c>
      <c r="F762">
        <v>3.96</v>
      </c>
      <c r="G762">
        <v>3.92</v>
      </c>
    </row>
    <row r="763" spans="1:7" hidden="1" x14ac:dyDescent="0.25">
      <c r="A763" t="s">
        <v>660</v>
      </c>
      <c r="B763">
        <v>39234</v>
      </c>
      <c r="C763" t="s">
        <v>1422</v>
      </c>
      <c r="D763" t="s">
        <v>704</v>
      </c>
      <c r="E763" t="s">
        <v>659</v>
      </c>
      <c r="F763">
        <v>49.38</v>
      </c>
      <c r="G763">
        <v>48.89</v>
      </c>
    </row>
    <row r="764" spans="1:7" hidden="1" x14ac:dyDescent="0.25">
      <c r="A764" t="s">
        <v>660</v>
      </c>
      <c r="B764">
        <v>982</v>
      </c>
      <c r="C764" t="s">
        <v>1423</v>
      </c>
      <c r="D764" t="s">
        <v>704</v>
      </c>
      <c r="E764" t="s">
        <v>659</v>
      </c>
      <c r="F764">
        <v>5.69</v>
      </c>
      <c r="G764">
        <v>5.63</v>
      </c>
    </row>
    <row r="765" spans="1:7" hidden="1" x14ac:dyDescent="0.25">
      <c r="A765" t="s">
        <v>660</v>
      </c>
      <c r="B765">
        <v>39235</v>
      </c>
      <c r="C765" t="s">
        <v>1424</v>
      </c>
      <c r="D765" t="s">
        <v>704</v>
      </c>
      <c r="E765" t="s">
        <v>659</v>
      </c>
      <c r="F765">
        <v>72.84</v>
      </c>
      <c r="G765">
        <v>72.099999999999994</v>
      </c>
    </row>
    <row r="766" spans="1:7" hidden="1" x14ac:dyDescent="0.25">
      <c r="A766" t="s">
        <v>660</v>
      </c>
      <c r="B766">
        <v>39236</v>
      </c>
      <c r="C766" t="s">
        <v>1425</v>
      </c>
      <c r="D766" t="s">
        <v>704</v>
      </c>
      <c r="E766" t="s">
        <v>659</v>
      </c>
      <c r="F766">
        <v>96.53</v>
      </c>
      <c r="G766">
        <v>95.56</v>
      </c>
    </row>
    <row r="767" spans="1:7" hidden="1" x14ac:dyDescent="0.25">
      <c r="A767" t="s">
        <v>660</v>
      </c>
      <c r="B767">
        <v>993</v>
      </c>
      <c r="C767" t="s">
        <v>1426</v>
      </c>
      <c r="D767" t="s">
        <v>704</v>
      </c>
      <c r="E767" t="s">
        <v>659</v>
      </c>
      <c r="F767">
        <v>2.0299999999999998</v>
      </c>
      <c r="G767">
        <v>2.0099999999999998</v>
      </c>
    </row>
    <row r="768" spans="1:7" hidden="1" x14ac:dyDescent="0.25">
      <c r="A768" t="s">
        <v>660</v>
      </c>
      <c r="B768">
        <v>1020</v>
      </c>
      <c r="C768" t="s">
        <v>1427</v>
      </c>
      <c r="D768" t="s">
        <v>704</v>
      </c>
      <c r="E768" t="s">
        <v>659</v>
      </c>
      <c r="F768">
        <v>10.37</v>
      </c>
      <c r="G768">
        <v>10.27</v>
      </c>
    </row>
    <row r="769" spans="1:7" hidden="1" x14ac:dyDescent="0.25">
      <c r="A769" t="s">
        <v>660</v>
      </c>
      <c r="B769">
        <v>1017</v>
      </c>
      <c r="C769" t="s">
        <v>1428</v>
      </c>
      <c r="D769" t="s">
        <v>704</v>
      </c>
      <c r="E769" t="s">
        <v>659</v>
      </c>
      <c r="F769">
        <v>127.13</v>
      </c>
      <c r="G769">
        <v>125.84</v>
      </c>
    </row>
    <row r="770" spans="1:7" hidden="1" x14ac:dyDescent="0.25">
      <c r="A770" t="s">
        <v>660</v>
      </c>
      <c r="B770">
        <v>999</v>
      </c>
      <c r="C770" t="s">
        <v>1429</v>
      </c>
      <c r="D770" t="s">
        <v>704</v>
      </c>
      <c r="E770" t="s">
        <v>659</v>
      </c>
      <c r="F770">
        <v>154.02000000000001</v>
      </c>
      <c r="G770">
        <v>152.46</v>
      </c>
    </row>
    <row r="771" spans="1:7" hidden="1" x14ac:dyDescent="0.25">
      <c r="A771" t="s">
        <v>660</v>
      </c>
      <c r="B771">
        <v>995</v>
      </c>
      <c r="C771" t="s">
        <v>1430</v>
      </c>
      <c r="D771" t="s">
        <v>704</v>
      </c>
      <c r="E771" t="s">
        <v>659</v>
      </c>
      <c r="F771">
        <v>16.52</v>
      </c>
      <c r="G771">
        <v>16.350000000000001</v>
      </c>
    </row>
    <row r="772" spans="1:7" hidden="1" x14ac:dyDescent="0.25">
      <c r="A772" t="s">
        <v>660</v>
      </c>
      <c r="B772">
        <v>1000</v>
      </c>
      <c r="C772" t="s">
        <v>1431</v>
      </c>
      <c r="D772" t="s">
        <v>704</v>
      </c>
      <c r="E772" t="s">
        <v>659</v>
      </c>
      <c r="F772">
        <v>189.18</v>
      </c>
      <c r="G772">
        <v>187.27</v>
      </c>
    </row>
    <row r="773" spans="1:7" hidden="1" x14ac:dyDescent="0.25">
      <c r="A773" t="s">
        <v>660</v>
      </c>
      <c r="B773">
        <v>1022</v>
      </c>
      <c r="C773" t="s">
        <v>1432</v>
      </c>
      <c r="D773" t="s">
        <v>704</v>
      </c>
      <c r="E773" t="s">
        <v>659</v>
      </c>
      <c r="F773">
        <v>2.83</v>
      </c>
      <c r="G773">
        <v>2.81</v>
      </c>
    </row>
    <row r="774" spans="1:7" hidden="1" x14ac:dyDescent="0.25">
      <c r="A774" t="s">
        <v>660</v>
      </c>
      <c r="B774">
        <v>1015</v>
      </c>
      <c r="C774" t="s">
        <v>1433</v>
      </c>
      <c r="D774" t="s">
        <v>704</v>
      </c>
      <c r="E774" t="s">
        <v>659</v>
      </c>
      <c r="F774">
        <v>251.4</v>
      </c>
      <c r="G774">
        <v>248.86</v>
      </c>
    </row>
    <row r="775" spans="1:7" hidden="1" x14ac:dyDescent="0.25">
      <c r="A775" t="s">
        <v>660</v>
      </c>
      <c r="B775">
        <v>996</v>
      </c>
      <c r="C775" t="s">
        <v>1434</v>
      </c>
      <c r="D775" t="s">
        <v>704</v>
      </c>
      <c r="E775" t="s">
        <v>659</v>
      </c>
      <c r="F775">
        <v>25.61</v>
      </c>
      <c r="G775">
        <v>25.35</v>
      </c>
    </row>
    <row r="776" spans="1:7" hidden="1" x14ac:dyDescent="0.25">
      <c r="A776" t="s">
        <v>660</v>
      </c>
      <c r="B776">
        <v>1001</v>
      </c>
      <c r="C776" t="s">
        <v>1435</v>
      </c>
      <c r="D776" t="s">
        <v>704</v>
      </c>
      <c r="E776" t="s">
        <v>659</v>
      </c>
      <c r="F776">
        <v>326.18</v>
      </c>
      <c r="G776">
        <v>322.89</v>
      </c>
    </row>
    <row r="777" spans="1:7" hidden="1" x14ac:dyDescent="0.25">
      <c r="A777" t="s">
        <v>660</v>
      </c>
      <c r="B777">
        <v>1019</v>
      </c>
      <c r="C777" t="s">
        <v>1436</v>
      </c>
      <c r="D777" t="s">
        <v>704</v>
      </c>
      <c r="E777" t="s">
        <v>659</v>
      </c>
      <c r="F777">
        <v>36.19</v>
      </c>
      <c r="G777">
        <v>35.83</v>
      </c>
    </row>
    <row r="778" spans="1:7" hidden="1" x14ac:dyDescent="0.25">
      <c r="A778" t="s">
        <v>660</v>
      </c>
      <c r="B778">
        <v>1021</v>
      </c>
      <c r="C778" t="s">
        <v>1437</v>
      </c>
      <c r="D778" t="s">
        <v>704</v>
      </c>
      <c r="E778" t="s">
        <v>659</v>
      </c>
      <c r="F778">
        <v>4.3499999999999996</v>
      </c>
      <c r="G778">
        <v>4.3099999999999996</v>
      </c>
    </row>
    <row r="779" spans="1:7" hidden="1" x14ac:dyDescent="0.25">
      <c r="A779" t="s">
        <v>660</v>
      </c>
      <c r="B779">
        <v>39249</v>
      </c>
      <c r="C779" t="s">
        <v>1438</v>
      </c>
      <c r="D779" t="s">
        <v>704</v>
      </c>
      <c r="E779" t="s">
        <v>659</v>
      </c>
      <c r="F779">
        <v>438.57</v>
      </c>
      <c r="G779">
        <v>434.14</v>
      </c>
    </row>
    <row r="780" spans="1:7" hidden="1" x14ac:dyDescent="0.25">
      <c r="A780" t="s">
        <v>660</v>
      </c>
      <c r="B780">
        <v>1018</v>
      </c>
      <c r="C780" t="s">
        <v>1439</v>
      </c>
      <c r="D780" t="s">
        <v>704</v>
      </c>
      <c r="E780" t="s">
        <v>659</v>
      </c>
      <c r="F780">
        <v>53.52</v>
      </c>
      <c r="G780">
        <v>52.98</v>
      </c>
    </row>
    <row r="781" spans="1:7" hidden="1" x14ac:dyDescent="0.25">
      <c r="A781" t="s">
        <v>660</v>
      </c>
      <c r="B781">
        <v>39250</v>
      </c>
      <c r="C781" t="s">
        <v>1440</v>
      </c>
      <c r="D781" t="s">
        <v>704</v>
      </c>
      <c r="E781" t="s">
        <v>659</v>
      </c>
      <c r="F781">
        <v>524.63</v>
      </c>
      <c r="G781">
        <v>519.33000000000004</v>
      </c>
    </row>
    <row r="782" spans="1:7" hidden="1" x14ac:dyDescent="0.25">
      <c r="A782" t="s">
        <v>660</v>
      </c>
      <c r="B782">
        <v>994</v>
      </c>
      <c r="C782" t="s">
        <v>1441</v>
      </c>
      <c r="D782" t="s">
        <v>704</v>
      </c>
      <c r="E782" t="s">
        <v>659</v>
      </c>
      <c r="F782">
        <v>6.33</v>
      </c>
      <c r="G782">
        <v>6.26</v>
      </c>
    </row>
    <row r="783" spans="1:7" hidden="1" x14ac:dyDescent="0.25">
      <c r="A783" t="s">
        <v>660</v>
      </c>
      <c r="B783">
        <v>977</v>
      </c>
      <c r="C783" t="s">
        <v>1442</v>
      </c>
      <c r="D783" t="s">
        <v>704</v>
      </c>
      <c r="E783" t="s">
        <v>659</v>
      </c>
      <c r="F783">
        <v>74.87</v>
      </c>
      <c r="G783">
        <v>74.12</v>
      </c>
    </row>
    <row r="784" spans="1:7" hidden="1" x14ac:dyDescent="0.25">
      <c r="A784" t="s">
        <v>660</v>
      </c>
      <c r="B784">
        <v>998</v>
      </c>
      <c r="C784" t="s">
        <v>1443</v>
      </c>
      <c r="D784" t="s">
        <v>704</v>
      </c>
      <c r="E784" t="s">
        <v>659</v>
      </c>
      <c r="F784">
        <v>97.21</v>
      </c>
      <c r="G784">
        <v>96.23</v>
      </c>
    </row>
    <row r="785" spans="1:7" hidden="1" x14ac:dyDescent="0.25">
      <c r="A785" t="s">
        <v>660</v>
      </c>
      <c r="B785">
        <v>1006</v>
      </c>
      <c r="C785" t="s">
        <v>1444</v>
      </c>
      <c r="D785" t="s">
        <v>704</v>
      </c>
      <c r="E785" t="s">
        <v>659</v>
      </c>
      <c r="F785">
        <v>128.82</v>
      </c>
      <c r="G785">
        <v>127.51</v>
      </c>
    </row>
    <row r="786" spans="1:7" hidden="1" x14ac:dyDescent="0.25">
      <c r="A786" t="s">
        <v>660</v>
      </c>
      <c r="B786">
        <v>990</v>
      </c>
      <c r="C786" t="s">
        <v>1445</v>
      </c>
      <c r="D786" t="s">
        <v>704</v>
      </c>
      <c r="E786" t="s">
        <v>659</v>
      </c>
      <c r="F786">
        <v>171.28</v>
      </c>
      <c r="G786">
        <v>169.55</v>
      </c>
    </row>
    <row r="787" spans="1:7" hidden="1" x14ac:dyDescent="0.25">
      <c r="A787" t="s">
        <v>660</v>
      </c>
      <c r="B787">
        <v>39241</v>
      </c>
      <c r="C787" t="s">
        <v>1446</v>
      </c>
      <c r="D787" t="s">
        <v>704</v>
      </c>
      <c r="E787" t="s">
        <v>659</v>
      </c>
      <c r="F787">
        <v>16.86</v>
      </c>
      <c r="G787">
        <v>16.690000000000001</v>
      </c>
    </row>
    <row r="788" spans="1:7" hidden="1" x14ac:dyDescent="0.25">
      <c r="A788" t="s">
        <v>660</v>
      </c>
      <c r="B788">
        <v>1005</v>
      </c>
      <c r="C788" t="s">
        <v>1447</v>
      </c>
      <c r="D788" t="s">
        <v>704</v>
      </c>
      <c r="E788" t="s">
        <v>659</v>
      </c>
      <c r="F788">
        <v>213.26</v>
      </c>
      <c r="G788">
        <v>211.1</v>
      </c>
    </row>
    <row r="789" spans="1:7" hidden="1" x14ac:dyDescent="0.25">
      <c r="A789" t="s">
        <v>660</v>
      </c>
      <c r="B789">
        <v>991</v>
      </c>
      <c r="C789" t="s">
        <v>1448</v>
      </c>
      <c r="D789" t="s">
        <v>704</v>
      </c>
      <c r="E789" t="s">
        <v>659</v>
      </c>
      <c r="F789">
        <v>279.32</v>
      </c>
      <c r="G789">
        <v>276.5</v>
      </c>
    </row>
    <row r="790" spans="1:7" hidden="1" x14ac:dyDescent="0.25">
      <c r="A790" t="s">
        <v>660</v>
      </c>
      <c r="B790">
        <v>986</v>
      </c>
      <c r="C790" t="s">
        <v>1449</v>
      </c>
      <c r="D790" t="s">
        <v>704</v>
      </c>
      <c r="E790" t="s">
        <v>659</v>
      </c>
      <c r="F790">
        <v>26.64</v>
      </c>
      <c r="G790">
        <v>26.37</v>
      </c>
    </row>
    <row r="791" spans="1:7" hidden="1" x14ac:dyDescent="0.25">
      <c r="A791" t="s">
        <v>660</v>
      </c>
      <c r="B791">
        <v>987</v>
      </c>
      <c r="C791" t="s">
        <v>1450</v>
      </c>
      <c r="D791" t="s">
        <v>704</v>
      </c>
      <c r="E791" t="s">
        <v>659</v>
      </c>
      <c r="F791">
        <v>36.47</v>
      </c>
      <c r="G791">
        <v>36.1</v>
      </c>
    </row>
    <row r="792" spans="1:7" hidden="1" x14ac:dyDescent="0.25">
      <c r="A792" t="s">
        <v>660</v>
      </c>
      <c r="B792">
        <v>1007</v>
      </c>
      <c r="C792" t="s">
        <v>1451</v>
      </c>
      <c r="D792" t="s">
        <v>704</v>
      </c>
      <c r="E792" t="s">
        <v>659</v>
      </c>
      <c r="F792">
        <v>50.48</v>
      </c>
      <c r="G792">
        <v>49.97</v>
      </c>
    </row>
    <row r="793" spans="1:7" hidden="1" x14ac:dyDescent="0.25">
      <c r="A793" t="s">
        <v>660</v>
      </c>
      <c r="B793">
        <v>1008</v>
      </c>
      <c r="C793" t="s">
        <v>1452</v>
      </c>
      <c r="D793" t="s">
        <v>704</v>
      </c>
      <c r="E793" t="s">
        <v>659</v>
      </c>
      <c r="F793">
        <v>6.41</v>
      </c>
      <c r="G793">
        <v>6.34</v>
      </c>
    </row>
    <row r="794" spans="1:7" hidden="1" x14ac:dyDescent="0.25">
      <c r="A794" t="s">
        <v>660</v>
      </c>
      <c r="B794">
        <v>988</v>
      </c>
      <c r="C794" t="s">
        <v>1453</v>
      </c>
      <c r="D794" t="s">
        <v>704</v>
      </c>
      <c r="E794" t="s">
        <v>659</v>
      </c>
      <c r="F794">
        <v>69.61</v>
      </c>
      <c r="G794">
        <v>68.91</v>
      </c>
    </row>
    <row r="795" spans="1:7" hidden="1" x14ac:dyDescent="0.25">
      <c r="A795" t="s">
        <v>660</v>
      </c>
      <c r="B795">
        <v>989</v>
      </c>
      <c r="C795" t="s">
        <v>1454</v>
      </c>
      <c r="D795" t="s">
        <v>704</v>
      </c>
      <c r="E795" t="s">
        <v>659</v>
      </c>
      <c r="F795">
        <v>96.09</v>
      </c>
      <c r="G795">
        <v>95.11</v>
      </c>
    </row>
    <row r="796" spans="1:7" hidden="1" x14ac:dyDescent="0.25">
      <c r="A796" t="s">
        <v>660</v>
      </c>
      <c r="B796">
        <v>43972</v>
      </c>
      <c r="C796" t="s">
        <v>1455</v>
      </c>
      <c r="D796" t="s">
        <v>704</v>
      </c>
      <c r="E796" t="s">
        <v>659</v>
      </c>
      <c r="F796">
        <v>3.62</v>
      </c>
      <c r="G796">
        <v>4.29</v>
      </c>
    </row>
    <row r="797" spans="1:7" hidden="1" x14ac:dyDescent="0.25">
      <c r="A797" t="s">
        <v>660</v>
      </c>
      <c r="B797">
        <v>43971</v>
      </c>
      <c r="C797" t="s">
        <v>1456</v>
      </c>
      <c r="D797" t="s">
        <v>704</v>
      </c>
      <c r="E797" t="s">
        <v>172</v>
      </c>
      <c r="F797">
        <v>2.77</v>
      </c>
      <c r="G797">
        <v>3.28</v>
      </c>
    </row>
    <row r="798" spans="1:7" hidden="1" x14ac:dyDescent="0.25">
      <c r="A798" t="s">
        <v>660</v>
      </c>
      <c r="B798">
        <v>39598</v>
      </c>
      <c r="C798" t="s">
        <v>1457</v>
      </c>
      <c r="D798" t="s">
        <v>704</v>
      </c>
      <c r="E798" t="s">
        <v>659</v>
      </c>
      <c r="F798">
        <v>5.13</v>
      </c>
      <c r="G798">
        <v>6.08</v>
      </c>
    </row>
    <row r="799" spans="1:7" hidden="1" x14ac:dyDescent="0.25">
      <c r="A799" t="s">
        <v>660</v>
      </c>
      <c r="B799">
        <v>43973</v>
      </c>
      <c r="C799" t="s">
        <v>1458</v>
      </c>
      <c r="D799" t="s">
        <v>704</v>
      </c>
      <c r="E799" t="s">
        <v>659</v>
      </c>
      <c r="F799">
        <v>3.79</v>
      </c>
      <c r="G799">
        <v>4.49</v>
      </c>
    </row>
    <row r="800" spans="1:7" hidden="1" x14ac:dyDescent="0.25">
      <c r="A800" t="s">
        <v>660</v>
      </c>
      <c r="B800">
        <v>39599</v>
      </c>
      <c r="C800" t="s">
        <v>1459</v>
      </c>
      <c r="D800" t="s">
        <v>704</v>
      </c>
      <c r="E800" t="s">
        <v>659</v>
      </c>
      <c r="F800">
        <v>7.39</v>
      </c>
      <c r="G800">
        <v>8.75</v>
      </c>
    </row>
    <row r="801" spans="1:7" hidden="1" x14ac:dyDescent="0.25">
      <c r="A801" t="s">
        <v>660</v>
      </c>
      <c r="B801">
        <v>43832</v>
      </c>
      <c r="C801" t="s">
        <v>1460</v>
      </c>
      <c r="D801" t="s">
        <v>704</v>
      </c>
      <c r="E801" t="s">
        <v>659</v>
      </c>
      <c r="F801">
        <v>19.46</v>
      </c>
      <c r="G801">
        <v>23.05</v>
      </c>
    </row>
    <row r="802" spans="1:7" hidden="1" x14ac:dyDescent="0.25">
      <c r="A802" t="s">
        <v>660</v>
      </c>
      <c r="B802">
        <v>34602</v>
      </c>
      <c r="C802" t="s">
        <v>1461</v>
      </c>
      <c r="D802" t="s">
        <v>704</v>
      </c>
      <c r="E802" t="s">
        <v>659</v>
      </c>
      <c r="F802">
        <v>4.41</v>
      </c>
      <c r="G802">
        <v>4.3600000000000003</v>
      </c>
    </row>
    <row r="803" spans="1:7" hidden="1" x14ac:dyDescent="0.25">
      <c r="A803" t="s">
        <v>660</v>
      </c>
      <c r="B803">
        <v>34607</v>
      </c>
      <c r="C803" t="s">
        <v>1462</v>
      </c>
      <c r="D803" t="s">
        <v>704</v>
      </c>
      <c r="E803" t="s">
        <v>659</v>
      </c>
      <c r="F803">
        <v>10.8</v>
      </c>
      <c r="G803">
        <v>10.69</v>
      </c>
    </row>
    <row r="804" spans="1:7" hidden="1" x14ac:dyDescent="0.25">
      <c r="A804" t="s">
        <v>660</v>
      </c>
      <c r="B804">
        <v>34609</v>
      </c>
      <c r="C804" t="s">
        <v>1463</v>
      </c>
      <c r="D804" t="s">
        <v>704</v>
      </c>
      <c r="E804" t="s">
        <v>659</v>
      </c>
      <c r="F804">
        <v>15.71</v>
      </c>
      <c r="G804">
        <v>15.55</v>
      </c>
    </row>
    <row r="805" spans="1:7" hidden="1" x14ac:dyDescent="0.25">
      <c r="A805" t="s">
        <v>660</v>
      </c>
      <c r="B805">
        <v>34618</v>
      </c>
      <c r="C805" t="s">
        <v>1464</v>
      </c>
      <c r="D805" t="s">
        <v>704</v>
      </c>
      <c r="E805" t="s">
        <v>659</v>
      </c>
      <c r="F805">
        <v>6.01</v>
      </c>
      <c r="G805">
        <v>5.95</v>
      </c>
    </row>
    <row r="806" spans="1:7" hidden="1" x14ac:dyDescent="0.25">
      <c r="A806" t="s">
        <v>660</v>
      </c>
      <c r="B806">
        <v>34621</v>
      </c>
      <c r="C806" t="s">
        <v>1465</v>
      </c>
      <c r="D806" t="s">
        <v>704</v>
      </c>
      <c r="E806" t="s">
        <v>659</v>
      </c>
      <c r="F806">
        <v>14.89</v>
      </c>
      <c r="G806">
        <v>14.74</v>
      </c>
    </row>
    <row r="807" spans="1:7" hidden="1" x14ac:dyDescent="0.25">
      <c r="A807" t="s">
        <v>660</v>
      </c>
      <c r="B807">
        <v>34622</v>
      </c>
      <c r="C807" t="s">
        <v>1466</v>
      </c>
      <c r="D807" t="s">
        <v>704</v>
      </c>
      <c r="E807" t="s">
        <v>659</v>
      </c>
      <c r="F807">
        <v>22.12</v>
      </c>
      <c r="G807">
        <v>21.9</v>
      </c>
    </row>
    <row r="808" spans="1:7" hidden="1" x14ac:dyDescent="0.25">
      <c r="A808" t="s">
        <v>660</v>
      </c>
      <c r="B808">
        <v>34624</v>
      </c>
      <c r="C808" t="s">
        <v>1467</v>
      </c>
      <c r="D808" t="s">
        <v>704</v>
      </c>
      <c r="E808" t="s">
        <v>659</v>
      </c>
      <c r="F808">
        <v>8.02</v>
      </c>
      <c r="G808">
        <v>7.94</v>
      </c>
    </row>
    <row r="809" spans="1:7" hidden="1" x14ac:dyDescent="0.25">
      <c r="A809" t="s">
        <v>660</v>
      </c>
      <c r="B809">
        <v>34627</v>
      </c>
      <c r="C809" t="s">
        <v>1468</v>
      </c>
      <c r="D809" t="s">
        <v>704</v>
      </c>
      <c r="E809" t="s">
        <v>659</v>
      </c>
      <c r="F809">
        <v>19.34</v>
      </c>
      <c r="G809">
        <v>19.149999999999999</v>
      </c>
    </row>
    <row r="810" spans="1:7" hidden="1" x14ac:dyDescent="0.25">
      <c r="A810" t="s">
        <v>660</v>
      </c>
      <c r="B810">
        <v>34629</v>
      </c>
      <c r="C810" t="s">
        <v>1469</v>
      </c>
      <c r="D810" t="s">
        <v>704</v>
      </c>
      <c r="E810" t="s">
        <v>659</v>
      </c>
      <c r="F810">
        <v>29.56</v>
      </c>
      <c r="G810">
        <v>29.26</v>
      </c>
    </row>
    <row r="811" spans="1:7" hidden="1" x14ac:dyDescent="0.25">
      <c r="A811" t="s">
        <v>660</v>
      </c>
      <c r="B811">
        <v>39257</v>
      </c>
      <c r="C811" t="s">
        <v>1470</v>
      </c>
      <c r="D811" t="s">
        <v>704</v>
      </c>
      <c r="E811" t="s">
        <v>659</v>
      </c>
      <c r="F811">
        <v>6.01</v>
      </c>
      <c r="G811">
        <v>5.95</v>
      </c>
    </row>
    <row r="812" spans="1:7" hidden="1" x14ac:dyDescent="0.25">
      <c r="A812" t="s">
        <v>660</v>
      </c>
      <c r="B812">
        <v>39261</v>
      </c>
      <c r="C812" t="s">
        <v>1471</v>
      </c>
      <c r="D812" t="s">
        <v>704</v>
      </c>
      <c r="E812" t="s">
        <v>659</v>
      </c>
      <c r="F812">
        <v>34.44</v>
      </c>
      <c r="G812">
        <v>34.090000000000003</v>
      </c>
    </row>
    <row r="813" spans="1:7" hidden="1" x14ac:dyDescent="0.25">
      <c r="A813" t="s">
        <v>660</v>
      </c>
      <c r="B813">
        <v>39268</v>
      </c>
      <c r="C813" t="s">
        <v>1472</v>
      </c>
      <c r="D813" t="s">
        <v>704</v>
      </c>
      <c r="E813" t="s">
        <v>659</v>
      </c>
      <c r="F813">
        <v>538.24</v>
      </c>
      <c r="G813">
        <v>532.80999999999995</v>
      </c>
    </row>
    <row r="814" spans="1:7" hidden="1" x14ac:dyDescent="0.25">
      <c r="A814" t="s">
        <v>660</v>
      </c>
      <c r="B814">
        <v>39262</v>
      </c>
      <c r="C814" t="s">
        <v>1473</v>
      </c>
      <c r="D814" t="s">
        <v>704</v>
      </c>
      <c r="E814" t="s">
        <v>659</v>
      </c>
      <c r="F814">
        <v>54.83</v>
      </c>
      <c r="G814">
        <v>54.28</v>
      </c>
    </row>
    <row r="815" spans="1:7" hidden="1" x14ac:dyDescent="0.25">
      <c r="A815" t="s">
        <v>660</v>
      </c>
      <c r="B815">
        <v>39258</v>
      </c>
      <c r="C815" t="s">
        <v>1474</v>
      </c>
      <c r="D815" t="s">
        <v>704</v>
      </c>
      <c r="E815" t="s">
        <v>659</v>
      </c>
      <c r="F815">
        <v>9.06</v>
      </c>
      <c r="G815">
        <v>8.9700000000000006</v>
      </c>
    </row>
    <row r="816" spans="1:7" hidden="1" x14ac:dyDescent="0.25">
      <c r="A816" t="s">
        <v>660</v>
      </c>
      <c r="B816">
        <v>39263</v>
      </c>
      <c r="C816" t="s">
        <v>1475</v>
      </c>
      <c r="D816" t="s">
        <v>704</v>
      </c>
      <c r="E816" t="s">
        <v>659</v>
      </c>
      <c r="F816">
        <v>94.82</v>
      </c>
      <c r="G816">
        <v>93.86</v>
      </c>
    </row>
    <row r="817" spans="1:7" hidden="1" x14ac:dyDescent="0.25">
      <c r="A817" t="s">
        <v>660</v>
      </c>
      <c r="B817">
        <v>39264</v>
      </c>
      <c r="C817" t="s">
        <v>1476</v>
      </c>
      <c r="D817" t="s">
        <v>704</v>
      </c>
      <c r="E817" t="s">
        <v>659</v>
      </c>
      <c r="F817">
        <v>131.35</v>
      </c>
      <c r="G817">
        <v>130.03</v>
      </c>
    </row>
    <row r="818" spans="1:7" hidden="1" x14ac:dyDescent="0.25">
      <c r="A818" t="s">
        <v>660</v>
      </c>
      <c r="B818">
        <v>39259</v>
      </c>
      <c r="C818" t="s">
        <v>1477</v>
      </c>
      <c r="D818" t="s">
        <v>704</v>
      </c>
      <c r="E818" t="s">
        <v>659</v>
      </c>
      <c r="F818">
        <v>13.96</v>
      </c>
      <c r="G818">
        <v>13.82</v>
      </c>
    </row>
    <row r="819" spans="1:7" hidden="1" x14ac:dyDescent="0.25">
      <c r="A819" t="s">
        <v>660</v>
      </c>
      <c r="B819">
        <v>39265</v>
      </c>
      <c r="C819" t="s">
        <v>1478</v>
      </c>
      <c r="D819" t="s">
        <v>704</v>
      </c>
      <c r="E819" t="s">
        <v>659</v>
      </c>
      <c r="F819">
        <v>178.33</v>
      </c>
      <c r="G819">
        <v>176.53</v>
      </c>
    </row>
    <row r="820" spans="1:7" hidden="1" x14ac:dyDescent="0.25">
      <c r="A820" t="s">
        <v>660</v>
      </c>
      <c r="B820">
        <v>39260</v>
      </c>
      <c r="C820" t="s">
        <v>1479</v>
      </c>
      <c r="D820" t="s">
        <v>704</v>
      </c>
      <c r="E820" t="s">
        <v>659</v>
      </c>
      <c r="F820">
        <v>21.37</v>
      </c>
      <c r="G820">
        <v>21.16</v>
      </c>
    </row>
    <row r="821" spans="1:7" hidden="1" x14ac:dyDescent="0.25">
      <c r="A821" t="s">
        <v>660</v>
      </c>
      <c r="B821">
        <v>39266</v>
      </c>
      <c r="C821" t="s">
        <v>1480</v>
      </c>
      <c r="D821" t="s">
        <v>704</v>
      </c>
      <c r="E821" t="s">
        <v>659</v>
      </c>
      <c r="F821">
        <v>269.10000000000002</v>
      </c>
      <c r="G821">
        <v>266.38</v>
      </c>
    </row>
    <row r="822" spans="1:7" hidden="1" x14ac:dyDescent="0.25">
      <c r="A822" t="s">
        <v>660</v>
      </c>
      <c r="B822">
        <v>39267</v>
      </c>
      <c r="C822" t="s">
        <v>1481</v>
      </c>
      <c r="D822" t="s">
        <v>704</v>
      </c>
      <c r="E822" t="s">
        <v>659</v>
      </c>
      <c r="F822">
        <v>336.45</v>
      </c>
      <c r="G822">
        <v>333.05</v>
      </c>
    </row>
    <row r="823" spans="1:7" hidden="1" x14ac:dyDescent="0.25">
      <c r="A823" t="s">
        <v>660</v>
      </c>
      <c r="B823">
        <v>11901</v>
      </c>
      <c r="C823" t="s">
        <v>1482</v>
      </c>
      <c r="D823" t="s">
        <v>704</v>
      </c>
      <c r="E823" t="s">
        <v>659</v>
      </c>
      <c r="F823">
        <v>0.66</v>
      </c>
      <c r="G823">
        <v>0.79</v>
      </c>
    </row>
    <row r="824" spans="1:7" hidden="1" x14ac:dyDescent="0.25">
      <c r="A824" t="s">
        <v>660</v>
      </c>
      <c r="B824">
        <v>11902</v>
      </c>
      <c r="C824" t="s">
        <v>1483</v>
      </c>
      <c r="D824" t="s">
        <v>704</v>
      </c>
      <c r="E824" t="s">
        <v>659</v>
      </c>
      <c r="F824">
        <v>1.27</v>
      </c>
      <c r="G824">
        <v>1.51</v>
      </c>
    </row>
    <row r="825" spans="1:7" hidden="1" x14ac:dyDescent="0.25">
      <c r="A825" t="s">
        <v>660</v>
      </c>
      <c r="B825">
        <v>11903</v>
      </c>
      <c r="C825" t="s">
        <v>1484</v>
      </c>
      <c r="D825" t="s">
        <v>704</v>
      </c>
      <c r="E825" t="s">
        <v>659</v>
      </c>
      <c r="F825">
        <v>1.35</v>
      </c>
      <c r="G825">
        <v>1.59</v>
      </c>
    </row>
    <row r="826" spans="1:7" hidden="1" x14ac:dyDescent="0.25">
      <c r="A826" t="s">
        <v>660</v>
      </c>
      <c r="B826">
        <v>11904</v>
      </c>
      <c r="C826" t="s">
        <v>1485</v>
      </c>
      <c r="D826" t="s">
        <v>704</v>
      </c>
      <c r="E826" t="s">
        <v>659</v>
      </c>
      <c r="F826">
        <v>2.04</v>
      </c>
      <c r="G826">
        <v>2.42</v>
      </c>
    </row>
    <row r="827" spans="1:7" hidden="1" x14ac:dyDescent="0.25">
      <c r="A827" t="s">
        <v>660</v>
      </c>
      <c r="B827">
        <v>11905</v>
      </c>
      <c r="C827" t="s">
        <v>1486</v>
      </c>
      <c r="D827" t="s">
        <v>704</v>
      </c>
      <c r="E827" t="s">
        <v>659</v>
      </c>
      <c r="F827">
        <v>2.4900000000000002</v>
      </c>
      <c r="G827">
        <v>2.95</v>
      </c>
    </row>
    <row r="828" spans="1:7" hidden="1" x14ac:dyDescent="0.25">
      <c r="A828" t="s">
        <v>660</v>
      </c>
      <c r="B828">
        <v>11906</v>
      </c>
      <c r="C828" t="s">
        <v>1487</v>
      </c>
      <c r="D828" t="s">
        <v>704</v>
      </c>
      <c r="E828" t="s">
        <v>659</v>
      </c>
      <c r="F828">
        <v>3.17</v>
      </c>
      <c r="G828">
        <v>3.75</v>
      </c>
    </row>
    <row r="829" spans="1:7" hidden="1" x14ac:dyDescent="0.25">
      <c r="A829" t="s">
        <v>660</v>
      </c>
      <c r="B829">
        <v>11919</v>
      </c>
      <c r="C829" t="s">
        <v>1488</v>
      </c>
      <c r="D829" t="s">
        <v>704</v>
      </c>
      <c r="E829" t="s">
        <v>659</v>
      </c>
      <c r="F829">
        <v>5.81</v>
      </c>
      <c r="G829">
        <v>6.88</v>
      </c>
    </row>
    <row r="830" spans="1:7" hidden="1" x14ac:dyDescent="0.25">
      <c r="A830" t="s">
        <v>660</v>
      </c>
      <c r="B830">
        <v>11920</v>
      </c>
      <c r="C830" t="s">
        <v>1489</v>
      </c>
      <c r="D830" t="s">
        <v>704</v>
      </c>
      <c r="E830" t="s">
        <v>659</v>
      </c>
      <c r="F830">
        <v>11.04</v>
      </c>
      <c r="G830">
        <v>13.07</v>
      </c>
    </row>
    <row r="831" spans="1:7" hidden="1" x14ac:dyDescent="0.25">
      <c r="A831" t="s">
        <v>660</v>
      </c>
      <c r="B831">
        <v>11924</v>
      </c>
      <c r="C831" t="s">
        <v>1490</v>
      </c>
      <c r="D831" t="s">
        <v>704</v>
      </c>
      <c r="E831" t="s">
        <v>659</v>
      </c>
      <c r="F831">
        <v>92.67</v>
      </c>
      <c r="G831">
        <v>109.73</v>
      </c>
    </row>
    <row r="832" spans="1:7" hidden="1" x14ac:dyDescent="0.25">
      <c r="A832" t="s">
        <v>660</v>
      </c>
      <c r="B832">
        <v>11921</v>
      </c>
      <c r="C832" t="s">
        <v>1491</v>
      </c>
      <c r="D832" t="s">
        <v>704</v>
      </c>
      <c r="E832" t="s">
        <v>659</v>
      </c>
      <c r="F832">
        <v>16.149999999999999</v>
      </c>
      <c r="G832">
        <v>19.12</v>
      </c>
    </row>
    <row r="833" spans="1:7" hidden="1" x14ac:dyDescent="0.25">
      <c r="A833" t="s">
        <v>660</v>
      </c>
      <c r="B833">
        <v>11922</v>
      </c>
      <c r="C833" t="s">
        <v>1492</v>
      </c>
      <c r="D833" t="s">
        <v>704</v>
      </c>
      <c r="E833" t="s">
        <v>659</v>
      </c>
      <c r="F833">
        <v>26.12</v>
      </c>
      <c r="G833">
        <v>30.93</v>
      </c>
    </row>
    <row r="834" spans="1:7" hidden="1" x14ac:dyDescent="0.25">
      <c r="A834" t="s">
        <v>660</v>
      </c>
      <c r="B834">
        <v>11923</v>
      </c>
      <c r="C834" t="s">
        <v>1493</v>
      </c>
      <c r="D834" t="s">
        <v>704</v>
      </c>
      <c r="E834" t="s">
        <v>659</v>
      </c>
      <c r="F834">
        <v>38.229999999999997</v>
      </c>
      <c r="G834">
        <v>45.27</v>
      </c>
    </row>
    <row r="835" spans="1:7" hidden="1" x14ac:dyDescent="0.25">
      <c r="A835" t="s">
        <v>660</v>
      </c>
      <c r="B835">
        <v>11916</v>
      </c>
      <c r="C835" t="s">
        <v>1494</v>
      </c>
      <c r="D835" t="s">
        <v>704</v>
      </c>
      <c r="E835" t="s">
        <v>659</v>
      </c>
      <c r="F835">
        <v>7.95</v>
      </c>
      <c r="G835">
        <v>9.41</v>
      </c>
    </row>
    <row r="836" spans="1:7" hidden="1" x14ac:dyDescent="0.25">
      <c r="A836" t="s">
        <v>660</v>
      </c>
      <c r="B836">
        <v>11914</v>
      </c>
      <c r="C836" t="s">
        <v>1495</v>
      </c>
      <c r="D836" t="s">
        <v>704</v>
      </c>
      <c r="E836" t="s">
        <v>659</v>
      </c>
      <c r="F836">
        <v>57.28</v>
      </c>
      <c r="G836">
        <v>67.83</v>
      </c>
    </row>
    <row r="837" spans="1:7" hidden="1" x14ac:dyDescent="0.25">
      <c r="A837" t="s">
        <v>660</v>
      </c>
      <c r="B837">
        <v>11917</v>
      </c>
      <c r="C837" t="s">
        <v>1496</v>
      </c>
      <c r="D837" t="s">
        <v>704</v>
      </c>
      <c r="E837" t="s">
        <v>659</v>
      </c>
      <c r="F837">
        <v>14</v>
      </c>
      <c r="G837">
        <v>16.579999999999998</v>
      </c>
    </row>
    <row r="838" spans="1:7" hidden="1" x14ac:dyDescent="0.25">
      <c r="A838" t="s">
        <v>660</v>
      </c>
      <c r="B838">
        <v>11918</v>
      </c>
      <c r="C838" t="s">
        <v>1497</v>
      </c>
      <c r="D838" t="s">
        <v>704</v>
      </c>
      <c r="E838" t="s">
        <v>659</v>
      </c>
      <c r="F838">
        <v>16.61</v>
      </c>
      <c r="G838">
        <v>19.670000000000002</v>
      </c>
    </row>
    <row r="839" spans="1:7" hidden="1" x14ac:dyDescent="0.25">
      <c r="A839" t="s">
        <v>842</v>
      </c>
      <c r="B839">
        <v>37734</v>
      </c>
      <c r="C839" t="s">
        <v>1498</v>
      </c>
      <c r="D839" t="s">
        <v>226</v>
      </c>
      <c r="E839" t="s">
        <v>659</v>
      </c>
      <c r="F839" s="538">
        <v>84731.64</v>
      </c>
      <c r="G839" s="538">
        <v>81699.7</v>
      </c>
    </row>
    <row r="840" spans="1:7" hidden="1" x14ac:dyDescent="0.25">
      <c r="A840" t="s">
        <v>842</v>
      </c>
      <c r="B840">
        <v>42251</v>
      </c>
      <c r="C840" t="s">
        <v>1499</v>
      </c>
      <c r="D840" t="s">
        <v>226</v>
      </c>
      <c r="E840" t="s">
        <v>659</v>
      </c>
      <c r="F840" s="538">
        <v>96217.94</v>
      </c>
      <c r="G840" s="538">
        <v>92775</v>
      </c>
    </row>
    <row r="841" spans="1:7" hidden="1" x14ac:dyDescent="0.25">
      <c r="A841" t="s">
        <v>842</v>
      </c>
      <c r="B841">
        <v>37733</v>
      </c>
      <c r="C841" t="s">
        <v>1500</v>
      </c>
      <c r="D841" t="s">
        <v>226</v>
      </c>
      <c r="E841" t="s">
        <v>659</v>
      </c>
      <c r="F841" s="538">
        <v>63531.46</v>
      </c>
      <c r="G841" s="538">
        <v>61258.13</v>
      </c>
    </row>
    <row r="842" spans="1:7" hidden="1" x14ac:dyDescent="0.25">
      <c r="A842" t="s">
        <v>842</v>
      </c>
      <c r="B842">
        <v>37735</v>
      </c>
      <c r="C842" t="s">
        <v>1501</v>
      </c>
      <c r="D842" t="s">
        <v>226</v>
      </c>
      <c r="E842" t="s">
        <v>659</v>
      </c>
      <c r="F842" s="538">
        <v>76555.42</v>
      </c>
      <c r="G842" s="538">
        <v>73816.05</v>
      </c>
    </row>
    <row r="843" spans="1:7" hidden="1" x14ac:dyDescent="0.25">
      <c r="A843" t="s">
        <v>660</v>
      </c>
      <c r="B843">
        <v>5090</v>
      </c>
      <c r="C843" t="s">
        <v>1502</v>
      </c>
      <c r="D843" t="s">
        <v>226</v>
      </c>
      <c r="E843" t="s">
        <v>172</v>
      </c>
      <c r="F843">
        <v>22.4</v>
      </c>
      <c r="G843">
        <v>20</v>
      </c>
    </row>
    <row r="844" spans="1:7" hidden="1" x14ac:dyDescent="0.25">
      <c r="A844" t="s">
        <v>660</v>
      </c>
      <c r="B844">
        <v>5085</v>
      </c>
      <c r="C844" t="s">
        <v>1503</v>
      </c>
      <c r="D844" t="s">
        <v>226</v>
      </c>
      <c r="E844" t="s">
        <v>659</v>
      </c>
      <c r="F844">
        <v>33.35</v>
      </c>
      <c r="G844">
        <v>29.77</v>
      </c>
    </row>
    <row r="845" spans="1:7" hidden="1" x14ac:dyDescent="0.25">
      <c r="A845" t="s">
        <v>660</v>
      </c>
      <c r="B845">
        <v>43603</v>
      </c>
      <c r="C845" t="s">
        <v>1504</v>
      </c>
      <c r="D845" t="s">
        <v>226</v>
      </c>
      <c r="E845" t="s">
        <v>659</v>
      </c>
      <c r="F845">
        <v>47.64</v>
      </c>
      <c r="G845">
        <v>42.53</v>
      </c>
    </row>
    <row r="846" spans="1:7" hidden="1" x14ac:dyDescent="0.25">
      <c r="A846" t="s">
        <v>660</v>
      </c>
      <c r="B846">
        <v>38374</v>
      </c>
      <c r="C846" t="s">
        <v>1505</v>
      </c>
      <c r="D846" t="s">
        <v>226</v>
      </c>
      <c r="E846" t="s">
        <v>659</v>
      </c>
      <c r="F846">
        <v>794.37</v>
      </c>
      <c r="G846">
        <v>889.65</v>
      </c>
    </row>
    <row r="847" spans="1:7" hidden="1" x14ac:dyDescent="0.25">
      <c r="A847" t="s">
        <v>660</v>
      </c>
      <c r="B847">
        <v>4513</v>
      </c>
      <c r="C847" t="s">
        <v>1506</v>
      </c>
      <c r="D847" t="s">
        <v>704</v>
      </c>
      <c r="E847" t="s">
        <v>659</v>
      </c>
      <c r="F847">
        <v>5.54</v>
      </c>
      <c r="G847">
        <v>5.73</v>
      </c>
    </row>
    <row r="848" spans="1:7" hidden="1" x14ac:dyDescent="0.25">
      <c r="A848" t="s">
        <v>660</v>
      </c>
      <c r="B848">
        <v>20212</v>
      </c>
      <c r="C848" t="s">
        <v>1507</v>
      </c>
      <c r="D848" t="s">
        <v>704</v>
      </c>
      <c r="E848" t="s">
        <v>659</v>
      </c>
      <c r="F848">
        <v>30.76</v>
      </c>
      <c r="G848">
        <v>27.8</v>
      </c>
    </row>
    <row r="849" spans="1:7" hidden="1" x14ac:dyDescent="0.25">
      <c r="A849" t="s">
        <v>660</v>
      </c>
      <c r="B849">
        <v>20209</v>
      </c>
      <c r="C849" t="s">
        <v>1508</v>
      </c>
      <c r="D849" t="s">
        <v>704</v>
      </c>
      <c r="E849" t="s">
        <v>659</v>
      </c>
      <c r="F849">
        <v>36.74</v>
      </c>
      <c r="G849">
        <v>33.21</v>
      </c>
    </row>
    <row r="850" spans="1:7" hidden="1" x14ac:dyDescent="0.25">
      <c r="A850" t="s">
        <v>660</v>
      </c>
      <c r="B850">
        <v>4430</v>
      </c>
      <c r="C850" t="s">
        <v>1509</v>
      </c>
      <c r="D850" t="s">
        <v>704</v>
      </c>
      <c r="E850" t="s">
        <v>172</v>
      </c>
      <c r="F850">
        <v>18</v>
      </c>
      <c r="G850">
        <v>16.27</v>
      </c>
    </row>
    <row r="851" spans="1:7" hidden="1" x14ac:dyDescent="0.25">
      <c r="A851" t="s">
        <v>660</v>
      </c>
      <c r="B851">
        <v>4433</v>
      </c>
      <c r="C851" t="s">
        <v>1510</v>
      </c>
      <c r="D851" t="s">
        <v>704</v>
      </c>
      <c r="E851" t="s">
        <v>659</v>
      </c>
      <c r="F851">
        <v>35.200000000000003</v>
      </c>
      <c r="G851">
        <v>31.81</v>
      </c>
    </row>
    <row r="852" spans="1:7" hidden="1" x14ac:dyDescent="0.25">
      <c r="A852" t="s">
        <v>660</v>
      </c>
      <c r="B852">
        <v>4400</v>
      </c>
      <c r="C852" t="s">
        <v>1511</v>
      </c>
      <c r="D852" t="s">
        <v>704</v>
      </c>
      <c r="E852" t="s">
        <v>659</v>
      </c>
      <c r="F852">
        <v>28.65</v>
      </c>
      <c r="G852">
        <v>25.89</v>
      </c>
    </row>
    <row r="853" spans="1:7" x14ac:dyDescent="0.25">
      <c r="A853" t="s">
        <v>660</v>
      </c>
      <c r="B853">
        <v>2729</v>
      </c>
      <c r="C853" t="s">
        <v>1512</v>
      </c>
      <c r="D853" t="s">
        <v>226</v>
      </c>
      <c r="E853" t="s">
        <v>659</v>
      </c>
      <c r="F853">
        <v>24.37</v>
      </c>
      <c r="G853">
        <v>29.95</v>
      </c>
    </row>
    <row r="854" spans="1:7" hidden="1" x14ac:dyDescent="0.25">
      <c r="A854" t="s">
        <v>660</v>
      </c>
      <c r="B854">
        <v>37106</v>
      </c>
      <c r="C854" t="s">
        <v>1513</v>
      </c>
      <c r="D854" t="s">
        <v>226</v>
      </c>
      <c r="E854" t="s">
        <v>659</v>
      </c>
      <c r="F854" s="538">
        <v>5326.25</v>
      </c>
      <c r="G854" s="538">
        <v>4821.29</v>
      </c>
    </row>
    <row r="855" spans="1:7" hidden="1" x14ac:dyDescent="0.25">
      <c r="A855" t="s">
        <v>660</v>
      </c>
      <c r="B855">
        <v>11869</v>
      </c>
      <c r="C855" t="s">
        <v>1514</v>
      </c>
      <c r="D855" t="s">
        <v>226</v>
      </c>
      <c r="E855" t="s">
        <v>659</v>
      </c>
      <c r="F855" s="538">
        <v>1065.25</v>
      </c>
      <c r="G855">
        <v>964.25</v>
      </c>
    </row>
    <row r="856" spans="1:7" hidden="1" x14ac:dyDescent="0.25">
      <c r="A856" t="s">
        <v>660</v>
      </c>
      <c r="B856">
        <v>43981</v>
      </c>
      <c r="C856" t="s">
        <v>1515</v>
      </c>
      <c r="D856" t="s">
        <v>226</v>
      </c>
      <c r="E856" t="s">
        <v>659</v>
      </c>
      <c r="F856" s="538">
        <v>8026.61</v>
      </c>
      <c r="G856" s="538">
        <v>7265.64</v>
      </c>
    </row>
    <row r="857" spans="1:7" hidden="1" x14ac:dyDescent="0.25">
      <c r="A857" t="s">
        <v>660</v>
      </c>
      <c r="B857">
        <v>37104</v>
      </c>
      <c r="C857" t="s">
        <v>1516</v>
      </c>
      <c r="D857" t="s">
        <v>226</v>
      </c>
      <c r="E857" t="s">
        <v>659</v>
      </c>
      <c r="F857" s="538">
        <v>1336.91</v>
      </c>
      <c r="G857" s="538">
        <v>1210.1600000000001</v>
      </c>
    </row>
    <row r="858" spans="1:7" hidden="1" x14ac:dyDescent="0.25">
      <c r="A858" t="s">
        <v>660</v>
      </c>
      <c r="B858">
        <v>43982</v>
      </c>
      <c r="C858" t="s">
        <v>1517</v>
      </c>
      <c r="D858" t="s">
        <v>226</v>
      </c>
      <c r="E858" t="s">
        <v>659</v>
      </c>
      <c r="F858" s="538">
        <v>12680.03</v>
      </c>
      <c r="G858" s="538">
        <v>11477.88</v>
      </c>
    </row>
    <row r="859" spans="1:7" hidden="1" x14ac:dyDescent="0.25">
      <c r="A859" t="s">
        <v>660</v>
      </c>
      <c r="B859">
        <v>43978</v>
      </c>
      <c r="C859" t="s">
        <v>1518</v>
      </c>
      <c r="D859" t="s">
        <v>226</v>
      </c>
      <c r="E859" t="s">
        <v>659</v>
      </c>
      <c r="F859" s="538">
        <v>1981.27</v>
      </c>
      <c r="G859" s="538">
        <v>1793.43</v>
      </c>
    </row>
    <row r="860" spans="1:7" hidden="1" x14ac:dyDescent="0.25">
      <c r="A860" t="s">
        <v>660</v>
      </c>
      <c r="B860">
        <v>11871</v>
      </c>
      <c r="C860" t="s">
        <v>1519</v>
      </c>
      <c r="D860" t="s">
        <v>226</v>
      </c>
      <c r="E860" t="s">
        <v>659</v>
      </c>
      <c r="F860">
        <v>496.57</v>
      </c>
      <c r="G860">
        <v>449.49</v>
      </c>
    </row>
    <row r="861" spans="1:7" hidden="1" x14ac:dyDescent="0.25">
      <c r="A861" t="s">
        <v>660</v>
      </c>
      <c r="B861">
        <v>37105</v>
      </c>
      <c r="C861" t="s">
        <v>1520</v>
      </c>
      <c r="D861" t="s">
        <v>226</v>
      </c>
      <c r="E861" t="s">
        <v>659</v>
      </c>
      <c r="F861" s="538">
        <v>3055.35</v>
      </c>
      <c r="G861" s="538">
        <v>2765.68</v>
      </c>
    </row>
    <row r="862" spans="1:7" hidden="1" x14ac:dyDescent="0.25">
      <c r="A862" t="s">
        <v>660</v>
      </c>
      <c r="B862">
        <v>43980</v>
      </c>
      <c r="C862" t="s">
        <v>1521</v>
      </c>
      <c r="D862" t="s">
        <v>226</v>
      </c>
      <c r="E862" t="s">
        <v>659</v>
      </c>
      <c r="F862" s="538">
        <v>3805.12</v>
      </c>
      <c r="G862" s="538">
        <v>3444.37</v>
      </c>
    </row>
    <row r="863" spans="1:7" hidden="1" x14ac:dyDescent="0.25">
      <c r="A863" t="s">
        <v>660</v>
      </c>
      <c r="B863">
        <v>43979</v>
      </c>
      <c r="C863" t="s">
        <v>1522</v>
      </c>
      <c r="D863" t="s">
        <v>226</v>
      </c>
      <c r="E863" t="s">
        <v>659</v>
      </c>
      <c r="F863">
        <v>714.94</v>
      </c>
      <c r="G863">
        <v>647.16</v>
      </c>
    </row>
    <row r="864" spans="1:7" hidden="1" x14ac:dyDescent="0.25">
      <c r="A864" t="s">
        <v>660</v>
      </c>
      <c r="B864">
        <v>11868</v>
      </c>
      <c r="C864" t="s">
        <v>1523</v>
      </c>
      <c r="D864" t="s">
        <v>226</v>
      </c>
      <c r="E864" t="s">
        <v>659</v>
      </c>
      <c r="F864">
        <v>691.42</v>
      </c>
      <c r="G864">
        <v>625.87</v>
      </c>
    </row>
    <row r="865" spans="1:7" hidden="1" x14ac:dyDescent="0.25">
      <c r="A865" t="s">
        <v>660</v>
      </c>
      <c r="B865">
        <v>34636</v>
      </c>
      <c r="C865" t="s">
        <v>1524</v>
      </c>
      <c r="D865" t="s">
        <v>226</v>
      </c>
      <c r="E865" t="s">
        <v>172</v>
      </c>
      <c r="F865">
        <v>491</v>
      </c>
      <c r="G865">
        <v>444.45</v>
      </c>
    </row>
    <row r="866" spans="1:7" hidden="1" x14ac:dyDescent="0.25">
      <c r="A866" t="s">
        <v>660</v>
      </c>
      <c r="B866">
        <v>34639</v>
      </c>
      <c r="C866" t="s">
        <v>1525</v>
      </c>
      <c r="D866" t="s">
        <v>226</v>
      </c>
      <c r="E866" t="s">
        <v>659</v>
      </c>
      <c r="F866" s="538">
        <v>1133.31</v>
      </c>
      <c r="G866" s="538">
        <v>1025.8699999999999</v>
      </c>
    </row>
    <row r="867" spans="1:7" hidden="1" x14ac:dyDescent="0.25">
      <c r="A867" t="s">
        <v>660</v>
      </c>
      <c r="B867">
        <v>34640</v>
      </c>
      <c r="C867" t="s">
        <v>1526</v>
      </c>
      <c r="D867" t="s">
        <v>226</v>
      </c>
      <c r="E867" t="s">
        <v>659</v>
      </c>
      <c r="F867" s="538">
        <v>1285.57</v>
      </c>
      <c r="G867" s="538">
        <v>1163.69</v>
      </c>
    </row>
    <row r="868" spans="1:7" hidden="1" x14ac:dyDescent="0.25">
      <c r="A868" t="s">
        <v>660</v>
      </c>
      <c r="B868">
        <v>43977</v>
      </c>
      <c r="C868" t="s">
        <v>1527</v>
      </c>
      <c r="D868" t="s">
        <v>226</v>
      </c>
      <c r="E868" t="s">
        <v>659</v>
      </c>
      <c r="F868" s="538">
        <v>2216.2399999999998</v>
      </c>
      <c r="G868" s="538">
        <v>2006.13</v>
      </c>
    </row>
    <row r="869" spans="1:7" hidden="1" x14ac:dyDescent="0.25">
      <c r="A869" t="s">
        <v>660</v>
      </c>
      <c r="B869">
        <v>34637</v>
      </c>
      <c r="C869" t="s">
        <v>1528</v>
      </c>
      <c r="D869" t="s">
        <v>226</v>
      </c>
      <c r="E869" t="s">
        <v>659</v>
      </c>
      <c r="F869">
        <v>296.93</v>
      </c>
      <c r="G869">
        <v>268.77999999999997</v>
      </c>
    </row>
    <row r="870" spans="1:7" hidden="1" x14ac:dyDescent="0.25">
      <c r="A870" t="s">
        <v>660</v>
      </c>
      <c r="B870">
        <v>34638</v>
      </c>
      <c r="C870" t="s">
        <v>1529</v>
      </c>
      <c r="D870" t="s">
        <v>226</v>
      </c>
      <c r="E870" t="s">
        <v>659</v>
      </c>
      <c r="F870">
        <v>459.29</v>
      </c>
      <c r="G870">
        <v>415.75</v>
      </c>
    </row>
    <row r="871" spans="1:7" hidden="1" x14ac:dyDescent="0.25">
      <c r="A871" t="s">
        <v>660</v>
      </c>
      <c r="B871">
        <v>34641</v>
      </c>
      <c r="C871" t="s">
        <v>1530</v>
      </c>
      <c r="D871" t="s">
        <v>226</v>
      </c>
      <c r="E871" t="s">
        <v>659</v>
      </c>
      <c r="F871">
        <v>109.59</v>
      </c>
      <c r="G871">
        <v>141.76</v>
      </c>
    </row>
    <row r="872" spans="1:7" hidden="1" x14ac:dyDescent="0.25">
      <c r="A872" t="s">
        <v>660</v>
      </c>
      <c r="B872">
        <v>43434</v>
      </c>
      <c r="C872" t="s">
        <v>1531</v>
      </c>
      <c r="D872" t="s">
        <v>226</v>
      </c>
      <c r="E872" t="s">
        <v>659</v>
      </c>
      <c r="F872">
        <v>118.48</v>
      </c>
      <c r="G872">
        <v>153.27000000000001</v>
      </c>
    </row>
    <row r="873" spans="1:7" hidden="1" x14ac:dyDescent="0.25">
      <c r="A873" t="s">
        <v>660</v>
      </c>
      <c r="B873">
        <v>43435</v>
      </c>
      <c r="C873" t="s">
        <v>1532</v>
      </c>
      <c r="D873" t="s">
        <v>226</v>
      </c>
      <c r="E873" t="s">
        <v>659</v>
      </c>
      <c r="F873">
        <v>217.22</v>
      </c>
      <c r="G873">
        <v>281</v>
      </c>
    </row>
    <row r="874" spans="1:7" hidden="1" x14ac:dyDescent="0.25">
      <c r="A874" t="s">
        <v>660</v>
      </c>
      <c r="B874">
        <v>43436</v>
      </c>
      <c r="C874" t="s">
        <v>1533</v>
      </c>
      <c r="D874" t="s">
        <v>226</v>
      </c>
      <c r="E874" t="s">
        <v>659</v>
      </c>
      <c r="F874">
        <v>380.14</v>
      </c>
      <c r="G874">
        <v>491.76</v>
      </c>
    </row>
    <row r="875" spans="1:7" hidden="1" x14ac:dyDescent="0.25">
      <c r="A875" t="s">
        <v>660</v>
      </c>
      <c r="B875">
        <v>43437</v>
      </c>
      <c r="C875" t="s">
        <v>1534</v>
      </c>
      <c r="D875" t="s">
        <v>226</v>
      </c>
      <c r="E875" t="s">
        <v>659</v>
      </c>
      <c r="F875">
        <v>689.2</v>
      </c>
      <c r="G875">
        <v>891.56</v>
      </c>
    </row>
    <row r="876" spans="1:7" hidden="1" x14ac:dyDescent="0.25">
      <c r="A876" t="s">
        <v>660</v>
      </c>
      <c r="B876">
        <v>43438</v>
      </c>
      <c r="C876" t="s">
        <v>1535</v>
      </c>
      <c r="D876" t="s">
        <v>226</v>
      </c>
      <c r="E876" t="s">
        <v>659</v>
      </c>
      <c r="F876" s="538">
        <v>1234.24</v>
      </c>
      <c r="G876" s="538">
        <v>1596.63</v>
      </c>
    </row>
    <row r="877" spans="1:7" hidden="1" x14ac:dyDescent="0.25">
      <c r="A877" t="s">
        <v>660</v>
      </c>
      <c r="B877">
        <v>41627</v>
      </c>
      <c r="C877" t="s">
        <v>1536</v>
      </c>
      <c r="D877" t="s">
        <v>226</v>
      </c>
      <c r="E877" t="s">
        <v>659</v>
      </c>
      <c r="F877">
        <v>182.66</v>
      </c>
      <c r="G877">
        <v>236.3</v>
      </c>
    </row>
    <row r="878" spans="1:7" hidden="1" x14ac:dyDescent="0.25">
      <c r="A878" t="s">
        <v>660</v>
      </c>
      <c r="B878">
        <v>41628</v>
      </c>
      <c r="C878" t="s">
        <v>1537</v>
      </c>
      <c r="D878" t="s">
        <v>226</v>
      </c>
      <c r="E878" t="s">
        <v>659</v>
      </c>
      <c r="F878">
        <v>335.71</v>
      </c>
      <c r="G878">
        <v>434.28</v>
      </c>
    </row>
    <row r="879" spans="1:7" hidden="1" x14ac:dyDescent="0.25">
      <c r="A879" t="s">
        <v>660</v>
      </c>
      <c r="B879">
        <v>41629</v>
      </c>
      <c r="C879" t="s">
        <v>1538</v>
      </c>
      <c r="D879" t="s">
        <v>226</v>
      </c>
      <c r="E879" t="s">
        <v>659</v>
      </c>
      <c r="F879">
        <v>426.55</v>
      </c>
      <c r="G879">
        <v>551.79</v>
      </c>
    </row>
    <row r="880" spans="1:7" hidden="1" x14ac:dyDescent="0.25">
      <c r="A880" t="s">
        <v>660</v>
      </c>
      <c r="B880">
        <v>43429</v>
      </c>
      <c r="C880" t="s">
        <v>1539</v>
      </c>
      <c r="D880" t="s">
        <v>226</v>
      </c>
      <c r="E880" t="s">
        <v>659</v>
      </c>
      <c r="F880">
        <v>94.51</v>
      </c>
      <c r="G880">
        <v>122.26</v>
      </c>
    </row>
    <row r="881" spans="1:7" hidden="1" x14ac:dyDescent="0.25">
      <c r="A881" t="s">
        <v>660</v>
      </c>
      <c r="B881">
        <v>43430</v>
      </c>
      <c r="C881" t="s">
        <v>1540</v>
      </c>
      <c r="D881" t="s">
        <v>226</v>
      </c>
      <c r="E881" t="s">
        <v>659</v>
      </c>
      <c r="F881">
        <v>156.99</v>
      </c>
      <c r="G881">
        <v>203.09</v>
      </c>
    </row>
    <row r="882" spans="1:7" hidden="1" x14ac:dyDescent="0.25">
      <c r="A882" t="s">
        <v>660</v>
      </c>
      <c r="B882">
        <v>43431</v>
      </c>
      <c r="C882" t="s">
        <v>1541</v>
      </c>
      <c r="D882" t="s">
        <v>226</v>
      </c>
      <c r="E882" t="s">
        <v>659</v>
      </c>
      <c r="F882">
        <v>304.11</v>
      </c>
      <c r="G882">
        <v>393.41</v>
      </c>
    </row>
    <row r="883" spans="1:7" hidden="1" x14ac:dyDescent="0.25">
      <c r="A883" t="s">
        <v>660</v>
      </c>
      <c r="B883">
        <v>43432</v>
      </c>
      <c r="C883" t="s">
        <v>1542</v>
      </c>
      <c r="D883" t="s">
        <v>226</v>
      </c>
      <c r="E883" t="s">
        <v>659</v>
      </c>
      <c r="F883">
        <v>631.92999999999995</v>
      </c>
      <c r="G883">
        <v>817.47</v>
      </c>
    </row>
    <row r="884" spans="1:7" hidden="1" x14ac:dyDescent="0.25">
      <c r="A884" t="s">
        <v>660</v>
      </c>
      <c r="B884">
        <v>43433</v>
      </c>
      <c r="C884" t="s">
        <v>1543</v>
      </c>
      <c r="D884" t="s">
        <v>226</v>
      </c>
      <c r="E884" t="s">
        <v>659</v>
      </c>
      <c r="F884">
        <v>996.28</v>
      </c>
      <c r="G884" s="538">
        <v>1288.8</v>
      </c>
    </row>
    <row r="885" spans="1:7" x14ac:dyDescent="0.25">
      <c r="A885" t="s">
        <v>660</v>
      </c>
      <c r="B885">
        <v>43094</v>
      </c>
      <c r="C885" t="s">
        <v>1544</v>
      </c>
      <c r="D885" t="s">
        <v>226</v>
      </c>
      <c r="E885" t="s">
        <v>659</v>
      </c>
      <c r="F885">
        <v>290.58</v>
      </c>
      <c r="G885">
        <v>241.71</v>
      </c>
    </row>
    <row r="886" spans="1:7" x14ac:dyDescent="0.25">
      <c r="A886" t="s">
        <v>660</v>
      </c>
      <c r="B886">
        <v>43093</v>
      </c>
      <c r="C886" t="s">
        <v>1545</v>
      </c>
      <c r="D886" t="s">
        <v>226</v>
      </c>
      <c r="E886" t="s">
        <v>659</v>
      </c>
      <c r="F886">
        <v>308.8</v>
      </c>
      <c r="G886">
        <v>256.87</v>
      </c>
    </row>
    <row r="887" spans="1:7" hidden="1" x14ac:dyDescent="0.25">
      <c r="A887" t="s">
        <v>660</v>
      </c>
      <c r="B887">
        <v>11694</v>
      </c>
      <c r="C887" t="s">
        <v>1546</v>
      </c>
      <c r="D887" t="s">
        <v>226</v>
      </c>
      <c r="E887" t="s">
        <v>659</v>
      </c>
      <c r="F887" s="538">
        <v>1116.31</v>
      </c>
      <c r="G887" s="538">
        <v>1094.8699999999999</v>
      </c>
    </row>
    <row r="888" spans="1:7" hidden="1" x14ac:dyDescent="0.25">
      <c r="A888" t="s">
        <v>660</v>
      </c>
      <c r="B888">
        <v>1030</v>
      </c>
      <c r="C888" t="s">
        <v>1547</v>
      </c>
      <c r="D888" t="s">
        <v>226</v>
      </c>
      <c r="E888" t="s">
        <v>172</v>
      </c>
      <c r="F888">
        <v>50.5</v>
      </c>
      <c r="G888">
        <v>49.53</v>
      </c>
    </row>
    <row r="889" spans="1:7" hidden="1" x14ac:dyDescent="0.25">
      <c r="A889" t="s">
        <v>660</v>
      </c>
      <c r="B889">
        <v>11881</v>
      </c>
      <c r="C889" t="s">
        <v>1548</v>
      </c>
      <c r="D889" t="s">
        <v>226</v>
      </c>
      <c r="E889" t="s">
        <v>659</v>
      </c>
      <c r="F889">
        <v>167.85</v>
      </c>
      <c r="G889">
        <v>217.14</v>
      </c>
    </row>
    <row r="890" spans="1:7" hidden="1" x14ac:dyDescent="0.25">
      <c r="A890" t="s">
        <v>660</v>
      </c>
      <c r="B890">
        <v>35277</v>
      </c>
      <c r="C890" t="s">
        <v>1549</v>
      </c>
      <c r="D890" t="s">
        <v>226</v>
      </c>
      <c r="E890" t="s">
        <v>659</v>
      </c>
      <c r="F890">
        <v>363.02</v>
      </c>
      <c r="G890">
        <v>362.17</v>
      </c>
    </row>
    <row r="891" spans="1:7" hidden="1" x14ac:dyDescent="0.25">
      <c r="A891" t="s">
        <v>660</v>
      </c>
      <c r="B891">
        <v>10521</v>
      </c>
      <c r="C891" t="s">
        <v>1550</v>
      </c>
      <c r="D891" t="s">
        <v>226</v>
      </c>
      <c r="E891" t="s">
        <v>659</v>
      </c>
      <c r="F891">
        <v>268.22000000000003</v>
      </c>
      <c r="G891">
        <v>403.25</v>
      </c>
    </row>
    <row r="892" spans="1:7" hidden="1" x14ac:dyDescent="0.25">
      <c r="A892" t="s">
        <v>660</v>
      </c>
      <c r="B892">
        <v>10885</v>
      </c>
      <c r="C892" t="s">
        <v>1551</v>
      </c>
      <c r="D892" t="s">
        <v>226</v>
      </c>
      <c r="E892" t="s">
        <v>659</v>
      </c>
      <c r="F892">
        <v>339.27</v>
      </c>
      <c r="G892">
        <v>510.07</v>
      </c>
    </row>
    <row r="893" spans="1:7" hidden="1" x14ac:dyDescent="0.25">
      <c r="A893" t="s">
        <v>660</v>
      </c>
      <c r="B893">
        <v>20962</v>
      </c>
      <c r="C893" t="s">
        <v>1552</v>
      </c>
      <c r="D893" t="s">
        <v>226</v>
      </c>
      <c r="E893" t="s">
        <v>172</v>
      </c>
      <c r="F893">
        <v>281</v>
      </c>
      <c r="G893">
        <v>422.46</v>
      </c>
    </row>
    <row r="894" spans="1:7" hidden="1" x14ac:dyDescent="0.25">
      <c r="A894" t="s">
        <v>660</v>
      </c>
      <c r="B894">
        <v>20963</v>
      </c>
      <c r="C894" t="s">
        <v>1553</v>
      </c>
      <c r="D894" t="s">
        <v>226</v>
      </c>
      <c r="E894" t="s">
        <v>659</v>
      </c>
      <c r="F894">
        <v>343.26</v>
      </c>
      <c r="G894">
        <v>516.07000000000005</v>
      </c>
    </row>
    <row r="895" spans="1:7" hidden="1" x14ac:dyDescent="0.25">
      <c r="A895" t="s">
        <v>660</v>
      </c>
      <c r="B895">
        <v>34643</v>
      </c>
      <c r="C895" t="s">
        <v>1554</v>
      </c>
      <c r="D895" t="s">
        <v>226</v>
      </c>
      <c r="E895" t="s">
        <v>659</v>
      </c>
      <c r="F895">
        <v>41.81</v>
      </c>
      <c r="G895">
        <v>41.71</v>
      </c>
    </row>
    <row r="896" spans="1:7" hidden="1" x14ac:dyDescent="0.25">
      <c r="A896" t="s">
        <v>660</v>
      </c>
      <c r="B896">
        <v>41480</v>
      </c>
      <c r="C896" t="s">
        <v>1555</v>
      </c>
      <c r="D896" t="s">
        <v>226</v>
      </c>
      <c r="E896" t="s">
        <v>659</v>
      </c>
      <c r="F896">
        <v>48.47</v>
      </c>
      <c r="G896">
        <v>48.36</v>
      </c>
    </row>
    <row r="897" spans="1:7" hidden="1" x14ac:dyDescent="0.25">
      <c r="A897" t="s">
        <v>660</v>
      </c>
      <c r="B897">
        <v>41474</v>
      </c>
      <c r="C897" t="s">
        <v>1556</v>
      </c>
      <c r="D897" t="s">
        <v>226</v>
      </c>
      <c r="E897" t="s">
        <v>659</v>
      </c>
      <c r="F897">
        <v>77.430000000000007</v>
      </c>
      <c r="G897">
        <v>77.25</v>
      </c>
    </row>
    <row r="898" spans="1:7" hidden="1" x14ac:dyDescent="0.25">
      <c r="A898" t="s">
        <v>660</v>
      </c>
      <c r="B898">
        <v>41475</v>
      </c>
      <c r="C898" t="s">
        <v>1557</v>
      </c>
      <c r="D898" t="s">
        <v>226</v>
      </c>
      <c r="E898" t="s">
        <v>659</v>
      </c>
      <c r="F898">
        <v>66.069999999999993</v>
      </c>
      <c r="G898">
        <v>65.91</v>
      </c>
    </row>
    <row r="899" spans="1:7" hidden="1" x14ac:dyDescent="0.25">
      <c r="A899" t="s">
        <v>660</v>
      </c>
      <c r="B899">
        <v>41476</v>
      </c>
      <c r="C899" t="s">
        <v>1558</v>
      </c>
      <c r="D899" t="s">
        <v>226</v>
      </c>
      <c r="E899" t="s">
        <v>659</v>
      </c>
      <c r="F899">
        <v>144.66999999999999</v>
      </c>
      <c r="G899">
        <v>144.33000000000001</v>
      </c>
    </row>
    <row r="900" spans="1:7" hidden="1" x14ac:dyDescent="0.25">
      <c r="A900" t="s">
        <v>660</v>
      </c>
      <c r="B900">
        <v>2555</v>
      </c>
      <c r="C900" t="s">
        <v>1559</v>
      </c>
      <c r="D900" t="s">
        <v>226</v>
      </c>
      <c r="E900" t="s">
        <v>659</v>
      </c>
      <c r="F900">
        <v>1.43</v>
      </c>
      <c r="G900">
        <v>1.25</v>
      </c>
    </row>
    <row r="901" spans="1:7" hidden="1" x14ac:dyDescent="0.25">
      <c r="A901" t="s">
        <v>660</v>
      </c>
      <c r="B901">
        <v>2556</v>
      </c>
      <c r="C901" t="s">
        <v>1560</v>
      </c>
      <c r="D901" t="s">
        <v>226</v>
      </c>
      <c r="E901" t="s">
        <v>659</v>
      </c>
      <c r="F901">
        <v>1.48</v>
      </c>
      <c r="G901">
        <v>1.29</v>
      </c>
    </row>
    <row r="902" spans="1:7" hidden="1" x14ac:dyDescent="0.25">
      <c r="A902" t="s">
        <v>660</v>
      </c>
      <c r="B902">
        <v>2557</v>
      </c>
      <c r="C902" t="s">
        <v>1561</v>
      </c>
      <c r="D902" t="s">
        <v>226</v>
      </c>
      <c r="E902" t="s">
        <v>659</v>
      </c>
      <c r="F902">
        <v>3.14</v>
      </c>
      <c r="G902">
        <v>2.73</v>
      </c>
    </row>
    <row r="903" spans="1:7" hidden="1" x14ac:dyDescent="0.25">
      <c r="A903" t="s">
        <v>660</v>
      </c>
      <c r="B903">
        <v>10569</v>
      </c>
      <c r="C903" t="s">
        <v>1562</v>
      </c>
      <c r="D903" t="s">
        <v>226</v>
      </c>
      <c r="E903" t="s">
        <v>659</v>
      </c>
      <c r="F903">
        <v>3.14</v>
      </c>
      <c r="G903">
        <v>2.73</v>
      </c>
    </row>
    <row r="904" spans="1:7" hidden="1" x14ac:dyDescent="0.25">
      <c r="A904" t="s">
        <v>660</v>
      </c>
      <c r="B904">
        <v>39810</v>
      </c>
      <c r="C904" t="s">
        <v>1563</v>
      </c>
      <c r="D904" t="s">
        <v>226</v>
      </c>
      <c r="E904" t="s">
        <v>659</v>
      </c>
      <c r="F904">
        <v>39.21</v>
      </c>
      <c r="G904">
        <v>32.619999999999997</v>
      </c>
    </row>
    <row r="905" spans="1:7" hidden="1" x14ac:dyDescent="0.25">
      <c r="A905" t="s">
        <v>660</v>
      </c>
      <c r="B905">
        <v>39811</v>
      </c>
      <c r="C905" t="s">
        <v>1564</v>
      </c>
      <c r="D905" t="s">
        <v>226</v>
      </c>
      <c r="E905" t="s">
        <v>659</v>
      </c>
      <c r="F905">
        <v>47.96</v>
      </c>
      <c r="G905">
        <v>39.9</v>
      </c>
    </row>
    <row r="906" spans="1:7" hidden="1" x14ac:dyDescent="0.25">
      <c r="A906" t="s">
        <v>660</v>
      </c>
      <c r="B906">
        <v>39812</v>
      </c>
      <c r="C906" t="s">
        <v>1565</v>
      </c>
      <c r="D906" t="s">
        <v>226</v>
      </c>
      <c r="E906" t="s">
        <v>659</v>
      </c>
      <c r="F906">
        <v>78.87</v>
      </c>
      <c r="G906">
        <v>65.599999999999994</v>
      </c>
    </row>
    <row r="907" spans="1:7" hidden="1" x14ac:dyDescent="0.25">
      <c r="A907" t="s">
        <v>660</v>
      </c>
      <c r="B907">
        <v>43096</v>
      </c>
      <c r="C907" t="s">
        <v>1566</v>
      </c>
      <c r="D907" t="s">
        <v>226</v>
      </c>
      <c r="E907" t="s">
        <v>659</v>
      </c>
      <c r="F907">
        <v>261.43</v>
      </c>
      <c r="G907">
        <v>217.46</v>
      </c>
    </row>
    <row r="908" spans="1:7" hidden="1" x14ac:dyDescent="0.25">
      <c r="A908" t="s">
        <v>660</v>
      </c>
      <c r="B908">
        <v>43102</v>
      </c>
      <c r="C908" t="s">
        <v>1567</v>
      </c>
      <c r="D908" t="s">
        <v>226</v>
      </c>
      <c r="E908" t="s">
        <v>659</v>
      </c>
      <c r="F908">
        <v>158.96</v>
      </c>
      <c r="G908">
        <v>132.22999999999999</v>
      </c>
    </row>
    <row r="909" spans="1:7" hidden="1" x14ac:dyDescent="0.25">
      <c r="A909" t="s">
        <v>660</v>
      </c>
      <c r="B909">
        <v>43103</v>
      </c>
      <c r="C909" t="s">
        <v>1568</v>
      </c>
      <c r="D909" t="s">
        <v>226</v>
      </c>
      <c r="E909" t="s">
        <v>659</v>
      </c>
      <c r="F909">
        <v>234.07</v>
      </c>
      <c r="G909">
        <v>194.71</v>
      </c>
    </row>
    <row r="910" spans="1:7" hidden="1" x14ac:dyDescent="0.25">
      <c r="A910" t="s">
        <v>660</v>
      </c>
      <c r="B910">
        <v>43098</v>
      </c>
      <c r="C910" t="s">
        <v>1569</v>
      </c>
      <c r="D910" t="s">
        <v>226</v>
      </c>
      <c r="E910" t="s">
        <v>659</v>
      </c>
      <c r="F910">
        <v>88.55</v>
      </c>
      <c r="G910">
        <v>73.66</v>
      </c>
    </row>
    <row r="911" spans="1:7" hidden="1" x14ac:dyDescent="0.25">
      <c r="A911" t="s">
        <v>660</v>
      </c>
      <c r="B911">
        <v>43097</v>
      </c>
      <c r="C911" t="s">
        <v>1570</v>
      </c>
      <c r="D911" t="s">
        <v>226</v>
      </c>
      <c r="E911" t="s">
        <v>659</v>
      </c>
      <c r="F911">
        <v>52.46</v>
      </c>
      <c r="G911">
        <v>43.64</v>
      </c>
    </row>
    <row r="912" spans="1:7" hidden="1" x14ac:dyDescent="0.25">
      <c r="A912" t="s">
        <v>660</v>
      </c>
      <c r="B912">
        <v>43104</v>
      </c>
      <c r="C912" t="s">
        <v>1571</v>
      </c>
      <c r="D912" t="s">
        <v>226</v>
      </c>
      <c r="E912" t="s">
        <v>659</v>
      </c>
      <c r="F912">
        <v>620.59</v>
      </c>
      <c r="G912">
        <v>516.23</v>
      </c>
    </row>
    <row r="913" spans="1:7" hidden="1" x14ac:dyDescent="0.25">
      <c r="A913" t="s">
        <v>660</v>
      </c>
      <c r="B913">
        <v>39771</v>
      </c>
      <c r="C913" t="s">
        <v>1572</v>
      </c>
      <c r="D913" t="s">
        <v>226</v>
      </c>
      <c r="E913" t="s">
        <v>659</v>
      </c>
      <c r="F913">
        <v>30.14</v>
      </c>
      <c r="G913">
        <v>26.29</v>
      </c>
    </row>
    <row r="914" spans="1:7" hidden="1" x14ac:dyDescent="0.25">
      <c r="A914" t="s">
        <v>660</v>
      </c>
      <c r="B914">
        <v>39772</v>
      </c>
      <c r="C914" t="s">
        <v>1573</v>
      </c>
      <c r="D914" t="s">
        <v>226</v>
      </c>
      <c r="E914" t="s">
        <v>659</v>
      </c>
      <c r="F914">
        <v>59.25</v>
      </c>
      <c r="G914">
        <v>51.67</v>
      </c>
    </row>
    <row r="915" spans="1:7" hidden="1" x14ac:dyDescent="0.25">
      <c r="A915" t="s">
        <v>660</v>
      </c>
      <c r="B915">
        <v>39773</v>
      </c>
      <c r="C915" t="s">
        <v>1574</v>
      </c>
      <c r="D915" t="s">
        <v>226</v>
      </c>
      <c r="E915" t="s">
        <v>659</v>
      </c>
      <c r="F915">
        <v>95.23</v>
      </c>
      <c r="G915">
        <v>83.05</v>
      </c>
    </row>
    <row r="916" spans="1:7" hidden="1" x14ac:dyDescent="0.25">
      <c r="A916" t="s">
        <v>660</v>
      </c>
      <c r="B916">
        <v>39774</v>
      </c>
      <c r="C916" t="s">
        <v>1575</v>
      </c>
      <c r="D916" t="s">
        <v>226</v>
      </c>
      <c r="E916" t="s">
        <v>659</v>
      </c>
      <c r="F916">
        <v>142.44999999999999</v>
      </c>
      <c r="G916">
        <v>124.22</v>
      </c>
    </row>
    <row r="917" spans="1:7" hidden="1" x14ac:dyDescent="0.25">
      <c r="A917" t="s">
        <v>660</v>
      </c>
      <c r="B917">
        <v>39775</v>
      </c>
      <c r="C917" t="s">
        <v>1576</v>
      </c>
      <c r="D917" t="s">
        <v>226</v>
      </c>
      <c r="E917" t="s">
        <v>659</v>
      </c>
      <c r="F917">
        <v>190.11</v>
      </c>
      <c r="G917">
        <v>165.8</v>
      </c>
    </row>
    <row r="918" spans="1:7" hidden="1" x14ac:dyDescent="0.25">
      <c r="A918" t="s">
        <v>660</v>
      </c>
      <c r="B918">
        <v>39776</v>
      </c>
      <c r="C918" t="s">
        <v>1577</v>
      </c>
      <c r="D918" t="s">
        <v>226</v>
      </c>
      <c r="E918" t="s">
        <v>659</v>
      </c>
      <c r="F918">
        <v>229.76</v>
      </c>
      <c r="G918">
        <v>200.37</v>
      </c>
    </row>
    <row r="919" spans="1:7" hidden="1" x14ac:dyDescent="0.25">
      <c r="A919" t="s">
        <v>660</v>
      </c>
      <c r="B919">
        <v>39777</v>
      </c>
      <c r="C919" t="s">
        <v>1578</v>
      </c>
      <c r="D919" t="s">
        <v>226</v>
      </c>
      <c r="E919" t="s">
        <v>659</v>
      </c>
      <c r="F919">
        <v>291.20999999999998</v>
      </c>
      <c r="G919">
        <v>253.96</v>
      </c>
    </row>
    <row r="920" spans="1:7" hidden="1" x14ac:dyDescent="0.25">
      <c r="A920" t="s">
        <v>660</v>
      </c>
      <c r="B920">
        <v>20254</v>
      </c>
      <c r="C920" t="s">
        <v>1579</v>
      </c>
      <c r="D920" t="s">
        <v>226</v>
      </c>
      <c r="E920" t="s">
        <v>659</v>
      </c>
      <c r="F920">
        <v>21.14</v>
      </c>
      <c r="G920">
        <v>18.43</v>
      </c>
    </row>
    <row r="921" spans="1:7" hidden="1" x14ac:dyDescent="0.25">
      <c r="A921" t="s">
        <v>660</v>
      </c>
      <c r="B921">
        <v>20253</v>
      </c>
      <c r="C921" t="s">
        <v>1580</v>
      </c>
      <c r="D921" t="s">
        <v>226</v>
      </c>
      <c r="E921" t="s">
        <v>659</v>
      </c>
      <c r="F921">
        <v>69.41</v>
      </c>
      <c r="G921">
        <v>60.53</v>
      </c>
    </row>
    <row r="922" spans="1:7" hidden="1" x14ac:dyDescent="0.25">
      <c r="A922" t="s">
        <v>660</v>
      </c>
      <c r="B922">
        <v>1872</v>
      </c>
      <c r="C922" t="s">
        <v>1581</v>
      </c>
      <c r="D922" t="s">
        <v>226</v>
      </c>
      <c r="E922" t="s">
        <v>659</v>
      </c>
      <c r="F922">
        <v>2.89</v>
      </c>
      <c r="G922">
        <v>1.88</v>
      </c>
    </row>
    <row r="923" spans="1:7" hidden="1" x14ac:dyDescent="0.25">
      <c r="A923" t="s">
        <v>660</v>
      </c>
      <c r="B923">
        <v>1873</v>
      </c>
      <c r="C923" t="s">
        <v>1582</v>
      </c>
      <c r="D923" t="s">
        <v>226</v>
      </c>
      <c r="E923" t="s">
        <v>659</v>
      </c>
      <c r="F923">
        <v>5.75</v>
      </c>
      <c r="G923">
        <v>3.73</v>
      </c>
    </row>
    <row r="924" spans="1:7" x14ac:dyDescent="0.25">
      <c r="A924" t="s">
        <v>660</v>
      </c>
      <c r="B924">
        <v>14055</v>
      </c>
      <c r="C924" t="s">
        <v>1583</v>
      </c>
      <c r="D924" t="s">
        <v>226</v>
      </c>
      <c r="E924" t="s">
        <v>659</v>
      </c>
      <c r="F924">
        <v>634.26</v>
      </c>
      <c r="G924">
        <v>553.13</v>
      </c>
    </row>
    <row r="925" spans="1:7" x14ac:dyDescent="0.25">
      <c r="A925" t="s">
        <v>660</v>
      </c>
      <c r="B925">
        <v>11247</v>
      </c>
      <c r="C925" t="s">
        <v>1584</v>
      </c>
      <c r="D925" t="s">
        <v>226</v>
      </c>
      <c r="E925" t="s">
        <v>659</v>
      </c>
      <c r="F925" s="538">
        <v>1334.63</v>
      </c>
      <c r="G925" s="538">
        <v>1163.9100000000001</v>
      </c>
    </row>
    <row r="926" spans="1:7" x14ac:dyDescent="0.25">
      <c r="A926" t="s">
        <v>660</v>
      </c>
      <c r="B926">
        <v>11250</v>
      </c>
      <c r="C926" t="s">
        <v>1585</v>
      </c>
      <c r="D926" t="s">
        <v>226</v>
      </c>
      <c r="E926" t="s">
        <v>659</v>
      </c>
      <c r="F926">
        <v>57.46</v>
      </c>
      <c r="G926">
        <v>50.11</v>
      </c>
    </row>
    <row r="927" spans="1:7" x14ac:dyDescent="0.25">
      <c r="A927" t="s">
        <v>660</v>
      </c>
      <c r="B927">
        <v>11249</v>
      </c>
      <c r="C927" t="s">
        <v>1586</v>
      </c>
      <c r="D927" t="s">
        <v>226</v>
      </c>
      <c r="E927" t="s">
        <v>659</v>
      </c>
      <c r="F927" s="538">
        <v>2607</v>
      </c>
      <c r="G927" s="538">
        <v>2273.52</v>
      </c>
    </row>
    <row r="928" spans="1:7" x14ac:dyDescent="0.25">
      <c r="A928" t="s">
        <v>660</v>
      </c>
      <c r="B928">
        <v>11251</v>
      </c>
      <c r="C928" t="s">
        <v>1587</v>
      </c>
      <c r="D928" t="s">
        <v>226</v>
      </c>
      <c r="E928" t="s">
        <v>659</v>
      </c>
      <c r="F928">
        <v>127.27</v>
      </c>
      <c r="G928">
        <v>110.99</v>
      </c>
    </row>
    <row r="929" spans="1:7" x14ac:dyDescent="0.25">
      <c r="A929" t="s">
        <v>660</v>
      </c>
      <c r="B929">
        <v>11253</v>
      </c>
      <c r="C929" t="s">
        <v>1588</v>
      </c>
      <c r="D929" t="s">
        <v>226</v>
      </c>
      <c r="E929" t="s">
        <v>659</v>
      </c>
      <c r="F929">
        <v>210.9</v>
      </c>
      <c r="G929">
        <v>183.92</v>
      </c>
    </row>
    <row r="930" spans="1:7" x14ac:dyDescent="0.25">
      <c r="A930" t="s">
        <v>660</v>
      </c>
      <c r="B930">
        <v>11255</v>
      </c>
      <c r="C930" t="s">
        <v>1589</v>
      </c>
      <c r="D930" t="s">
        <v>226</v>
      </c>
      <c r="E930" t="s">
        <v>659</v>
      </c>
      <c r="F930">
        <v>315.29000000000002</v>
      </c>
      <c r="G930">
        <v>274.95999999999998</v>
      </c>
    </row>
    <row r="931" spans="1:7" x14ac:dyDescent="0.25">
      <c r="A931" t="s">
        <v>660</v>
      </c>
      <c r="B931">
        <v>11256</v>
      </c>
      <c r="C931" t="s">
        <v>1590</v>
      </c>
      <c r="D931" t="s">
        <v>226</v>
      </c>
      <c r="E931" t="s">
        <v>659</v>
      </c>
      <c r="F931">
        <v>394.94</v>
      </c>
      <c r="G931">
        <v>344.42</v>
      </c>
    </row>
    <row r="932" spans="1:7" x14ac:dyDescent="0.25">
      <c r="A932" t="s">
        <v>660</v>
      </c>
      <c r="B932">
        <v>39693</v>
      </c>
      <c r="C932" t="s">
        <v>1591</v>
      </c>
      <c r="D932" t="s">
        <v>226</v>
      </c>
      <c r="E932" t="s">
        <v>659</v>
      </c>
      <c r="F932" s="538">
        <v>2480.4</v>
      </c>
      <c r="G932" s="538">
        <v>2163.12</v>
      </c>
    </row>
    <row r="933" spans="1:7" x14ac:dyDescent="0.25">
      <c r="A933" t="s">
        <v>660</v>
      </c>
      <c r="B933">
        <v>39692</v>
      </c>
      <c r="C933" t="s">
        <v>1592</v>
      </c>
      <c r="D933" t="s">
        <v>226</v>
      </c>
      <c r="E933" t="s">
        <v>659</v>
      </c>
      <c r="F933">
        <v>793.67</v>
      </c>
      <c r="G933">
        <v>692.15</v>
      </c>
    </row>
    <row r="934" spans="1:7" x14ac:dyDescent="0.25">
      <c r="A934" t="s">
        <v>660</v>
      </c>
      <c r="B934">
        <v>1062</v>
      </c>
      <c r="C934" t="s">
        <v>1593</v>
      </c>
      <c r="D934" t="s">
        <v>226</v>
      </c>
      <c r="E934" t="s">
        <v>659</v>
      </c>
      <c r="F934">
        <v>251.53</v>
      </c>
      <c r="G934">
        <v>219.35</v>
      </c>
    </row>
    <row r="935" spans="1:7" x14ac:dyDescent="0.25">
      <c r="A935" t="s">
        <v>660</v>
      </c>
      <c r="B935">
        <v>39686</v>
      </c>
      <c r="C935" t="s">
        <v>1594</v>
      </c>
      <c r="D935" t="s">
        <v>226</v>
      </c>
      <c r="E935" t="s">
        <v>659</v>
      </c>
      <c r="F935">
        <v>407.28</v>
      </c>
      <c r="G935">
        <v>355.18</v>
      </c>
    </row>
    <row r="936" spans="1:7" x14ac:dyDescent="0.25">
      <c r="A936" t="s">
        <v>660</v>
      </c>
      <c r="B936">
        <v>43095</v>
      </c>
      <c r="C936" t="s">
        <v>1595</v>
      </c>
      <c r="D936" t="s">
        <v>226</v>
      </c>
      <c r="E936" t="s">
        <v>659</v>
      </c>
      <c r="F936">
        <v>172.27</v>
      </c>
      <c r="G936">
        <v>143.30000000000001</v>
      </c>
    </row>
    <row r="937" spans="1:7" hidden="1" x14ac:dyDescent="0.25">
      <c r="A937" t="s">
        <v>660</v>
      </c>
      <c r="B937">
        <v>1871</v>
      </c>
      <c r="C937" t="s">
        <v>1596</v>
      </c>
      <c r="D937" t="s">
        <v>226</v>
      </c>
      <c r="E937" t="s">
        <v>659</v>
      </c>
      <c r="F937">
        <v>5.18</v>
      </c>
      <c r="G937">
        <v>3.36</v>
      </c>
    </row>
    <row r="938" spans="1:7" hidden="1" x14ac:dyDescent="0.25">
      <c r="A938" t="s">
        <v>660</v>
      </c>
      <c r="B938">
        <v>12001</v>
      </c>
      <c r="C938" t="s">
        <v>1597</v>
      </c>
      <c r="D938" t="s">
        <v>226</v>
      </c>
      <c r="E938" t="s">
        <v>659</v>
      </c>
      <c r="F938">
        <v>7.48</v>
      </c>
      <c r="G938">
        <v>4.8600000000000003</v>
      </c>
    </row>
    <row r="939" spans="1:7" hidden="1" x14ac:dyDescent="0.25">
      <c r="A939" t="s">
        <v>660</v>
      </c>
      <c r="B939">
        <v>11882</v>
      </c>
      <c r="C939" t="s">
        <v>1598</v>
      </c>
      <c r="D939" t="s">
        <v>226</v>
      </c>
      <c r="E939" t="s">
        <v>659</v>
      </c>
      <c r="F939">
        <v>120.46</v>
      </c>
      <c r="G939">
        <v>155.83000000000001</v>
      </c>
    </row>
    <row r="940" spans="1:7" hidden="1" x14ac:dyDescent="0.25">
      <c r="A940" t="s">
        <v>660</v>
      </c>
      <c r="B940">
        <v>1068</v>
      </c>
      <c r="C940" t="s">
        <v>1599</v>
      </c>
      <c r="D940" t="s">
        <v>226</v>
      </c>
      <c r="E940" t="s">
        <v>659</v>
      </c>
      <c r="F940" s="538">
        <v>1659.09</v>
      </c>
      <c r="G940" s="538">
        <v>1446.86</v>
      </c>
    </row>
    <row r="941" spans="1:7" hidden="1" x14ac:dyDescent="0.25">
      <c r="A941" t="s">
        <v>660</v>
      </c>
      <c r="B941">
        <v>39690</v>
      </c>
      <c r="C941" t="s">
        <v>1600</v>
      </c>
      <c r="D941" t="s">
        <v>226</v>
      </c>
      <c r="E941" t="s">
        <v>659</v>
      </c>
      <c r="F941" s="538">
        <v>2783.41</v>
      </c>
      <c r="G941" s="538">
        <v>2427.36</v>
      </c>
    </row>
    <row r="942" spans="1:7" hidden="1" x14ac:dyDescent="0.25">
      <c r="A942" t="s">
        <v>660</v>
      </c>
      <c r="B942">
        <v>39691</v>
      </c>
      <c r="C942" t="s">
        <v>1601</v>
      </c>
      <c r="D942" t="s">
        <v>226</v>
      </c>
      <c r="E942" t="s">
        <v>659</v>
      </c>
      <c r="F942" s="538">
        <v>3500.75</v>
      </c>
      <c r="G942" s="538">
        <v>3052.94</v>
      </c>
    </row>
    <row r="943" spans="1:7" x14ac:dyDescent="0.25">
      <c r="A943" t="s">
        <v>660</v>
      </c>
      <c r="B943">
        <v>39808</v>
      </c>
      <c r="C943" t="s">
        <v>1602</v>
      </c>
      <c r="D943" t="s">
        <v>226</v>
      </c>
      <c r="E943" t="s">
        <v>659</v>
      </c>
      <c r="F943">
        <v>89.94</v>
      </c>
      <c r="G943">
        <v>74.81</v>
      </c>
    </row>
    <row r="944" spans="1:7" x14ac:dyDescent="0.25">
      <c r="A944" t="s">
        <v>660</v>
      </c>
      <c r="B944">
        <v>39809</v>
      </c>
      <c r="C944" t="s">
        <v>1603</v>
      </c>
      <c r="D944" t="s">
        <v>226</v>
      </c>
      <c r="E944" t="s">
        <v>659</v>
      </c>
      <c r="F944">
        <v>213.32</v>
      </c>
      <c r="G944">
        <v>177.45</v>
      </c>
    </row>
    <row r="945" spans="1:7" hidden="1" x14ac:dyDescent="0.25">
      <c r="A945" t="s">
        <v>660</v>
      </c>
      <c r="B945">
        <v>43439</v>
      </c>
      <c r="C945" t="s">
        <v>1604</v>
      </c>
      <c r="D945" t="s">
        <v>226</v>
      </c>
      <c r="E945" t="s">
        <v>659</v>
      </c>
      <c r="F945">
        <v>552.94000000000005</v>
      </c>
      <c r="G945">
        <v>715.29</v>
      </c>
    </row>
    <row r="946" spans="1:7" hidden="1" x14ac:dyDescent="0.25">
      <c r="A946" t="s">
        <v>660</v>
      </c>
      <c r="B946">
        <v>5103</v>
      </c>
      <c r="C946" t="s">
        <v>1605</v>
      </c>
      <c r="D946" t="s">
        <v>226</v>
      </c>
      <c r="E946" t="s">
        <v>659</v>
      </c>
      <c r="F946">
        <v>22.98</v>
      </c>
      <c r="G946">
        <v>22.93</v>
      </c>
    </row>
    <row r="947" spans="1:7" hidden="1" x14ac:dyDescent="0.25">
      <c r="A947" t="s">
        <v>660</v>
      </c>
      <c r="B947">
        <v>11880</v>
      </c>
      <c r="C947" t="s">
        <v>1606</v>
      </c>
      <c r="D947" t="s">
        <v>226</v>
      </c>
      <c r="E947" t="s">
        <v>659</v>
      </c>
      <c r="F947">
        <v>96.66</v>
      </c>
      <c r="G947">
        <v>96.43</v>
      </c>
    </row>
    <row r="948" spans="1:7" hidden="1" x14ac:dyDescent="0.25">
      <c r="A948" t="s">
        <v>660</v>
      </c>
      <c r="B948">
        <v>11714</v>
      </c>
      <c r="C948" t="s">
        <v>1607</v>
      </c>
      <c r="D948" t="s">
        <v>226</v>
      </c>
      <c r="E948" t="s">
        <v>659</v>
      </c>
      <c r="F948">
        <v>65.849999999999994</v>
      </c>
      <c r="G948">
        <v>65.7</v>
      </c>
    </row>
    <row r="949" spans="1:7" hidden="1" x14ac:dyDescent="0.25">
      <c r="A949" t="s">
        <v>660</v>
      </c>
      <c r="B949">
        <v>11712</v>
      </c>
      <c r="C949" t="s">
        <v>1608</v>
      </c>
      <c r="D949" t="s">
        <v>226</v>
      </c>
      <c r="E949" t="s">
        <v>172</v>
      </c>
      <c r="F949">
        <v>43</v>
      </c>
      <c r="G949">
        <v>42.9</v>
      </c>
    </row>
    <row r="950" spans="1:7" hidden="1" x14ac:dyDescent="0.25">
      <c r="A950" t="s">
        <v>660</v>
      </c>
      <c r="B950">
        <v>11717</v>
      </c>
      <c r="C950" t="s">
        <v>1609</v>
      </c>
      <c r="D950" t="s">
        <v>226</v>
      </c>
      <c r="E950" t="s">
        <v>659</v>
      </c>
      <c r="F950">
        <v>51.83</v>
      </c>
      <c r="G950">
        <v>51.71</v>
      </c>
    </row>
    <row r="951" spans="1:7" x14ac:dyDescent="0.25">
      <c r="A951" t="s">
        <v>660</v>
      </c>
      <c r="B951">
        <v>1106</v>
      </c>
      <c r="C951" t="s">
        <v>1610</v>
      </c>
      <c r="D951" t="s">
        <v>708</v>
      </c>
      <c r="E951" t="s">
        <v>172</v>
      </c>
      <c r="F951">
        <v>1.21</v>
      </c>
      <c r="G951">
        <v>0.95</v>
      </c>
    </row>
    <row r="952" spans="1:7" x14ac:dyDescent="0.25">
      <c r="A952" t="s">
        <v>660</v>
      </c>
      <c r="B952">
        <v>11161</v>
      </c>
      <c r="C952" t="s">
        <v>1611</v>
      </c>
      <c r="D952" t="s">
        <v>708</v>
      </c>
      <c r="E952" t="s">
        <v>659</v>
      </c>
      <c r="F952">
        <v>2.02</v>
      </c>
      <c r="G952">
        <v>1.58</v>
      </c>
    </row>
    <row r="953" spans="1:7" x14ac:dyDescent="0.25">
      <c r="A953" t="s">
        <v>660</v>
      </c>
      <c r="B953">
        <v>1107</v>
      </c>
      <c r="C953" t="s">
        <v>1612</v>
      </c>
      <c r="D953" t="s">
        <v>708</v>
      </c>
      <c r="E953" t="s">
        <v>659</v>
      </c>
      <c r="F953">
        <v>1.03</v>
      </c>
      <c r="G953">
        <v>0.81</v>
      </c>
    </row>
    <row r="954" spans="1:7" x14ac:dyDescent="0.25">
      <c r="A954" t="s">
        <v>660</v>
      </c>
      <c r="B954">
        <v>44479</v>
      </c>
      <c r="C954" t="s">
        <v>1613</v>
      </c>
      <c r="D954" t="s">
        <v>708</v>
      </c>
      <c r="E954" t="s">
        <v>659</v>
      </c>
      <c r="F954">
        <v>0.19</v>
      </c>
      <c r="G954">
        <v>0.12</v>
      </c>
    </row>
    <row r="955" spans="1:7" x14ac:dyDescent="0.25">
      <c r="A955" t="s">
        <v>807</v>
      </c>
      <c r="B955">
        <v>4759</v>
      </c>
      <c r="C955" t="s">
        <v>1614</v>
      </c>
      <c r="D955" t="s">
        <v>809</v>
      </c>
      <c r="E955" t="s">
        <v>659</v>
      </c>
      <c r="F955">
        <v>7.94</v>
      </c>
      <c r="G955">
        <v>12.1</v>
      </c>
    </row>
    <row r="956" spans="1:7" x14ac:dyDescent="0.25">
      <c r="A956" t="s">
        <v>807</v>
      </c>
      <c r="B956">
        <v>41068</v>
      </c>
      <c r="C956" t="s">
        <v>1615</v>
      </c>
      <c r="D956" t="s">
        <v>811</v>
      </c>
      <c r="E956" t="s">
        <v>659</v>
      </c>
      <c r="F956" s="538">
        <v>1748.79</v>
      </c>
      <c r="G956" s="538">
        <v>2664.18</v>
      </c>
    </row>
    <row r="957" spans="1:7" x14ac:dyDescent="0.25">
      <c r="A957" t="s">
        <v>660</v>
      </c>
      <c r="B957">
        <v>12618</v>
      </c>
      <c r="C957" t="s">
        <v>1616</v>
      </c>
      <c r="D957" t="s">
        <v>226</v>
      </c>
      <c r="E957" t="s">
        <v>659</v>
      </c>
      <c r="F957">
        <v>175.34</v>
      </c>
      <c r="G957">
        <v>181.27</v>
      </c>
    </row>
    <row r="958" spans="1:7" x14ac:dyDescent="0.25">
      <c r="A958" t="s">
        <v>660</v>
      </c>
      <c r="B958">
        <v>1108</v>
      </c>
      <c r="C958" t="s">
        <v>1617</v>
      </c>
      <c r="D958" t="s">
        <v>704</v>
      </c>
      <c r="E958" t="s">
        <v>659</v>
      </c>
      <c r="F958">
        <v>27.05</v>
      </c>
      <c r="G958">
        <v>23.59</v>
      </c>
    </row>
    <row r="959" spans="1:7" x14ac:dyDescent="0.25">
      <c r="A959" t="s">
        <v>660</v>
      </c>
      <c r="B959">
        <v>1117</v>
      </c>
      <c r="C959" t="s">
        <v>1618</v>
      </c>
      <c r="D959" t="s">
        <v>704</v>
      </c>
      <c r="E959" t="s">
        <v>659</v>
      </c>
      <c r="F959">
        <v>27.27</v>
      </c>
      <c r="G959">
        <v>23.78</v>
      </c>
    </row>
    <row r="960" spans="1:7" x14ac:dyDescent="0.25">
      <c r="A960" t="s">
        <v>660</v>
      </c>
      <c r="B960">
        <v>1118</v>
      </c>
      <c r="C960" t="s">
        <v>1619</v>
      </c>
      <c r="D960" t="s">
        <v>704</v>
      </c>
      <c r="E960" t="s">
        <v>659</v>
      </c>
      <c r="F960">
        <v>32.229999999999997</v>
      </c>
      <c r="G960">
        <v>28.1</v>
      </c>
    </row>
    <row r="961" spans="1:7" x14ac:dyDescent="0.25">
      <c r="A961" t="s">
        <v>660</v>
      </c>
      <c r="B961">
        <v>1110</v>
      </c>
      <c r="C961" t="s">
        <v>1620</v>
      </c>
      <c r="D961" t="s">
        <v>704</v>
      </c>
      <c r="E961" t="s">
        <v>659</v>
      </c>
      <c r="F961">
        <v>32.229999999999997</v>
      </c>
      <c r="G961">
        <v>28.1</v>
      </c>
    </row>
    <row r="962" spans="1:7" x14ac:dyDescent="0.25">
      <c r="A962" t="s">
        <v>660</v>
      </c>
      <c r="B962">
        <v>40784</v>
      </c>
      <c r="C962" t="s">
        <v>1621</v>
      </c>
      <c r="D962" t="s">
        <v>704</v>
      </c>
      <c r="E962" t="s">
        <v>659</v>
      </c>
      <c r="F962">
        <v>88.89</v>
      </c>
      <c r="G962">
        <v>77.52</v>
      </c>
    </row>
    <row r="963" spans="1:7" x14ac:dyDescent="0.25">
      <c r="A963" t="s">
        <v>660</v>
      </c>
      <c r="B963">
        <v>40782</v>
      </c>
      <c r="C963" t="s">
        <v>1622</v>
      </c>
      <c r="D963" t="s">
        <v>704</v>
      </c>
      <c r="E963" t="s">
        <v>659</v>
      </c>
      <c r="F963">
        <v>34.880000000000003</v>
      </c>
      <c r="G963">
        <v>30.42</v>
      </c>
    </row>
    <row r="964" spans="1:7" x14ac:dyDescent="0.25">
      <c r="A964" t="s">
        <v>660</v>
      </c>
      <c r="B964">
        <v>40783</v>
      </c>
      <c r="C964" t="s">
        <v>1623</v>
      </c>
      <c r="D964" t="s">
        <v>704</v>
      </c>
      <c r="E964" t="s">
        <v>659</v>
      </c>
      <c r="F964">
        <v>45.44</v>
      </c>
      <c r="G964">
        <v>39.630000000000003</v>
      </c>
    </row>
    <row r="965" spans="1:7" x14ac:dyDescent="0.25">
      <c r="A965" t="s">
        <v>660</v>
      </c>
      <c r="B965">
        <v>1109</v>
      </c>
      <c r="C965" t="s">
        <v>1624</v>
      </c>
      <c r="D965" t="s">
        <v>704</v>
      </c>
      <c r="E965" t="s">
        <v>659</v>
      </c>
      <c r="F965">
        <v>27.05</v>
      </c>
      <c r="G965">
        <v>23.59</v>
      </c>
    </row>
    <row r="966" spans="1:7" x14ac:dyDescent="0.25">
      <c r="A966" t="s">
        <v>660</v>
      </c>
      <c r="B966">
        <v>1119</v>
      </c>
      <c r="C966" t="s">
        <v>1625</v>
      </c>
      <c r="D966" t="s">
        <v>704</v>
      </c>
      <c r="E966" t="s">
        <v>659</v>
      </c>
      <c r="F966">
        <v>17.440000000000001</v>
      </c>
      <c r="G966">
        <v>15.21</v>
      </c>
    </row>
    <row r="967" spans="1:7" x14ac:dyDescent="0.25">
      <c r="A967" t="s">
        <v>660</v>
      </c>
      <c r="B967">
        <v>13115</v>
      </c>
      <c r="C967" t="s">
        <v>1626</v>
      </c>
      <c r="D967" t="s">
        <v>704</v>
      </c>
      <c r="E967" t="s">
        <v>659</v>
      </c>
      <c r="F967">
        <v>37.49</v>
      </c>
      <c r="G967">
        <v>27.56</v>
      </c>
    </row>
    <row r="968" spans="1:7" x14ac:dyDescent="0.25">
      <c r="A968" t="s">
        <v>660</v>
      </c>
      <c r="B968">
        <v>10541</v>
      </c>
      <c r="C968" t="s">
        <v>1627</v>
      </c>
      <c r="D968" t="s">
        <v>704</v>
      </c>
      <c r="E968" t="s">
        <v>659</v>
      </c>
      <c r="F968">
        <v>45.82</v>
      </c>
      <c r="G968">
        <v>33.68</v>
      </c>
    </row>
    <row r="969" spans="1:7" x14ac:dyDescent="0.25">
      <c r="A969" t="s">
        <v>660</v>
      </c>
      <c r="B969">
        <v>10542</v>
      </c>
      <c r="C969" t="s">
        <v>1628</v>
      </c>
      <c r="D969" t="s">
        <v>704</v>
      </c>
      <c r="E969" t="s">
        <v>659</v>
      </c>
      <c r="F969">
        <v>59.92</v>
      </c>
      <c r="G969">
        <v>44.05</v>
      </c>
    </row>
    <row r="970" spans="1:7" x14ac:dyDescent="0.25">
      <c r="A970" t="s">
        <v>660</v>
      </c>
      <c r="B970">
        <v>10543</v>
      </c>
      <c r="C970" t="s">
        <v>1629</v>
      </c>
      <c r="D970" t="s">
        <v>704</v>
      </c>
      <c r="E970" t="s">
        <v>659</v>
      </c>
      <c r="F970">
        <v>97.22</v>
      </c>
      <c r="G970">
        <v>71.47</v>
      </c>
    </row>
    <row r="971" spans="1:7" x14ac:dyDescent="0.25">
      <c r="A971" t="s">
        <v>660</v>
      </c>
      <c r="B971">
        <v>10544</v>
      </c>
      <c r="C971" t="s">
        <v>1630</v>
      </c>
      <c r="D971" t="s">
        <v>704</v>
      </c>
      <c r="E971" t="s">
        <v>659</v>
      </c>
      <c r="F971">
        <v>125.75</v>
      </c>
      <c r="G971">
        <v>92.44</v>
      </c>
    </row>
    <row r="972" spans="1:7" x14ac:dyDescent="0.25">
      <c r="A972" t="s">
        <v>660</v>
      </c>
      <c r="B972">
        <v>10545</v>
      </c>
      <c r="C972" t="s">
        <v>1631</v>
      </c>
      <c r="D972" t="s">
        <v>704</v>
      </c>
      <c r="E972" t="s">
        <v>659</v>
      </c>
      <c r="F972">
        <v>234.99</v>
      </c>
      <c r="G972">
        <v>172.75</v>
      </c>
    </row>
    <row r="973" spans="1:7" hidden="1" x14ac:dyDescent="0.25">
      <c r="A973" t="s">
        <v>660</v>
      </c>
      <c r="B973">
        <v>38365</v>
      </c>
      <c r="C973" t="s">
        <v>1632</v>
      </c>
      <c r="D973" t="s">
        <v>498</v>
      </c>
      <c r="E973" t="s">
        <v>659</v>
      </c>
      <c r="F973">
        <v>1.99</v>
      </c>
      <c r="G973">
        <v>2.1800000000000002</v>
      </c>
    </row>
    <row r="974" spans="1:7" hidden="1" x14ac:dyDescent="0.25">
      <c r="A974" t="s">
        <v>842</v>
      </c>
      <c r="B974">
        <v>44056</v>
      </c>
      <c r="C974" t="s">
        <v>1633</v>
      </c>
      <c r="D974" t="s">
        <v>226</v>
      </c>
      <c r="E974" t="s">
        <v>659</v>
      </c>
      <c r="F974" s="538">
        <v>462385.32</v>
      </c>
      <c r="G974" s="538">
        <v>471700.88</v>
      </c>
    </row>
    <row r="975" spans="1:7" hidden="1" x14ac:dyDescent="0.25">
      <c r="A975" t="s">
        <v>842</v>
      </c>
      <c r="B975">
        <v>44057</v>
      </c>
      <c r="C975" t="s">
        <v>1634</v>
      </c>
      <c r="D975" t="s">
        <v>226</v>
      </c>
      <c r="E975" t="s">
        <v>172</v>
      </c>
      <c r="F975" s="538">
        <v>493507.43</v>
      </c>
      <c r="G975" s="538">
        <v>503450</v>
      </c>
    </row>
    <row r="976" spans="1:7" hidden="1" x14ac:dyDescent="0.25">
      <c r="A976" t="s">
        <v>842</v>
      </c>
      <c r="B976">
        <v>37754</v>
      </c>
      <c r="C976" t="s">
        <v>1635</v>
      </c>
      <c r="D976" t="s">
        <v>226</v>
      </c>
      <c r="E976" t="s">
        <v>659</v>
      </c>
      <c r="F976" s="538">
        <v>510224.45</v>
      </c>
      <c r="G976" s="538">
        <v>520503.81</v>
      </c>
    </row>
    <row r="977" spans="1:7" hidden="1" x14ac:dyDescent="0.25">
      <c r="A977" t="s">
        <v>842</v>
      </c>
      <c r="B977">
        <v>37757</v>
      </c>
      <c r="C977" t="s">
        <v>1636</v>
      </c>
      <c r="D977" t="s">
        <v>226</v>
      </c>
      <c r="E977" t="s">
        <v>659</v>
      </c>
      <c r="F977" s="538">
        <v>569089.67000000004</v>
      </c>
      <c r="G977" s="538">
        <v>580554.97</v>
      </c>
    </row>
    <row r="978" spans="1:7" hidden="1" x14ac:dyDescent="0.25">
      <c r="A978" t="s">
        <v>842</v>
      </c>
      <c r="B978">
        <v>44058</v>
      </c>
      <c r="C978" t="s">
        <v>1637</v>
      </c>
      <c r="D978" t="s">
        <v>226</v>
      </c>
      <c r="E978" t="s">
        <v>659</v>
      </c>
      <c r="F978" s="538">
        <v>537967.56000000006</v>
      </c>
      <c r="G978" s="538">
        <v>548805.86</v>
      </c>
    </row>
    <row r="979" spans="1:7" hidden="1" x14ac:dyDescent="0.25">
      <c r="A979" t="s">
        <v>842</v>
      </c>
      <c r="B979">
        <v>37752</v>
      </c>
      <c r="C979" t="s">
        <v>1638</v>
      </c>
      <c r="D979" t="s">
        <v>226</v>
      </c>
      <c r="E979" t="s">
        <v>659</v>
      </c>
      <c r="F979" s="538">
        <v>560197.6</v>
      </c>
      <c r="G979" s="538">
        <v>571483.76</v>
      </c>
    </row>
    <row r="980" spans="1:7" hidden="1" x14ac:dyDescent="0.25">
      <c r="A980" t="s">
        <v>842</v>
      </c>
      <c r="B980">
        <v>44059</v>
      </c>
      <c r="C980" t="s">
        <v>1639</v>
      </c>
      <c r="D980" t="s">
        <v>226</v>
      </c>
      <c r="E980" t="s">
        <v>659</v>
      </c>
      <c r="F980" s="538">
        <v>442822.88</v>
      </c>
      <c r="G980" s="538">
        <v>451744.32</v>
      </c>
    </row>
    <row r="981" spans="1:7" hidden="1" x14ac:dyDescent="0.25">
      <c r="A981" t="s">
        <v>842</v>
      </c>
      <c r="B981">
        <v>37750</v>
      </c>
      <c r="C981" t="s">
        <v>1640</v>
      </c>
      <c r="D981" t="s">
        <v>226</v>
      </c>
      <c r="E981" t="s">
        <v>659</v>
      </c>
      <c r="F981" s="538">
        <v>443712.08</v>
      </c>
      <c r="G981" s="538">
        <v>452651.44</v>
      </c>
    </row>
    <row r="982" spans="1:7" hidden="1" x14ac:dyDescent="0.25">
      <c r="A982" t="s">
        <v>842</v>
      </c>
      <c r="B982">
        <v>37758</v>
      </c>
      <c r="C982" t="s">
        <v>1641</v>
      </c>
      <c r="D982" t="s">
        <v>226</v>
      </c>
      <c r="E982" t="s">
        <v>659</v>
      </c>
      <c r="F982" s="538">
        <v>706026.83</v>
      </c>
      <c r="G982" s="538">
        <v>720250.97</v>
      </c>
    </row>
    <row r="983" spans="1:7" hidden="1" x14ac:dyDescent="0.25">
      <c r="A983" t="s">
        <v>842</v>
      </c>
      <c r="B983">
        <v>44060</v>
      </c>
      <c r="C983" t="s">
        <v>1642</v>
      </c>
      <c r="D983" t="s">
        <v>226</v>
      </c>
      <c r="E983" t="s">
        <v>659</v>
      </c>
      <c r="F983" s="538">
        <v>682907.58</v>
      </c>
      <c r="G983" s="538">
        <v>696665.95</v>
      </c>
    </row>
    <row r="984" spans="1:7" hidden="1" x14ac:dyDescent="0.25">
      <c r="A984" t="s">
        <v>842</v>
      </c>
      <c r="B984">
        <v>37749</v>
      </c>
      <c r="C984" t="s">
        <v>1643</v>
      </c>
      <c r="D984" t="s">
        <v>226</v>
      </c>
      <c r="E984" t="s">
        <v>659</v>
      </c>
      <c r="F984" s="538">
        <v>729146.12</v>
      </c>
      <c r="G984" s="538">
        <v>743836.04</v>
      </c>
    </row>
    <row r="985" spans="1:7" hidden="1" x14ac:dyDescent="0.25">
      <c r="A985" t="s">
        <v>842</v>
      </c>
      <c r="B985">
        <v>44061</v>
      </c>
      <c r="C985" t="s">
        <v>1644</v>
      </c>
      <c r="D985" t="s">
        <v>226</v>
      </c>
      <c r="E985" t="s">
        <v>659</v>
      </c>
      <c r="F985" s="538">
        <v>669569.56000000006</v>
      </c>
      <c r="G985" s="538">
        <v>683059.21</v>
      </c>
    </row>
    <row r="986" spans="1:7" hidden="1" x14ac:dyDescent="0.25">
      <c r="A986" t="s">
        <v>842</v>
      </c>
      <c r="B986">
        <v>1159</v>
      </c>
      <c r="C986" t="s">
        <v>227</v>
      </c>
      <c r="D986" t="s">
        <v>226</v>
      </c>
      <c r="E986" t="s">
        <v>172</v>
      </c>
      <c r="F986" s="538">
        <v>275165.5</v>
      </c>
      <c r="G986" s="538">
        <v>275165.5</v>
      </c>
    </row>
    <row r="987" spans="1:7" hidden="1" x14ac:dyDescent="0.25">
      <c r="A987" t="s">
        <v>660</v>
      </c>
      <c r="B987">
        <v>12114</v>
      </c>
      <c r="C987" t="s">
        <v>1645</v>
      </c>
      <c r="D987" t="s">
        <v>226</v>
      </c>
      <c r="E987" t="s">
        <v>659</v>
      </c>
      <c r="F987">
        <v>125.34</v>
      </c>
      <c r="G987">
        <v>138.47</v>
      </c>
    </row>
    <row r="988" spans="1:7" hidden="1" x14ac:dyDescent="0.25">
      <c r="A988" t="s">
        <v>660</v>
      </c>
      <c r="B988">
        <v>38106</v>
      </c>
      <c r="C988" t="s">
        <v>1646</v>
      </c>
      <c r="D988" t="s">
        <v>226</v>
      </c>
      <c r="E988" t="s">
        <v>659</v>
      </c>
      <c r="F988">
        <v>17.03</v>
      </c>
      <c r="G988">
        <v>18.82</v>
      </c>
    </row>
    <row r="989" spans="1:7" hidden="1" x14ac:dyDescent="0.25">
      <c r="A989" t="s">
        <v>660</v>
      </c>
      <c r="B989">
        <v>38085</v>
      </c>
      <c r="C989" t="s">
        <v>1647</v>
      </c>
      <c r="D989" t="s">
        <v>226</v>
      </c>
      <c r="E989" t="s">
        <v>659</v>
      </c>
      <c r="F989">
        <v>20.12</v>
      </c>
      <c r="G989">
        <v>22.23</v>
      </c>
    </row>
    <row r="990" spans="1:7" hidden="1" x14ac:dyDescent="0.25">
      <c r="A990" t="s">
        <v>660</v>
      </c>
      <c r="B990">
        <v>659</v>
      </c>
      <c r="C990" t="s">
        <v>1648</v>
      </c>
      <c r="D990" t="s">
        <v>226</v>
      </c>
      <c r="E990" t="s">
        <v>659</v>
      </c>
      <c r="F990">
        <v>3.12</v>
      </c>
      <c r="G990">
        <v>2.78</v>
      </c>
    </row>
    <row r="991" spans="1:7" hidden="1" x14ac:dyDescent="0.25">
      <c r="A991" t="s">
        <v>660</v>
      </c>
      <c r="B991">
        <v>660</v>
      </c>
      <c r="C991" t="s">
        <v>1649</v>
      </c>
      <c r="D991" t="s">
        <v>226</v>
      </c>
      <c r="E991" t="s">
        <v>659</v>
      </c>
      <c r="F991">
        <v>3.74</v>
      </c>
      <c r="G991">
        <v>3.33</v>
      </c>
    </row>
    <row r="992" spans="1:7" hidden="1" x14ac:dyDescent="0.25">
      <c r="A992" t="s">
        <v>660</v>
      </c>
      <c r="B992">
        <v>658</v>
      </c>
      <c r="C992" t="s">
        <v>1650</v>
      </c>
      <c r="D992" t="s">
        <v>226</v>
      </c>
      <c r="E992" t="s">
        <v>659</v>
      </c>
      <c r="F992">
        <v>2.11</v>
      </c>
      <c r="G992">
        <v>1.88</v>
      </c>
    </row>
    <row r="993" spans="1:7" hidden="1" x14ac:dyDescent="0.25">
      <c r="A993" t="s">
        <v>660</v>
      </c>
      <c r="B993">
        <v>38599</v>
      </c>
      <c r="C993" t="s">
        <v>1651</v>
      </c>
      <c r="D993" t="s">
        <v>226</v>
      </c>
      <c r="E993" t="s">
        <v>659</v>
      </c>
      <c r="F993">
        <v>6.5</v>
      </c>
      <c r="G993">
        <v>5.79</v>
      </c>
    </row>
    <row r="994" spans="1:7" hidden="1" x14ac:dyDescent="0.25">
      <c r="A994" t="s">
        <v>660</v>
      </c>
      <c r="B994">
        <v>38596</v>
      </c>
      <c r="C994" t="s">
        <v>1652</v>
      </c>
      <c r="D994" t="s">
        <v>226</v>
      </c>
      <c r="E994" t="s">
        <v>659</v>
      </c>
      <c r="F994">
        <v>5.4</v>
      </c>
      <c r="G994">
        <v>4.8099999999999996</v>
      </c>
    </row>
    <row r="995" spans="1:7" hidden="1" x14ac:dyDescent="0.25">
      <c r="A995" t="s">
        <v>660</v>
      </c>
      <c r="B995">
        <v>38600</v>
      </c>
      <c r="C995" t="s">
        <v>1653</v>
      </c>
      <c r="D995" t="s">
        <v>226</v>
      </c>
      <c r="E995" t="s">
        <v>659</v>
      </c>
      <c r="F995">
        <v>6.89</v>
      </c>
      <c r="G995">
        <v>6.14</v>
      </c>
    </row>
    <row r="996" spans="1:7" hidden="1" x14ac:dyDescent="0.25">
      <c r="A996" t="s">
        <v>660</v>
      </c>
      <c r="B996">
        <v>38597</v>
      </c>
      <c r="C996" t="s">
        <v>1654</v>
      </c>
      <c r="D996" t="s">
        <v>226</v>
      </c>
      <c r="E996" t="s">
        <v>659</v>
      </c>
      <c r="F996">
        <v>5.43</v>
      </c>
      <c r="G996">
        <v>4.84</v>
      </c>
    </row>
    <row r="997" spans="1:7" hidden="1" x14ac:dyDescent="0.25">
      <c r="A997" t="s">
        <v>660</v>
      </c>
      <c r="B997">
        <v>38548</v>
      </c>
      <c r="C997" t="s">
        <v>1655</v>
      </c>
      <c r="D997" t="s">
        <v>226</v>
      </c>
      <c r="E997" t="s">
        <v>659</v>
      </c>
      <c r="F997">
        <v>1.91</v>
      </c>
      <c r="G997">
        <v>1.82</v>
      </c>
    </row>
    <row r="998" spans="1:7" hidden="1" x14ac:dyDescent="0.25">
      <c r="A998" t="s">
        <v>660</v>
      </c>
      <c r="B998">
        <v>34649</v>
      </c>
      <c r="C998" t="s">
        <v>1656</v>
      </c>
      <c r="D998" t="s">
        <v>226</v>
      </c>
      <c r="E998" t="s">
        <v>659</v>
      </c>
      <c r="F998">
        <v>2.79</v>
      </c>
      <c r="G998">
        <v>2.66</v>
      </c>
    </row>
    <row r="999" spans="1:7" hidden="1" x14ac:dyDescent="0.25">
      <c r="A999" t="s">
        <v>660</v>
      </c>
      <c r="B999">
        <v>34655</v>
      </c>
      <c r="C999" t="s">
        <v>1657</v>
      </c>
      <c r="D999" t="s">
        <v>226</v>
      </c>
      <c r="E999" t="s">
        <v>659</v>
      </c>
      <c r="F999">
        <v>4.1100000000000003</v>
      </c>
      <c r="G999">
        <v>3.91</v>
      </c>
    </row>
    <row r="1000" spans="1:7" hidden="1" x14ac:dyDescent="0.25">
      <c r="A1000" t="s">
        <v>660</v>
      </c>
      <c r="B1000">
        <v>40607</v>
      </c>
      <c r="C1000" t="s">
        <v>1658</v>
      </c>
      <c r="D1000" t="s">
        <v>226</v>
      </c>
      <c r="E1000" t="s">
        <v>659</v>
      </c>
      <c r="F1000">
        <v>6.21</v>
      </c>
      <c r="G1000">
        <v>5.99</v>
      </c>
    </row>
    <row r="1001" spans="1:7" hidden="1" x14ac:dyDescent="0.25">
      <c r="A1001" t="s">
        <v>660</v>
      </c>
      <c r="B1001">
        <v>567</v>
      </c>
      <c r="C1001" t="s">
        <v>1659</v>
      </c>
      <c r="D1001" t="s">
        <v>704</v>
      </c>
      <c r="E1001" t="s">
        <v>659</v>
      </c>
      <c r="F1001">
        <v>10.78</v>
      </c>
      <c r="G1001">
        <v>13.23</v>
      </c>
    </row>
    <row r="1002" spans="1:7" hidden="1" x14ac:dyDescent="0.25">
      <c r="A1002" t="s">
        <v>660</v>
      </c>
      <c r="B1002">
        <v>574</v>
      </c>
      <c r="C1002" t="s">
        <v>1660</v>
      </c>
      <c r="D1002" t="s">
        <v>704</v>
      </c>
      <c r="E1002" t="s">
        <v>659</v>
      </c>
      <c r="F1002">
        <v>28.34</v>
      </c>
      <c r="G1002">
        <v>34.770000000000003</v>
      </c>
    </row>
    <row r="1003" spans="1:7" hidden="1" x14ac:dyDescent="0.25">
      <c r="A1003" t="s">
        <v>660</v>
      </c>
      <c r="B1003">
        <v>568</v>
      </c>
      <c r="C1003" t="s">
        <v>1661</v>
      </c>
      <c r="D1003" t="s">
        <v>704</v>
      </c>
      <c r="E1003" t="s">
        <v>659</v>
      </c>
      <c r="F1003">
        <v>59.71</v>
      </c>
      <c r="G1003">
        <v>73.27</v>
      </c>
    </row>
    <row r="1004" spans="1:7" hidden="1" x14ac:dyDescent="0.25">
      <c r="A1004" t="s">
        <v>660</v>
      </c>
      <c r="B1004">
        <v>4777</v>
      </c>
      <c r="C1004" t="s">
        <v>1662</v>
      </c>
      <c r="D1004" t="s">
        <v>708</v>
      </c>
      <c r="E1004" t="s">
        <v>659</v>
      </c>
      <c r="F1004">
        <f>G1004</f>
        <v>8.02</v>
      </c>
      <c r="G1004">
        <v>8.02</v>
      </c>
    </row>
    <row r="1005" spans="1:7" hidden="1" x14ac:dyDescent="0.25">
      <c r="A1005" t="s">
        <v>660</v>
      </c>
      <c r="B1005">
        <v>592</v>
      </c>
      <c r="C1005" t="s">
        <v>1663</v>
      </c>
      <c r="D1005" t="s">
        <v>708</v>
      </c>
      <c r="E1005" t="s">
        <v>172</v>
      </c>
      <c r="F1005">
        <v>57.55</v>
      </c>
      <c r="G1005">
        <v>36.9</v>
      </c>
    </row>
    <row r="1006" spans="1:7" hidden="1" x14ac:dyDescent="0.25">
      <c r="A1006" t="s">
        <v>660</v>
      </c>
      <c r="B1006">
        <v>586</v>
      </c>
      <c r="C1006" t="s">
        <v>1664</v>
      </c>
      <c r="D1006" t="s">
        <v>704</v>
      </c>
      <c r="E1006" t="s">
        <v>659</v>
      </c>
      <c r="F1006">
        <v>33.83</v>
      </c>
      <c r="G1006">
        <v>21.69</v>
      </c>
    </row>
    <row r="1007" spans="1:7" hidden="1" x14ac:dyDescent="0.25">
      <c r="A1007" t="s">
        <v>660</v>
      </c>
      <c r="B1007">
        <v>588</v>
      </c>
      <c r="C1007" t="s">
        <v>1665</v>
      </c>
      <c r="D1007" t="s">
        <v>704</v>
      </c>
      <c r="E1007" t="s">
        <v>659</v>
      </c>
      <c r="F1007">
        <v>53.52</v>
      </c>
      <c r="G1007">
        <v>34.31</v>
      </c>
    </row>
    <row r="1008" spans="1:7" hidden="1" x14ac:dyDescent="0.25">
      <c r="A1008" t="s">
        <v>660</v>
      </c>
      <c r="B1008">
        <v>591</v>
      </c>
      <c r="C1008" t="s">
        <v>1666</v>
      </c>
      <c r="D1008" t="s">
        <v>708</v>
      </c>
      <c r="E1008" t="s">
        <v>659</v>
      </c>
      <c r="F1008">
        <v>53.71</v>
      </c>
      <c r="G1008">
        <v>34.43</v>
      </c>
    </row>
    <row r="1009" spans="1:7" hidden="1" x14ac:dyDescent="0.25">
      <c r="A1009" t="s">
        <v>660</v>
      </c>
      <c r="B1009">
        <v>584</v>
      </c>
      <c r="C1009" t="s">
        <v>1667</v>
      </c>
      <c r="D1009" t="s">
        <v>704</v>
      </c>
      <c r="E1009" t="s">
        <v>659</v>
      </c>
      <c r="F1009">
        <v>57.16</v>
      </c>
      <c r="G1009">
        <v>36.65</v>
      </c>
    </row>
    <row r="1010" spans="1:7" hidden="1" x14ac:dyDescent="0.25">
      <c r="A1010" t="s">
        <v>660</v>
      </c>
      <c r="B1010">
        <v>589</v>
      </c>
      <c r="C1010" t="s">
        <v>1668</v>
      </c>
      <c r="D1010" t="s">
        <v>704</v>
      </c>
      <c r="E1010" t="s">
        <v>659</v>
      </c>
      <c r="F1010">
        <v>90.46</v>
      </c>
      <c r="G1010">
        <v>58</v>
      </c>
    </row>
    <row r="1011" spans="1:7" hidden="1" x14ac:dyDescent="0.25">
      <c r="A1011" t="s">
        <v>660</v>
      </c>
      <c r="B1011">
        <v>1165</v>
      </c>
      <c r="C1011" t="s">
        <v>1669</v>
      </c>
      <c r="D1011" t="s">
        <v>226</v>
      </c>
      <c r="E1011" t="s">
        <v>659</v>
      </c>
      <c r="F1011">
        <v>19.170000000000002</v>
      </c>
      <c r="G1011">
        <v>20</v>
      </c>
    </row>
    <row r="1012" spans="1:7" hidden="1" x14ac:dyDescent="0.25">
      <c r="A1012" t="s">
        <v>660</v>
      </c>
      <c r="B1012">
        <v>1164</v>
      </c>
      <c r="C1012" t="s">
        <v>1670</v>
      </c>
      <c r="D1012" t="s">
        <v>226</v>
      </c>
      <c r="E1012" t="s">
        <v>659</v>
      </c>
      <c r="F1012">
        <v>15.53</v>
      </c>
      <c r="G1012">
        <v>16.2</v>
      </c>
    </row>
    <row r="1013" spans="1:7" hidden="1" x14ac:dyDescent="0.25">
      <c r="A1013" t="s">
        <v>660</v>
      </c>
      <c r="B1013">
        <v>1170</v>
      </c>
      <c r="C1013" t="s">
        <v>1671</v>
      </c>
      <c r="D1013" t="s">
        <v>226</v>
      </c>
      <c r="E1013" t="s">
        <v>659</v>
      </c>
      <c r="F1013">
        <v>10.17</v>
      </c>
      <c r="G1013">
        <v>10.61</v>
      </c>
    </row>
    <row r="1014" spans="1:7" hidden="1" x14ac:dyDescent="0.25">
      <c r="A1014" t="s">
        <v>660</v>
      </c>
      <c r="B1014">
        <v>1162</v>
      </c>
      <c r="C1014" t="s">
        <v>1672</v>
      </c>
      <c r="D1014" t="s">
        <v>226</v>
      </c>
      <c r="E1014" t="s">
        <v>659</v>
      </c>
      <c r="F1014">
        <v>5.4</v>
      </c>
      <c r="G1014">
        <v>5.63</v>
      </c>
    </row>
    <row r="1015" spans="1:7" hidden="1" x14ac:dyDescent="0.25">
      <c r="A1015" t="s">
        <v>660</v>
      </c>
      <c r="B1015">
        <v>12395</v>
      </c>
      <c r="C1015" t="s">
        <v>1673</v>
      </c>
      <c r="D1015" t="s">
        <v>226</v>
      </c>
      <c r="E1015" t="s">
        <v>659</v>
      </c>
      <c r="F1015">
        <v>5.25</v>
      </c>
      <c r="G1015">
        <v>5.47</v>
      </c>
    </row>
    <row r="1016" spans="1:7" hidden="1" x14ac:dyDescent="0.25">
      <c r="A1016" t="s">
        <v>660</v>
      </c>
      <c r="B1016">
        <v>1169</v>
      </c>
      <c r="C1016" t="s">
        <v>1674</v>
      </c>
      <c r="D1016" t="s">
        <v>226</v>
      </c>
      <c r="E1016" t="s">
        <v>659</v>
      </c>
      <c r="F1016">
        <v>49.96</v>
      </c>
      <c r="G1016">
        <v>52.1</v>
      </c>
    </row>
    <row r="1017" spans="1:7" hidden="1" x14ac:dyDescent="0.25">
      <c r="A1017" t="s">
        <v>660</v>
      </c>
      <c r="B1017">
        <v>1166</v>
      </c>
      <c r="C1017" t="s">
        <v>1675</v>
      </c>
      <c r="D1017" t="s">
        <v>226</v>
      </c>
      <c r="E1017" t="s">
        <v>659</v>
      </c>
      <c r="F1017">
        <v>27.7</v>
      </c>
      <c r="G1017">
        <v>28.89</v>
      </c>
    </row>
    <row r="1018" spans="1:7" hidden="1" x14ac:dyDescent="0.25">
      <c r="A1018" t="s">
        <v>660</v>
      </c>
      <c r="B1018">
        <v>1168</v>
      </c>
      <c r="C1018" t="s">
        <v>1676</v>
      </c>
      <c r="D1018" t="s">
        <v>226</v>
      </c>
      <c r="E1018" t="s">
        <v>659</v>
      </c>
      <c r="F1018">
        <v>71.209999999999994</v>
      </c>
      <c r="G1018">
        <v>74.28</v>
      </c>
    </row>
    <row r="1019" spans="1:7" hidden="1" x14ac:dyDescent="0.25">
      <c r="A1019" t="s">
        <v>660</v>
      </c>
      <c r="B1019">
        <v>1163</v>
      </c>
      <c r="C1019" t="s">
        <v>1677</v>
      </c>
      <c r="D1019" t="s">
        <v>226</v>
      </c>
      <c r="E1019" t="s">
        <v>659</v>
      </c>
      <c r="F1019">
        <v>6.98</v>
      </c>
      <c r="G1019">
        <v>7.28</v>
      </c>
    </row>
    <row r="1020" spans="1:7" hidden="1" x14ac:dyDescent="0.25">
      <c r="A1020" t="s">
        <v>660</v>
      </c>
      <c r="B1020">
        <v>12396</v>
      </c>
      <c r="C1020" t="s">
        <v>1678</v>
      </c>
      <c r="D1020" t="s">
        <v>226</v>
      </c>
      <c r="E1020" t="s">
        <v>659</v>
      </c>
      <c r="F1020">
        <v>5.25</v>
      </c>
      <c r="G1020">
        <v>5.47</v>
      </c>
    </row>
    <row r="1021" spans="1:7" hidden="1" x14ac:dyDescent="0.25">
      <c r="A1021" t="s">
        <v>660</v>
      </c>
      <c r="B1021">
        <v>1167</v>
      </c>
      <c r="C1021" t="s">
        <v>1679</v>
      </c>
      <c r="D1021" t="s">
        <v>226</v>
      </c>
      <c r="E1021" t="s">
        <v>659</v>
      </c>
      <c r="F1021">
        <v>119.12</v>
      </c>
      <c r="G1021">
        <v>124.24</v>
      </c>
    </row>
    <row r="1022" spans="1:7" hidden="1" x14ac:dyDescent="0.25">
      <c r="A1022" t="s">
        <v>660</v>
      </c>
      <c r="B1022">
        <v>36331</v>
      </c>
      <c r="C1022" t="s">
        <v>1680</v>
      </c>
      <c r="D1022" t="s">
        <v>226</v>
      </c>
      <c r="E1022" t="s">
        <v>659</v>
      </c>
      <c r="F1022">
        <f>G1022</f>
        <v>2.5299999999999998</v>
      </c>
      <c r="G1022">
        <v>2.5299999999999998</v>
      </c>
    </row>
    <row r="1023" spans="1:7" hidden="1" x14ac:dyDescent="0.25">
      <c r="A1023" t="s">
        <v>660</v>
      </c>
      <c r="B1023">
        <v>36346</v>
      </c>
      <c r="C1023" t="s">
        <v>1681</v>
      </c>
      <c r="D1023" t="s">
        <v>226</v>
      </c>
      <c r="E1023" t="s">
        <v>659</v>
      </c>
      <c r="F1023">
        <f>G1023</f>
        <v>3.78</v>
      </c>
      <c r="G1023">
        <v>3.78</v>
      </c>
    </row>
    <row r="1024" spans="1:7" hidden="1" x14ac:dyDescent="0.25">
      <c r="A1024" t="s">
        <v>660</v>
      </c>
      <c r="B1024">
        <v>1202</v>
      </c>
      <c r="C1024" t="s">
        <v>1682</v>
      </c>
      <c r="D1024" t="s">
        <v>226</v>
      </c>
      <c r="E1024" t="s">
        <v>659</v>
      </c>
      <c r="F1024">
        <v>5.09</v>
      </c>
      <c r="G1024">
        <v>5.21</v>
      </c>
    </row>
    <row r="1025" spans="1:7" hidden="1" x14ac:dyDescent="0.25">
      <c r="A1025" t="s">
        <v>660</v>
      </c>
      <c r="B1025">
        <v>1197</v>
      </c>
      <c r="C1025" t="s">
        <v>1683</v>
      </c>
      <c r="D1025" t="s">
        <v>226</v>
      </c>
      <c r="E1025" t="s">
        <v>659</v>
      </c>
      <c r="F1025">
        <v>1.79</v>
      </c>
      <c r="G1025">
        <v>1.84</v>
      </c>
    </row>
    <row r="1026" spans="1:7" hidden="1" x14ac:dyDescent="0.25">
      <c r="A1026" t="s">
        <v>660</v>
      </c>
      <c r="B1026">
        <v>1198</v>
      </c>
      <c r="C1026" t="s">
        <v>1684</v>
      </c>
      <c r="D1026" t="s">
        <v>226</v>
      </c>
      <c r="E1026" t="s">
        <v>659</v>
      </c>
      <c r="F1026">
        <v>2.35</v>
      </c>
      <c r="G1026">
        <v>2.4</v>
      </c>
    </row>
    <row r="1027" spans="1:7" hidden="1" x14ac:dyDescent="0.25">
      <c r="A1027" t="s">
        <v>660</v>
      </c>
      <c r="B1027">
        <v>20088</v>
      </c>
      <c r="C1027" t="s">
        <v>1685</v>
      </c>
      <c r="D1027" t="s">
        <v>226</v>
      </c>
      <c r="E1027" t="s">
        <v>659</v>
      </c>
      <c r="F1027">
        <v>13.49</v>
      </c>
      <c r="G1027">
        <v>13.95</v>
      </c>
    </row>
    <row r="1028" spans="1:7" hidden="1" x14ac:dyDescent="0.25">
      <c r="A1028" t="s">
        <v>660</v>
      </c>
      <c r="B1028">
        <v>20089</v>
      </c>
      <c r="C1028" t="s">
        <v>1686</v>
      </c>
      <c r="D1028" t="s">
        <v>226</v>
      </c>
      <c r="E1028" t="s">
        <v>659</v>
      </c>
      <c r="F1028">
        <v>66.13</v>
      </c>
      <c r="G1028">
        <v>68.37</v>
      </c>
    </row>
    <row r="1029" spans="1:7" hidden="1" x14ac:dyDescent="0.25">
      <c r="A1029" t="s">
        <v>660</v>
      </c>
      <c r="B1029">
        <v>20087</v>
      </c>
      <c r="C1029" t="s">
        <v>1687</v>
      </c>
      <c r="D1029" t="s">
        <v>226</v>
      </c>
      <c r="E1029" t="s">
        <v>659</v>
      </c>
      <c r="F1029">
        <v>11.16</v>
      </c>
      <c r="G1029">
        <v>11.54</v>
      </c>
    </row>
    <row r="1030" spans="1:7" hidden="1" x14ac:dyDescent="0.25">
      <c r="A1030" t="s">
        <v>660</v>
      </c>
      <c r="B1030">
        <v>1191</v>
      </c>
      <c r="C1030" t="s">
        <v>1688</v>
      </c>
      <c r="D1030" t="s">
        <v>226</v>
      </c>
      <c r="E1030" t="s">
        <v>659</v>
      </c>
      <c r="F1030">
        <v>1.28</v>
      </c>
      <c r="G1030">
        <v>1.31</v>
      </c>
    </row>
    <row r="1031" spans="1:7" hidden="1" x14ac:dyDescent="0.25">
      <c r="A1031" t="s">
        <v>660</v>
      </c>
      <c r="B1031">
        <v>1185</v>
      </c>
      <c r="C1031" t="s">
        <v>1689</v>
      </c>
      <c r="D1031" t="s">
        <v>226</v>
      </c>
      <c r="E1031" t="s">
        <v>659</v>
      </c>
      <c r="F1031">
        <v>1.28</v>
      </c>
      <c r="G1031">
        <v>1.31</v>
      </c>
    </row>
    <row r="1032" spans="1:7" hidden="1" x14ac:dyDescent="0.25">
      <c r="A1032" t="s">
        <v>660</v>
      </c>
      <c r="B1032">
        <v>1189</v>
      </c>
      <c r="C1032" t="s">
        <v>1690</v>
      </c>
      <c r="D1032" t="s">
        <v>226</v>
      </c>
      <c r="E1032" t="s">
        <v>659</v>
      </c>
      <c r="F1032">
        <v>2.09</v>
      </c>
      <c r="G1032">
        <v>2.14</v>
      </c>
    </row>
    <row r="1033" spans="1:7" hidden="1" x14ac:dyDescent="0.25">
      <c r="A1033" t="s">
        <v>660</v>
      </c>
      <c r="B1033">
        <v>1193</v>
      </c>
      <c r="C1033" t="s">
        <v>1691</v>
      </c>
      <c r="D1033" t="s">
        <v>226</v>
      </c>
      <c r="E1033" t="s">
        <v>659</v>
      </c>
      <c r="F1033">
        <v>4.0199999999999996</v>
      </c>
      <c r="G1033">
        <v>4.1100000000000003</v>
      </c>
    </row>
    <row r="1034" spans="1:7" hidden="1" x14ac:dyDescent="0.25">
      <c r="A1034" t="s">
        <v>660</v>
      </c>
      <c r="B1034">
        <v>1194</v>
      </c>
      <c r="C1034" t="s">
        <v>1692</v>
      </c>
      <c r="D1034" t="s">
        <v>226</v>
      </c>
      <c r="E1034" t="s">
        <v>659</v>
      </c>
      <c r="F1034">
        <v>7.26</v>
      </c>
      <c r="G1034">
        <v>7.43</v>
      </c>
    </row>
    <row r="1035" spans="1:7" hidden="1" x14ac:dyDescent="0.25">
      <c r="A1035" t="s">
        <v>660</v>
      </c>
      <c r="B1035">
        <v>1195</v>
      </c>
      <c r="C1035" t="s">
        <v>1693</v>
      </c>
      <c r="D1035" t="s">
        <v>226</v>
      </c>
      <c r="E1035" t="s">
        <v>659</v>
      </c>
      <c r="F1035">
        <v>12.22</v>
      </c>
      <c r="G1035">
        <v>12.51</v>
      </c>
    </row>
    <row r="1036" spans="1:7" hidden="1" x14ac:dyDescent="0.25">
      <c r="A1036" t="s">
        <v>660</v>
      </c>
      <c r="B1036">
        <v>1204</v>
      </c>
      <c r="C1036" t="s">
        <v>1694</v>
      </c>
      <c r="D1036" t="s">
        <v>226</v>
      </c>
      <c r="E1036" t="s">
        <v>659</v>
      </c>
      <c r="F1036">
        <v>21.38</v>
      </c>
      <c r="G1036">
        <v>21.88</v>
      </c>
    </row>
    <row r="1037" spans="1:7" hidden="1" x14ac:dyDescent="0.25">
      <c r="A1037" t="s">
        <v>660</v>
      </c>
      <c r="B1037">
        <v>1200</v>
      </c>
      <c r="C1037" t="s">
        <v>1695</v>
      </c>
      <c r="D1037" t="s">
        <v>226</v>
      </c>
      <c r="E1037" t="s">
        <v>659</v>
      </c>
      <c r="F1037">
        <v>10.14</v>
      </c>
      <c r="G1037">
        <v>10.48</v>
      </c>
    </row>
    <row r="1038" spans="1:7" hidden="1" x14ac:dyDescent="0.25">
      <c r="A1038" t="s">
        <v>660</v>
      </c>
      <c r="B1038">
        <v>12909</v>
      </c>
      <c r="C1038" t="s">
        <v>1696</v>
      </c>
      <c r="D1038" t="s">
        <v>226</v>
      </c>
      <c r="E1038" t="s">
        <v>659</v>
      </c>
      <c r="F1038">
        <v>4.7</v>
      </c>
      <c r="G1038">
        <v>4.8600000000000003</v>
      </c>
    </row>
    <row r="1039" spans="1:7" hidden="1" x14ac:dyDescent="0.25">
      <c r="A1039" t="s">
        <v>660</v>
      </c>
      <c r="B1039">
        <v>12910</v>
      </c>
      <c r="C1039" t="s">
        <v>1697</v>
      </c>
      <c r="D1039" t="s">
        <v>226</v>
      </c>
      <c r="E1039" t="s">
        <v>659</v>
      </c>
      <c r="F1039">
        <v>8.4499999999999993</v>
      </c>
      <c r="G1039">
        <v>8.74</v>
      </c>
    </row>
    <row r="1040" spans="1:7" hidden="1" x14ac:dyDescent="0.25">
      <c r="A1040" t="s">
        <v>660</v>
      </c>
      <c r="B1040">
        <v>1207</v>
      </c>
      <c r="C1040" t="s">
        <v>1698</v>
      </c>
      <c r="D1040" t="s">
        <v>226</v>
      </c>
      <c r="E1040" t="s">
        <v>659</v>
      </c>
      <c r="F1040">
        <v>38.869999999999997</v>
      </c>
      <c r="G1040">
        <v>40.06</v>
      </c>
    </row>
    <row r="1041" spans="1:7" hidden="1" x14ac:dyDescent="0.25">
      <c r="A1041" t="s">
        <v>660</v>
      </c>
      <c r="B1041">
        <v>1206</v>
      </c>
      <c r="C1041" t="s">
        <v>1699</v>
      </c>
      <c r="D1041" t="s">
        <v>226</v>
      </c>
      <c r="E1041" t="s">
        <v>659</v>
      </c>
      <c r="F1041">
        <v>9.75</v>
      </c>
      <c r="G1041">
        <v>10.039999999999999</v>
      </c>
    </row>
    <row r="1042" spans="1:7" hidden="1" x14ac:dyDescent="0.25">
      <c r="A1042" t="s">
        <v>660</v>
      </c>
      <c r="B1042">
        <v>1183</v>
      </c>
      <c r="C1042" t="s">
        <v>1700</v>
      </c>
      <c r="D1042" t="s">
        <v>226</v>
      </c>
      <c r="E1042" t="s">
        <v>659</v>
      </c>
      <c r="F1042">
        <v>25.38</v>
      </c>
      <c r="G1042">
        <v>26.16</v>
      </c>
    </row>
    <row r="1043" spans="1:7" hidden="1" x14ac:dyDescent="0.25">
      <c r="A1043" t="s">
        <v>660</v>
      </c>
      <c r="B1043">
        <v>42685</v>
      </c>
      <c r="C1043" t="s">
        <v>1701</v>
      </c>
      <c r="D1043" t="s">
        <v>226</v>
      </c>
      <c r="E1043" t="s">
        <v>659</v>
      </c>
      <c r="F1043">
        <v>68.53</v>
      </c>
      <c r="G1043">
        <v>70.849999999999994</v>
      </c>
    </row>
    <row r="1044" spans="1:7" hidden="1" x14ac:dyDescent="0.25">
      <c r="A1044" t="s">
        <v>660</v>
      </c>
      <c r="B1044">
        <v>42686</v>
      </c>
      <c r="C1044" t="s">
        <v>1702</v>
      </c>
      <c r="D1044" t="s">
        <v>226</v>
      </c>
      <c r="E1044" t="s">
        <v>659</v>
      </c>
      <c r="F1044">
        <v>75.48</v>
      </c>
      <c r="G1044">
        <v>78.040000000000006</v>
      </c>
    </row>
    <row r="1045" spans="1:7" hidden="1" x14ac:dyDescent="0.25">
      <c r="A1045" t="s">
        <v>660</v>
      </c>
      <c r="B1045">
        <v>12894</v>
      </c>
      <c r="C1045" t="s">
        <v>1703</v>
      </c>
      <c r="D1045" t="s">
        <v>226</v>
      </c>
      <c r="E1045" t="s">
        <v>659</v>
      </c>
      <c r="F1045">
        <v>20.61</v>
      </c>
      <c r="G1045">
        <v>23.09</v>
      </c>
    </row>
    <row r="1046" spans="1:7" hidden="1" x14ac:dyDescent="0.25">
      <c r="A1046" t="s">
        <v>660</v>
      </c>
      <c r="B1046">
        <v>12895</v>
      </c>
      <c r="C1046" t="s">
        <v>1704</v>
      </c>
      <c r="D1046" t="s">
        <v>226</v>
      </c>
      <c r="E1046" t="s">
        <v>172</v>
      </c>
      <c r="F1046">
        <v>13.84</v>
      </c>
      <c r="G1046">
        <v>15.5</v>
      </c>
    </row>
    <row r="1047" spans="1:7" hidden="1" x14ac:dyDescent="0.25">
      <c r="A1047" t="s">
        <v>660</v>
      </c>
      <c r="B1047">
        <v>1631</v>
      </c>
      <c r="C1047" t="s">
        <v>1705</v>
      </c>
      <c r="D1047" t="s">
        <v>226</v>
      </c>
      <c r="E1047" t="s">
        <v>659</v>
      </c>
      <c r="F1047">
        <v>221.03</v>
      </c>
      <c r="G1047">
        <v>177.46</v>
      </c>
    </row>
    <row r="1048" spans="1:7" hidden="1" x14ac:dyDescent="0.25">
      <c r="A1048" t="s">
        <v>660</v>
      </c>
      <c r="B1048">
        <v>1633</v>
      </c>
      <c r="C1048" t="s">
        <v>1706</v>
      </c>
      <c r="D1048" t="s">
        <v>226</v>
      </c>
      <c r="E1048" t="s">
        <v>659</v>
      </c>
      <c r="F1048">
        <v>375.54</v>
      </c>
      <c r="G1048">
        <v>301.52</v>
      </c>
    </row>
    <row r="1049" spans="1:7" hidden="1" x14ac:dyDescent="0.25">
      <c r="A1049" t="s">
        <v>660</v>
      </c>
      <c r="B1049">
        <v>10818</v>
      </c>
      <c r="C1049" t="s">
        <v>1707</v>
      </c>
      <c r="D1049" t="s">
        <v>708</v>
      </c>
      <c r="E1049" t="s">
        <v>659</v>
      </c>
      <c r="F1049">
        <v>44.35</v>
      </c>
      <c r="G1049">
        <v>58.81</v>
      </c>
    </row>
    <row r="1050" spans="1:7" hidden="1" x14ac:dyDescent="0.25">
      <c r="A1050" t="s">
        <v>660</v>
      </c>
      <c r="B1050">
        <v>41410</v>
      </c>
      <c r="C1050" t="s">
        <v>1708</v>
      </c>
      <c r="D1050" t="s">
        <v>226</v>
      </c>
      <c r="E1050" t="s">
        <v>659</v>
      </c>
      <c r="F1050">
        <v>68.959999999999994</v>
      </c>
      <c r="G1050">
        <v>81.849999999999994</v>
      </c>
    </row>
    <row r="1051" spans="1:7" hidden="1" x14ac:dyDescent="0.25">
      <c r="A1051" t="s">
        <v>660</v>
      </c>
      <c r="B1051">
        <v>41411</v>
      </c>
      <c r="C1051" t="s">
        <v>1709</v>
      </c>
      <c r="D1051" t="s">
        <v>226</v>
      </c>
      <c r="E1051" t="s">
        <v>659</v>
      </c>
      <c r="F1051">
        <v>62.52</v>
      </c>
      <c r="G1051">
        <v>74.209999999999994</v>
      </c>
    </row>
    <row r="1052" spans="1:7" hidden="1" x14ac:dyDescent="0.25">
      <c r="A1052" t="s">
        <v>660</v>
      </c>
      <c r="B1052">
        <v>41412</v>
      </c>
      <c r="C1052" t="s">
        <v>1710</v>
      </c>
      <c r="D1052" t="s">
        <v>226</v>
      </c>
      <c r="E1052" t="s">
        <v>659</v>
      </c>
      <c r="F1052">
        <v>120.93</v>
      </c>
      <c r="G1052">
        <v>143.53</v>
      </c>
    </row>
    <row r="1053" spans="1:7" hidden="1" x14ac:dyDescent="0.25">
      <c r="A1053" t="s">
        <v>660</v>
      </c>
      <c r="B1053">
        <v>41413</v>
      </c>
      <c r="C1053" t="s">
        <v>1711</v>
      </c>
      <c r="D1053" t="s">
        <v>226</v>
      </c>
      <c r="E1053" t="s">
        <v>659</v>
      </c>
      <c r="F1053">
        <v>108.82</v>
      </c>
      <c r="G1053">
        <v>129.15</v>
      </c>
    </row>
    <row r="1054" spans="1:7" hidden="1" x14ac:dyDescent="0.25">
      <c r="A1054" t="s">
        <v>660</v>
      </c>
      <c r="B1054">
        <v>39359</v>
      </c>
      <c r="C1054" t="s">
        <v>1712</v>
      </c>
      <c r="D1054" t="s">
        <v>226</v>
      </c>
      <c r="E1054" t="s">
        <v>659</v>
      </c>
      <c r="F1054">
        <f t="shared" ref="F1054:F1060" si="4">G1054</f>
        <v>39.33</v>
      </c>
      <c r="G1054">
        <v>39.33</v>
      </c>
    </row>
    <row r="1055" spans="1:7" hidden="1" x14ac:dyDescent="0.25">
      <c r="A1055" t="s">
        <v>660</v>
      </c>
      <c r="B1055">
        <v>39360</v>
      </c>
      <c r="C1055" t="s">
        <v>1713</v>
      </c>
      <c r="D1055" t="s">
        <v>226</v>
      </c>
      <c r="E1055" t="s">
        <v>659</v>
      </c>
      <c r="F1055">
        <f t="shared" si="4"/>
        <v>39.33</v>
      </c>
      <c r="G1055">
        <v>39.33</v>
      </c>
    </row>
    <row r="1056" spans="1:7" hidden="1" x14ac:dyDescent="0.25">
      <c r="A1056" t="s">
        <v>448</v>
      </c>
      <c r="B1056">
        <v>10710</v>
      </c>
      <c r="C1056" t="s">
        <v>1714</v>
      </c>
      <c r="D1056" t="s">
        <v>498</v>
      </c>
      <c r="E1056" t="s">
        <v>172</v>
      </c>
      <c r="F1056">
        <f t="shared" si="4"/>
        <v>188</v>
      </c>
      <c r="G1056">
        <v>188</v>
      </c>
    </row>
    <row r="1057" spans="1:7" hidden="1" x14ac:dyDescent="0.25">
      <c r="A1057" t="s">
        <v>448</v>
      </c>
      <c r="B1057">
        <v>10709</v>
      </c>
      <c r="C1057" t="s">
        <v>1715</v>
      </c>
      <c r="D1057" t="s">
        <v>498</v>
      </c>
      <c r="E1057" t="s">
        <v>659</v>
      </c>
      <c r="F1057">
        <f t="shared" si="4"/>
        <v>230.97</v>
      </c>
      <c r="G1057">
        <v>230.97</v>
      </c>
    </row>
    <row r="1058" spans="1:7" hidden="1" x14ac:dyDescent="0.25">
      <c r="A1058" t="s">
        <v>448</v>
      </c>
      <c r="B1058">
        <v>39636</v>
      </c>
      <c r="C1058" t="s">
        <v>1716</v>
      </c>
      <c r="D1058" t="s">
        <v>498</v>
      </c>
      <c r="E1058" t="s">
        <v>659</v>
      </c>
      <c r="F1058">
        <f t="shared" si="4"/>
        <v>235.85</v>
      </c>
      <c r="G1058">
        <v>235.85</v>
      </c>
    </row>
    <row r="1059" spans="1:7" hidden="1" x14ac:dyDescent="0.25">
      <c r="A1059" t="s">
        <v>448</v>
      </c>
      <c r="B1059">
        <v>10708</v>
      </c>
      <c r="C1059" t="s">
        <v>1717</v>
      </c>
      <c r="D1059" t="s">
        <v>498</v>
      </c>
      <c r="E1059" t="s">
        <v>659</v>
      </c>
      <c r="F1059">
        <f t="shared" si="4"/>
        <v>72.78</v>
      </c>
      <c r="G1059">
        <v>72.78</v>
      </c>
    </row>
    <row r="1060" spans="1:7" hidden="1" x14ac:dyDescent="0.25">
      <c r="A1060" t="s">
        <v>448</v>
      </c>
      <c r="B1060">
        <v>39635</v>
      </c>
      <c r="C1060" t="s">
        <v>1718</v>
      </c>
      <c r="D1060" t="s">
        <v>498</v>
      </c>
      <c r="E1060" t="s">
        <v>659</v>
      </c>
      <c r="F1060">
        <f t="shared" si="4"/>
        <v>123.9</v>
      </c>
      <c r="G1060">
        <v>123.9</v>
      </c>
    </row>
    <row r="1061" spans="1:7" hidden="1" x14ac:dyDescent="0.25">
      <c r="A1061" t="s">
        <v>807</v>
      </c>
      <c r="B1061">
        <v>6117</v>
      </c>
      <c r="C1061" t="s">
        <v>1719</v>
      </c>
      <c r="D1061" t="s">
        <v>809</v>
      </c>
      <c r="E1061" t="s">
        <v>659</v>
      </c>
      <c r="F1061">
        <v>8.41</v>
      </c>
      <c r="G1061">
        <v>11.08</v>
      </c>
    </row>
    <row r="1062" spans="1:7" hidden="1" x14ac:dyDescent="0.25">
      <c r="A1062" t="s">
        <v>807</v>
      </c>
      <c r="B1062">
        <v>40913</v>
      </c>
      <c r="C1062" t="s">
        <v>1720</v>
      </c>
      <c r="D1062" t="s">
        <v>811</v>
      </c>
      <c r="E1062" t="s">
        <v>659</v>
      </c>
      <c r="F1062" s="538">
        <v>1850.59</v>
      </c>
      <c r="G1062" s="538">
        <v>2438.1</v>
      </c>
    </row>
    <row r="1063" spans="1:7" hidden="1" x14ac:dyDescent="0.25">
      <c r="A1063" t="s">
        <v>807</v>
      </c>
      <c r="B1063">
        <v>1214</v>
      </c>
      <c r="C1063" t="s">
        <v>1721</v>
      </c>
      <c r="D1063" t="s">
        <v>809</v>
      </c>
      <c r="E1063" t="s">
        <v>659</v>
      </c>
      <c r="F1063">
        <v>12.9</v>
      </c>
      <c r="G1063">
        <v>12.11</v>
      </c>
    </row>
    <row r="1064" spans="1:7" hidden="1" x14ac:dyDescent="0.25">
      <c r="A1064" t="s">
        <v>807</v>
      </c>
      <c r="B1064">
        <v>40915</v>
      </c>
      <c r="C1064" t="s">
        <v>1722</v>
      </c>
      <c r="D1064" t="s">
        <v>811</v>
      </c>
      <c r="E1064" t="s">
        <v>659</v>
      </c>
      <c r="F1064" s="538">
        <v>2839.42</v>
      </c>
      <c r="G1064" s="538">
        <v>2664.2</v>
      </c>
    </row>
    <row r="1065" spans="1:7" hidden="1" x14ac:dyDescent="0.25">
      <c r="A1065" t="s">
        <v>807</v>
      </c>
      <c r="B1065">
        <v>40914</v>
      </c>
      <c r="C1065" t="s">
        <v>1723</v>
      </c>
      <c r="D1065" t="s">
        <v>811</v>
      </c>
      <c r="E1065" t="s">
        <v>659</v>
      </c>
      <c r="F1065" s="538">
        <v>2448.6</v>
      </c>
      <c r="G1065" s="538">
        <v>2664.2</v>
      </c>
    </row>
    <row r="1066" spans="1:7" hidden="1" x14ac:dyDescent="0.25">
      <c r="A1066" t="s">
        <v>807</v>
      </c>
      <c r="B1066">
        <v>1213</v>
      </c>
      <c r="C1066" t="s">
        <v>1724</v>
      </c>
      <c r="D1066" t="s">
        <v>809</v>
      </c>
      <c r="E1066" t="s">
        <v>172</v>
      </c>
      <c r="F1066">
        <v>11.13</v>
      </c>
      <c r="G1066">
        <v>12.11</v>
      </c>
    </row>
    <row r="1067" spans="1:7" hidden="1" x14ac:dyDescent="0.25">
      <c r="A1067" t="s">
        <v>660</v>
      </c>
      <c r="B1067">
        <v>5091</v>
      </c>
      <c r="C1067" t="s">
        <v>1725</v>
      </c>
      <c r="D1067" t="s">
        <v>226</v>
      </c>
      <c r="E1067" t="s">
        <v>659</v>
      </c>
      <c r="F1067">
        <v>21.87</v>
      </c>
      <c r="G1067">
        <v>19.53</v>
      </c>
    </row>
    <row r="1068" spans="1:7" hidden="1" x14ac:dyDescent="0.25">
      <c r="A1068" t="s">
        <v>842</v>
      </c>
      <c r="B1068">
        <v>14615</v>
      </c>
      <c r="C1068" t="s">
        <v>1726</v>
      </c>
      <c r="D1068" t="s">
        <v>226</v>
      </c>
      <c r="E1068" t="s">
        <v>659</v>
      </c>
      <c r="F1068" s="538">
        <v>2777.74</v>
      </c>
      <c r="G1068" s="538">
        <v>3578.53</v>
      </c>
    </row>
    <row r="1069" spans="1:7" hidden="1" x14ac:dyDescent="0.25">
      <c r="A1069" t="s">
        <v>660</v>
      </c>
      <c r="B1069">
        <v>2711</v>
      </c>
      <c r="C1069" t="s">
        <v>1727</v>
      </c>
      <c r="D1069" t="s">
        <v>226</v>
      </c>
      <c r="E1069" t="s">
        <v>172</v>
      </c>
      <c r="F1069">
        <v>247.5</v>
      </c>
      <c r="G1069">
        <v>213.95</v>
      </c>
    </row>
    <row r="1070" spans="1:7" hidden="1" x14ac:dyDescent="0.25">
      <c r="A1070" t="s">
        <v>660</v>
      </c>
      <c r="B1070">
        <v>45235</v>
      </c>
      <c r="C1070" t="s">
        <v>1728</v>
      </c>
      <c r="D1070" t="s">
        <v>226</v>
      </c>
      <c r="E1070" t="s">
        <v>659</v>
      </c>
      <c r="F1070" s="538">
        <v>1594.58</v>
      </c>
      <c r="G1070" s="538">
        <v>1378.43</v>
      </c>
    </row>
    <row r="1071" spans="1:7" hidden="1" x14ac:dyDescent="0.25">
      <c r="A1071" t="s">
        <v>842</v>
      </c>
      <c r="B1071">
        <v>37727</v>
      </c>
      <c r="C1071" t="s">
        <v>1729</v>
      </c>
      <c r="D1071" t="s">
        <v>226</v>
      </c>
      <c r="E1071" t="s">
        <v>172</v>
      </c>
      <c r="F1071" s="538">
        <v>19750</v>
      </c>
      <c r="G1071" s="538">
        <v>19043.29</v>
      </c>
    </row>
    <row r="1072" spans="1:7" hidden="1" x14ac:dyDescent="0.25">
      <c r="A1072" t="s">
        <v>842</v>
      </c>
      <c r="B1072">
        <v>37728</v>
      </c>
      <c r="C1072" t="s">
        <v>1730</v>
      </c>
      <c r="D1072" t="s">
        <v>226</v>
      </c>
      <c r="E1072" t="s">
        <v>659</v>
      </c>
      <c r="F1072" s="538">
        <v>26793.7</v>
      </c>
      <c r="G1072" s="538">
        <v>25834.95</v>
      </c>
    </row>
    <row r="1073" spans="1:7" hidden="1" x14ac:dyDescent="0.25">
      <c r="A1073" t="s">
        <v>842</v>
      </c>
      <c r="B1073">
        <v>37729</v>
      </c>
      <c r="C1073" t="s">
        <v>1731</v>
      </c>
      <c r="D1073" t="s">
        <v>226</v>
      </c>
      <c r="E1073" t="s">
        <v>659</v>
      </c>
      <c r="F1073" s="538">
        <v>29003.49</v>
      </c>
      <c r="G1073" s="538">
        <v>27965.67</v>
      </c>
    </row>
    <row r="1074" spans="1:7" hidden="1" x14ac:dyDescent="0.25">
      <c r="A1074" t="s">
        <v>842</v>
      </c>
      <c r="B1074">
        <v>37730</v>
      </c>
      <c r="C1074" t="s">
        <v>1732</v>
      </c>
      <c r="D1074" t="s">
        <v>226</v>
      </c>
      <c r="E1074" t="s">
        <v>659</v>
      </c>
      <c r="F1074" s="538">
        <v>31213.279999999999</v>
      </c>
      <c r="G1074" s="538">
        <v>30096.38</v>
      </c>
    </row>
    <row r="1075" spans="1:7" hidden="1" x14ac:dyDescent="0.25">
      <c r="A1075" t="s">
        <v>842</v>
      </c>
      <c r="B1075">
        <v>37731</v>
      </c>
      <c r="C1075" t="s">
        <v>1733</v>
      </c>
      <c r="D1075" t="s">
        <v>226</v>
      </c>
      <c r="E1075" t="s">
        <v>659</v>
      </c>
      <c r="F1075" s="538">
        <v>33423.07</v>
      </c>
      <c r="G1075" s="538">
        <v>32227.1</v>
      </c>
    </row>
    <row r="1076" spans="1:7" hidden="1" x14ac:dyDescent="0.25">
      <c r="A1076" t="s">
        <v>842</v>
      </c>
      <c r="B1076">
        <v>37732</v>
      </c>
      <c r="C1076" t="s">
        <v>1734</v>
      </c>
      <c r="D1076" t="s">
        <v>226</v>
      </c>
      <c r="E1076" t="s">
        <v>659</v>
      </c>
      <c r="F1076" s="538">
        <v>38118.879999999997</v>
      </c>
      <c r="G1076" s="538">
        <v>36754.879999999997</v>
      </c>
    </row>
    <row r="1077" spans="1:7" hidden="1" x14ac:dyDescent="0.25">
      <c r="A1077" t="s">
        <v>660</v>
      </c>
      <c r="B1077">
        <v>45194</v>
      </c>
      <c r="C1077" t="s">
        <v>1735</v>
      </c>
      <c r="D1077" t="s">
        <v>226</v>
      </c>
      <c r="E1077" t="s">
        <v>659</v>
      </c>
      <c r="F1077">
        <v>232.15</v>
      </c>
      <c r="G1077">
        <v>200.68</v>
      </c>
    </row>
    <row r="1078" spans="1:7" hidden="1" x14ac:dyDescent="0.25">
      <c r="A1078" t="s">
        <v>842</v>
      </c>
      <c r="B1078">
        <v>36496</v>
      </c>
      <c r="C1078" t="s">
        <v>1736</v>
      </c>
      <c r="D1078" t="s">
        <v>226</v>
      </c>
      <c r="E1078" t="s">
        <v>659</v>
      </c>
      <c r="F1078" s="538">
        <v>7052.63</v>
      </c>
      <c r="G1078" s="538">
        <v>9085.83</v>
      </c>
    </row>
    <row r="1079" spans="1:7" hidden="1" x14ac:dyDescent="0.25">
      <c r="A1079" t="s">
        <v>842</v>
      </c>
      <c r="B1079">
        <v>37762</v>
      </c>
      <c r="C1079" t="s">
        <v>1737</v>
      </c>
      <c r="D1079" t="s">
        <v>226</v>
      </c>
      <c r="E1079" t="s">
        <v>659</v>
      </c>
      <c r="F1079" s="538">
        <v>702237.89</v>
      </c>
      <c r="G1079" s="538">
        <v>732160.78</v>
      </c>
    </row>
    <row r="1080" spans="1:7" hidden="1" x14ac:dyDescent="0.25">
      <c r="A1080" t="s">
        <v>842</v>
      </c>
      <c r="B1080">
        <v>37763</v>
      </c>
      <c r="C1080" t="s">
        <v>1738</v>
      </c>
      <c r="D1080" t="s">
        <v>226</v>
      </c>
      <c r="E1080" t="s">
        <v>659</v>
      </c>
      <c r="F1080" s="538">
        <v>710766.97</v>
      </c>
      <c r="G1080" s="538">
        <v>741053.3</v>
      </c>
    </row>
    <row r="1081" spans="1:7" hidden="1" x14ac:dyDescent="0.25">
      <c r="A1081" t="s">
        <v>842</v>
      </c>
      <c r="B1081">
        <v>41992</v>
      </c>
      <c r="C1081" t="s">
        <v>1739</v>
      </c>
      <c r="D1081" t="s">
        <v>226</v>
      </c>
      <c r="E1081" t="s">
        <v>172</v>
      </c>
      <c r="F1081" s="538">
        <v>808000</v>
      </c>
      <c r="G1081" s="538">
        <v>842429.5</v>
      </c>
    </row>
    <row r="1082" spans="1:7" hidden="1" x14ac:dyDescent="0.25">
      <c r="A1082" t="s">
        <v>842</v>
      </c>
      <c r="B1082">
        <v>10630</v>
      </c>
      <c r="C1082" t="s">
        <v>1740</v>
      </c>
      <c r="D1082" t="s">
        <v>226</v>
      </c>
      <c r="E1082" t="s">
        <v>659</v>
      </c>
      <c r="F1082" s="538">
        <v>818803.52</v>
      </c>
      <c r="G1082" s="538">
        <v>853693.37</v>
      </c>
    </row>
    <row r="1083" spans="1:7" hidden="1" x14ac:dyDescent="0.25">
      <c r="A1083" t="s">
        <v>842</v>
      </c>
      <c r="B1083">
        <v>13215</v>
      </c>
      <c r="C1083" t="s">
        <v>1741</v>
      </c>
      <c r="D1083" t="s">
        <v>226</v>
      </c>
      <c r="E1083" t="s">
        <v>659</v>
      </c>
      <c r="F1083" s="538">
        <v>990809.19</v>
      </c>
      <c r="G1083" s="538">
        <v>1033028.33</v>
      </c>
    </row>
    <row r="1084" spans="1:7" hidden="1" x14ac:dyDescent="0.25">
      <c r="A1084" t="s">
        <v>807</v>
      </c>
      <c r="B1084">
        <v>4235</v>
      </c>
      <c r="C1084" t="s">
        <v>1742</v>
      </c>
      <c r="D1084" t="s">
        <v>809</v>
      </c>
      <c r="E1084" t="s">
        <v>659</v>
      </c>
      <c r="F1084">
        <v>13.01</v>
      </c>
      <c r="G1084">
        <v>17.97</v>
      </c>
    </row>
    <row r="1085" spans="1:7" hidden="1" x14ac:dyDescent="0.25">
      <c r="A1085" t="s">
        <v>807</v>
      </c>
      <c r="B1085">
        <v>40976</v>
      </c>
      <c r="C1085" t="s">
        <v>1743</v>
      </c>
      <c r="D1085" t="s">
        <v>811</v>
      </c>
      <c r="E1085" t="s">
        <v>659</v>
      </c>
      <c r="F1085" s="538">
        <v>2864.27</v>
      </c>
      <c r="G1085" s="538">
        <v>3953.6</v>
      </c>
    </row>
    <row r="1086" spans="1:7" x14ac:dyDescent="0.25">
      <c r="A1086" t="s">
        <v>660</v>
      </c>
      <c r="B1086">
        <v>43091</v>
      </c>
      <c r="C1086" t="s">
        <v>1744</v>
      </c>
      <c r="D1086" t="s">
        <v>226</v>
      </c>
      <c r="E1086" t="s">
        <v>659</v>
      </c>
      <c r="F1086" s="538">
        <v>7195.36</v>
      </c>
      <c r="G1086" s="538">
        <v>5985.39</v>
      </c>
    </row>
    <row r="1087" spans="1:7" x14ac:dyDescent="0.25">
      <c r="A1087" t="s">
        <v>660</v>
      </c>
      <c r="B1087">
        <v>43092</v>
      </c>
      <c r="C1087" t="s">
        <v>1745</v>
      </c>
      <c r="D1087" t="s">
        <v>226</v>
      </c>
      <c r="E1087" t="s">
        <v>659</v>
      </c>
      <c r="F1087" s="538">
        <v>9593.81</v>
      </c>
      <c r="G1087" s="538">
        <v>7980.52</v>
      </c>
    </row>
    <row r="1088" spans="1:7" x14ac:dyDescent="0.25">
      <c r="A1088" t="s">
        <v>660</v>
      </c>
      <c r="B1088">
        <v>43089</v>
      </c>
      <c r="C1088" t="s">
        <v>1746</v>
      </c>
      <c r="D1088" t="s">
        <v>226</v>
      </c>
      <c r="E1088" t="s">
        <v>659</v>
      </c>
      <c r="F1088" s="538">
        <v>1671.99</v>
      </c>
      <c r="G1088" s="538">
        <v>1390.83</v>
      </c>
    </row>
    <row r="1089" spans="1:7" x14ac:dyDescent="0.25">
      <c r="A1089" t="s">
        <v>660</v>
      </c>
      <c r="B1089">
        <v>43090</v>
      </c>
      <c r="C1089" t="s">
        <v>1747</v>
      </c>
      <c r="D1089" t="s">
        <v>226</v>
      </c>
      <c r="E1089" t="s">
        <v>659</v>
      </c>
      <c r="F1089" s="538">
        <v>3689.92</v>
      </c>
      <c r="G1089" s="538">
        <v>3069.43</v>
      </c>
    </row>
    <row r="1090" spans="1:7" hidden="1" x14ac:dyDescent="0.25">
      <c r="A1090" t="s">
        <v>660</v>
      </c>
      <c r="B1090">
        <v>41967</v>
      </c>
      <c r="C1090" t="s">
        <v>1748</v>
      </c>
      <c r="D1090" t="s">
        <v>710</v>
      </c>
      <c r="E1090" t="s">
        <v>659</v>
      </c>
      <c r="F1090">
        <v>28.85</v>
      </c>
      <c r="G1090">
        <v>23.59</v>
      </c>
    </row>
    <row r="1091" spans="1:7" hidden="1" x14ac:dyDescent="0.25">
      <c r="A1091" t="s">
        <v>660</v>
      </c>
      <c r="B1091">
        <v>12760</v>
      </c>
      <c r="C1091" t="s">
        <v>1749</v>
      </c>
      <c r="D1091" t="s">
        <v>498</v>
      </c>
      <c r="E1091" t="s">
        <v>659</v>
      </c>
      <c r="F1091" s="538">
        <v>1613.37</v>
      </c>
      <c r="G1091" s="538">
        <v>1482.06</v>
      </c>
    </row>
    <row r="1092" spans="1:7" hidden="1" x14ac:dyDescent="0.25">
      <c r="A1092" t="s">
        <v>660</v>
      </c>
      <c r="B1092">
        <v>12759</v>
      </c>
      <c r="C1092" t="s">
        <v>1750</v>
      </c>
      <c r="D1092" t="s">
        <v>498</v>
      </c>
      <c r="E1092" t="s">
        <v>659</v>
      </c>
      <c r="F1092" s="538">
        <v>1075.56</v>
      </c>
      <c r="G1092">
        <v>988.03</v>
      </c>
    </row>
    <row r="1093" spans="1:7" hidden="1" x14ac:dyDescent="0.25">
      <c r="A1093" t="s">
        <v>660</v>
      </c>
      <c r="B1093">
        <v>43105</v>
      </c>
      <c r="C1093" t="s">
        <v>1751</v>
      </c>
      <c r="D1093" t="s">
        <v>708</v>
      </c>
      <c r="E1093" t="s">
        <v>659</v>
      </c>
      <c r="F1093">
        <v>35.18</v>
      </c>
      <c r="G1093">
        <v>30.68</v>
      </c>
    </row>
    <row r="1094" spans="1:7" hidden="1" x14ac:dyDescent="0.25">
      <c r="A1094" t="s">
        <v>660</v>
      </c>
      <c r="B1094">
        <v>40424</v>
      </c>
      <c r="C1094" t="s">
        <v>1752</v>
      </c>
      <c r="D1094" t="s">
        <v>708</v>
      </c>
      <c r="E1094" t="s">
        <v>659</v>
      </c>
      <c r="F1094">
        <v>8.94</v>
      </c>
      <c r="G1094">
        <v>7.79</v>
      </c>
    </row>
    <row r="1095" spans="1:7" hidden="1" x14ac:dyDescent="0.25">
      <c r="A1095" t="s">
        <v>660</v>
      </c>
      <c r="B1095">
        <v>1325</v>
      </c>
      <c r="C1095" t="s">
        <v>1753</v>
      </c>
      <c r="D1095" t="s">
        <v>708</v>
      </c>
      <c r="E1095" t="s">
        <v>659</v>
      </c>
      <c r="F1095">
        <v>9.7899999999999991</v>
      </c>
      <c r="G1095">
        <v>8.5399999999999991</v>
      </c>
    </row>
    <row r="1096" spans="1:7" hidden="1" x14ac:dyDescent="0.25">
      <c r="A1096" t="s">
        <v>660</v>
      </c>
      <c r="B1096">
        <v>1327</v>
      </c>
      <c r="C1096" t="s">
        <v>1754</v>
      </c>
      <c r="D1096" t="s">
        <v>708</v>
      </c>
      <c r="E1096" t="s">
        <v>659</v>
      </c>
      <c r="F1096">
        <v>10.42</v>
      </c>
      <c r="G1096">
        <v>9.09</v>
      </c>
    </row>
    <row r="1097" spans="1:7" hidden="1" x14ac:dyDescent="0.25">
      <c r="A1097" t="s">
        <v>660</v>
      </c>
      <c r="B1097">
        <v>1328</v>
      </c>
      <c r="C1097" t="s">
        <v>1755</v>
      </c>
      <c r="D1097" t="s">
        <v>708</v>
      </c>
      <c r="E1097" t="s">
        <v>659</v>
      </c>
      <c r="F1097">
        <v>9.81</v>
      </c>
      <c r="G1097">
        <v>8.56</v>
      </c>
    </row>
    <row r="1098" spans="1:7" hidden="1" x14ac:dyDescent="0.25">
      <c r="A1098" t="s">
        <v>660</v>
      </c>
      <c r="B1098">
        <v>1321</v>
      </c>
      <c r="C1098" t="s">
        <v>1756</v>
      </c>
      <c r="D1098" t="s">
        <v>708</v>
      </c>
      <c r="E1098" t="s">
        <v>659</v>
      </c>
      <c r="F1098">
        <v>9.09</v>
      </c>
      <c r="G1098">
        <v>7.92</v>
      </c>
    </row>
    <row r="1099" spans="1:7" hidden="1" x14ac:dyDescent="0.25">
      <c r="A1099" t="s">
        <v>660</v>
      </c>
      <c r="B1099">
        <v>1318</v>
      </c>
      <c r="C1099" t="s">
        <v>1757</v>
      </c>
      <c r="D1099" t="s">
        <v>708</v>
      </c>
      <c r="E1099" t="s">
        <v>659</v>
      </c>
      <c r="F1099">
        <v>9.09</v>
      </c>
      <c r="G1099">
        <v>7.93</v>
      </c>
    </row>
    <row r="1100" spans="1:7" hidden="1" x14ac:dyDescent="0.25">
      <c r="A1100" t="s">
        <v>660</v>
      </c>
      <c r="B1100">
        <v>1322</v>
      </c>
      <c r="C1100" t="s">
        <v>1758</v>
      </c>
      <c r="D1100" t="s">
        <v>708</v>
      </c>
      <c r="E1100" t="s">
        <v>659</v>
      </c>
      <c r="F1100">
        <v>9.61</v>
      </c>
      <c r="G1100">
        <v>8.3800000000000008</v>
      </c>
    </row>
    <row r="1101" spans="1:7" hidden="1" x14ac:dyDescent="0.25">
      <c r="A1101" t="s">
        <v>660</v>
      </c>
      <c r="B1101">
        <v>1323</v>
      </c>
      <c r="C1101" t="s">
        <v>1759</v>
      </c>
      <c r="D1101" t="s">
        <v>708</v>
      </c>
      <c r="E1101" t="s">
        <v>659</v>
      </c>
      <c r="F1101">
        <v>9.61</v>
      </c>
      <c r="G1101">
        <v>8.3800000000000008</v>
      </c>
    </row>
    <row r="1102" spans="1:7" hidden="1" x14ac:dyDescent="0.25">
      <c r="A1102" t="s">
        <v>660</v>
      </c>
      <c r="B1102">
        <v>1319</v>
      </c>
      <c r="C1102" t="s">
        <v>1760</v>
      </c>
      <c r="D1102" t="s">
        <v>708</v>
      </c>
      <c r="E1102" t="s">
        <v>659</v>
      </c>
      <c r="F1102">
        <v>8.09</v>
      </c>
      <c r="G1102">
        <v>7.06</v>
      </c>
    </row>
    <row r="1103" spans="1:7" hidden="1" x14ac:dyDescent="0.25">
      <c r="A1103" t="s">
        <v>660</v>
      </c>
      <c r="B1103">
        <v>11026</v>
      </c>
      <c r="C1103" t="s">
        <v>1761</v>
      </c>
      <c r="D1103" t="s">
        <v>708</v>
      </c>
      <c r="E1103" t="s">
        <v>659</v>
      </c>
      <c r="F1103">
        <v>11.14</v>
      </c>
      <c r="G1103">
        <v>9.7100000000000009</v>
      </c>
    </row>
    <row r="1104" spans="1:7" hidden="1" x14ac:dyDescent="0.25">
      <c r="A1104" t="s">
        <v>660</v>
      </c>
      <c r="B1104">
        <v>11027</v>
      </c>
      <c r="C1104" t="s">
        <v>1762</v>
      </c>
      <c r="D1104" t="s">
        <v>708</v>
      </c>
      <c r="E1104" t="s">
        <v>659</v>
      </c>
      <c r="F1104">
        <v>11.59</v>
      </c>
      <c r="G1104">
        <v>10.11</v>
      </c>
    </row>
    <row r="1105" spans="1:7" hidden="1" x14ac:dyDescent="0.25">
      <c r="A1105" t="s">
        <v>660</v>
      </c>
      <c r="B1105">
        <v>11046</v>
      </c>
      <c r="C1105" t="s">
        <v>1763</v>
      </c>
      <c r="D1105" t="s">
        <v>708</v>
      </c>
      <c r="E1105" t="s">
        <v>659</v>
      </c>
      <c r="F1105">
        <v>11.1</v>
      </c>
      <c r="G1105">
        <v>9.68</v>
      </c>
    </row>
    <row r="1106" spans="1:7" hidden="1" x14ac:dyDescent="0.25">
      <c r="A1106" t="s">
        <v>660</v>
      </c>
      <c r="B1106">
        <v>11047</v>
      </c>
      <c r="C1106" t="s">
        <v>1764</v>
      </c>
      <c r="D1106" t="s">
        <v>708</v>
      </c>
      <c r="E1106" t="s">
        <v>659</v>
      </c>
      <c r="F1106">
        <v>12.1</v>
      </c>
      <c r="G1106">
        <v>10.55</v>
      </c>
    </row>
    <row r="1107" spans="1:7" hidden="1" x14ac:dyDescent="0.25">
      <c r="A1107" t="s">
        <v>660</v>
      </c>
      <c r="B1107">
        <v>43668</v>
      </c>
      <c r="C1107" t="s">
        <v>1765</v>
      </c>
      <c r="D1107" t="s">
        <v>708</v>
      </c>
      <c r="E1107" t="s">
        <v>659</v>
      </c>
      <c r="F1107">
        <v>10.68</v>
      </c>
      <c r="G1107">
        <v>9.31</v>
      </c>
    </row>
    <row r="1108" spans="1:7" hidden="1" x14ac:dyDescent="0.25">
      <c r="A1108" t="s">
        <v>660</v>
      </c>
      <c r="B1108">
        <v>11049</v>
      </c>
      <c r="C1108" t="s">
        <v>1766</v>
      </c>
      <c r="D1108" t="s">
        <v>708</v>
      </c>
      <c r="E1108" t="s">
        <v>172</v>
      </c>
      <c r="F1108">
        <v>11.57</v>
      </c>
      <c r="G1108">
        <v>10.09</v>
      </c>
    </row>
    <row r="1109" spans="1:7" hidden="1" x14ac:dyDescent="0.25">
      <c r="A1109" t="s">
        <v>660</v>
      </c>
      <c r="B1109">
        <v>43106</v>
      </c>
      <c r="C1109" t="s">
        <v>1767</v>
      </c>
      <c r="D1109" t="s">
        <v>708</v>
      </c>
      <c r="E1109" t="s">
        <v>659</v>
      </c>
      <c r="F1109">
        <v>11.64</v>
      </c>
      <c r="G1109">
        <v>10.15</v>
      </c>
    </row>
    <row r="1110" spans="1:7" hidden="1" x14ac:dyDescent="0.25">
      <c r="A1110" t="s">
        <v>660</v>
      </c>
      <c r="B1110">
        <v>11051</v>
      </c>
      <c r="C1110" t="s">
        <v>1768</v>
      </c>
      <c r="D1110" t="s">
        <v>708</v>
      </c>
      <c r="E1110" t="s">
        <v>659</v>
      </c>
      <c r="F1110">
        <v>12.14</v>
      </c>
      <c r="G1110">
        <v>10.59</v>
      </c>
    </row>
    <row r="1111" spans="1:7" hidden="1" x14ac:dyDescent="0.25">
      <c r="A1111" t="s">
        <v>660</v>
      </c>
      <c r="B1111">
        <v>11061</v>
      </c>
      <c r="C1111" t="s">
        <v>1769</v>
      </c>
      <c r="D1111" t="s">
        <v>708</v>
      </c>
      <c r="E1111" t="s">
        <v>659</v>
      </c>
      <c r="F1111">
        <v>14.57</v>
      </c>
      <c r="G1111">
        <v>12.71</v>
      </c>
    </row>
    <row r="1112" spans="1:7" hidden="1" x14ac:dyDescent="0.25">
      <c r="A1112" t="s">
        <v>660</v>
      </c>
      <c r="B1112">
        <v>43667</v>
      </c>
      <c r="C1112" t="s">
        <v>1770</v>
      </c>
      <c r="D1112" t="s">
        <v>708</v>
      </c>
      <c r="E1112" t="s">
        <v>659</v>
      </c>
      <c r="F1112">
        <v>10.59</v>
      </c>
      <c r="G1112">
        <v>9.23</v>
      </c>
    </row>
    <row r="1113" spans="1:7" hidden="1" x14ac:dyDescent="0.25">
      <c r="A1113" t="s">
        <v>660</v>
      </c>
      <c r="B1113">
        <v>1333</v>
      </c>
      <c r="C1113" t="s">
        <v>1771</v>
      </c>
      <c r="D1113" t="s">
        <v>708</v>
      </c>
      <c r="E1113" t="s">
        <v>659</v>
      </c>
      <c r="F1113">
        <v>8.82</v>
      </c>
      <c r="G1113">
        <v>7.69</v>
      </c>
    </row>
    <row r="1114" spans="1:7" hidden="1" x14ac:dyDescent="0.25">
      <c r="A1114" t="s">
        <v>660</v>
      </c>
      <c r="B1114">
        <v>1330</v>
      </c>
      <c r="C1114" t="s">
        <v>1772</v>
      </c>
      <c r="D1114" t="s">
        <v>708</v>
      </c>
      <c r="E1114" t="s">
        <v>659</v>
      </c>
      <c r="F1114">
        <v>8.74</v>
      </c>
      <c r="G1114">
        <v>7.62</v>
      </c>
    </row>
    <row r="1115" spans="1:7" hidden="1" x14ac:dyDescent="0.25">
      <c r="A1115" t="s">
        <v>660</v>
      </c>
      <c r="B1115">
        <v>10957</v>
      </c>
      <c r="C1115" t="s">
        <v>1773</v>
      </c>
      <c r="D1115" t="s">
        <v>708</v>
      </c>
      <c r="E1115" t="s">
        <v>659</v>
      </c>
      <c r="F1115">
        <v>10.08</v>
      </c>
      <c r="G1115">
        <v>8.7899999999999991</v>
      </c>
    </row>
    <row r="1116" spans="1:7" hidden="1" x14ac:dyDescent="0.25">
      <c r="A1116" t="s">
        <v>660</v>
      </c>
      <c r="B1116">
        <v>1332</v>
      </c>
      <c r="C1116" t="s">
        <v>1774</v>
      </c>
      <c r="D1116" t="s">
        <v>708</v>
      </c>
      <c r="E1116" t="s">
        <v>659</v>
      </c>
      <c r="F1116">
        <v>8.9600000000000009</v>
      </c>
      <c r="G1116">
        <v>7.81</v>
      </c>
    </row>
    <row r="1117" spans="1:7" hidden="1" x14ac:dyDescent="0.25">
      <c r="A1117" t="s">
        <v>660</v>
      </c>
      <c r="B1117">
        <v>1334</v>
      </c>
      <c r="C1117" t="s">
        <v>1775</v>
      </c>
      <c r="D1117" t="s">
        <v>708</v>
      </c>
      <c r="E1117" t="s">
        <v>659</v>
      </c>
      <c r="F1117">
        <v>9.94</v>
      </c>
      <c r="G1117">
        <v>8.67</v>
      </c>
    </row>
    <row r="1118" spans="1:7" hidden="1" x14ac:dyDescent="0.25">
      <c r="A1118" t="s">
        <v>660</v>
      </c>
      <c r="B1118">
        <v>1335</v>
      </c>
      <c r="C1118" t="s">
        <v>1776</v>
      </c>
      <c r="D1118" t="s">
        <v>708</v>
      </c>
      <c r="E1118" t="s">
        <v>659</v>
      </c>
      <c r="F1118">
        <v>10.27</v>
      </c>
      <c r="G1118">
        <v>8.9499999999999993</v>
      </c>
    </row>
    <row r="1119" spans="1:7" hidden="1" x14ac:dyDescent="0.25">
      <c r="A1119" t="s">
        <v>660</v>
      </c>
      <c r="B1119">
        <v>40425</v>
      </c>
      <c r="C1119" t="s">
        <v>1777</v>
      </c>
      <c r="D1119" t="s">
        <v>708</v>
      </c>
      <c r="E1119" t="s">
        <v>659</v>
      </c>
      <c r="F1119">
        <v>8.7899999999999991</v>
      </c>
      <c r="G1119">
        <v>7.66</v>
      </c>
    </row>
    <row r="1120" spans="1:7" hidden="1" x14ac:dyDescent="0.25">
      <c r="A1120" t="s">
        <v>660</v>
      </c>
      <c r="B1120">
        <v>1337</v>
      </c>
      <c r="C1120" t="s">
        <v>1778</v>
      </c>
      <c r="D1120" t="s">
        <v>708</v>
      </c>
      <c r="E1120" t="s">
        <v>659</v>
      </c>
      <c r="F1120">
        <v>10.08</v>
      </c>
      <c r="G1120">
        <v>8.7899999999999991</v>
      </c>
    </row>
    <row r="1121" spans="1:7" hidden="1" x14ac:dyDescent="0.25">
      <c r="A1121" t="s">
        <v>660</v>
      </c>
      <c r="B1121">
        <v>1338</v>
      </c>
      <c r="C1121" t="s">
        <v>1779</v>
      </c>
      <c r="D1121" t="s">
        <v>498</v>
      </c>
      <c r="E1121" t="s">
        <v>172</v>
      </c>
      <c r="F1121">
        <f>G1121</f>
        <v>38.71</v>
      </c>
      <c r="G1121">
        <v>38.71</v>
      </c>
    </row>
    <row r="1122" spans="1:7" hidden="1" x14ac:dyDescent="0.25">
      <c r="A1122" t="s">
        <v>660</v>
      </c>
      <c r="B1122">
        <v>1340</v>
      </c>
      <c r="C1122" t="s">
        <v>1780</v>
      </c>
      <c r="D1122" t="s">
        <v>498</v>
      </c>
      <c r="E1122" t="s">
        <v>659</v>
      </c>
      <c r="F1122">
        <f>G1122</f>
        <v>44.75</v>
      </c>
      <c r="G1122">
        <v>44.75</v>
      </c>
    </row>
    <row r="1123" spans="1:7" hidden="1" x14ac:dyDescent="0.25">
      <c r="A1123" t="s">
        <v>660</v>
      </c>
      <c r="B1123">
        <v>1341</v>
      </c>
      <c r="C1123" t="s">
        <v>1781</v>
      </c>
      <c r="D1123" t="s">
        <v>498</v>
      </c>
      <c r="E1123" t="s">
        <v>659</v>
      </c>
      <c r="F1123">
        <f>G1123</f>
        <v>43.1</v>
      </c>
      <c r="G1123">
        <v>43.1</v>
      </c>
    </row>
    <row r="1124" spans="1:7" hidden="1" x14ac:dyDescent="0.25">
      <c r="A1124" t="s">
        <v>660</v>
      </c>
      <c r="B1124">
        <v>34659</v>
      </c>
      <c r="C1124" t="s">
        <v>1782</v>
      </c>
      <c r="D1124" t="s">
        <v>498</v>
      </c>
      <c r="E1124" t="s">
        <v>659</v>
      </c>
      <c r="F1124">
        <v>39.82</v>
      </c>
      <c r="G1124">
        <v>45.06</v>
      </c>
    </row>
    <row r="1125" spans="1:7" hidden="1" x14ac:dyDescent="0.25">
      <c r="A1125" t="s">
        <v>660</v>
      </c>
      <c r="B1125">
        <v>34514</v>
      </c>
      <c r="C1125" t="s">
        <v>1783</v>
      </c>
      <c r="D1125" t="s">
        <v>498</v>
      </c>
      <c r="E1125" t="s">
        <v>172</v>
      </c>
      <c r="F1125">
        <v>44.11</v>
      </c>
      <c r="G1125">
        <v>49.91</v>
      </c>
    </row>
    <row r="1126" spans="1:7" hidden="1" x14ac:dyDescent="0.25">
      <c r="A1126" t="s">
        <v>660</v>
      </c>
      <c r="B1126">
        <v>34660</v>
      </c>
      <c r="C1126" t="s">
        <v>1784</v>
      </c>
      <c r="D1126" t="s">
        <v>498</v>
      </c>
      <c r="E1126" t="s">
        <v>659</v>
      </c>
      <c r="F1126">
        <v>55.98</v>
      </c>
      <c r="G1126">
        <v>63.34</v>
      </c>
    </row>
    <row r="1127" spans="1:7" hidden="1" x14ac:dyDescent="0.25">
      <c r="A1127" t="s">
        <v>660</v>
      </c>
      <c r="B1127">
        <v>34661</v>
      </c>
      <c r="C1127" t="s">
        <v>1785</v>
      </c>
      <c r="D1127" t="s">
        <v>498</v>
      </c>
      <c r="E1127" t="s">
        <v>659</v>
      </c>
      <c r="F1127">
        <v>80.400000000000006</v>
      </c>
      <c r="G1127">
        <v>90.97</v>
      </c>
    </row>
    <row r="1128" spans="1:7" hidden="1" x14ac:dyDescent="0.25">
      <c r="A1128" t="s">
        <v>660</v>
      </c>
      <c r="B1128">
        <v>34667</v>
      </c>
      <c r="C1128" t="s">
        <v>1786</v>
      </c>
      <c r="D1128" t="s">
        <v>498</v>
      </c>
      <c r="E1128" t="s">
        <v>659</v>
      </c>
      <c r="F1128">
        <v>29.11</v>
      </c>
      <c r="G1128">
        <v>32.94</v>
      </c>
    </row>
    <row r="1129" spans="1:7" hidden="1" x14ac:dyDescent="0.25">
      <c r="A1129" t="s">
        <v>660</v>
      </c>
      <c r="B1129">
        <v>34668</v>
      </c>
      <c r="C1129" t="s">
        <v>1787</v>
      </c>
      <c r="D1129" t="s">
        <v>498</v>
      </c>
      <c r="E1129" t="s">
        <v>659</v>
      </c>
      <c r="F1129">
        <v>38.049999999999997</v>
      </c>
      <c r="G1129">
        <v>43.05</v>
      </c>
    </row>
    <row r="1130" spans="1:7" hidden="1" x14ac:dyDescent="0.25">
      <c r="A1130" t="s">
        <v>660</v>
      </c>
      <c r="B1130">
        <v>34741</v>
      </c>
      <c r="C1130" t="s">
        <v>1788</v>
      </c>
      <c r="D1130" t="s">
        <v>498</v>
      </c>
      <c r="E1130" t="s">
        <v>659</v>
      </c>
      <c r="F1130">
        <v>41.86</v>
      </c>
      <c r="G1130">
        <v>47.37</v>
      </c>
    </row>
    <row r="1131" spans="1:7" hidden="1" x14ac:dyDescent="0.25">
      <c r="A1131" t="s">
        <v>660</v>
      </c>
      <c r="B1131">
        <v>34664</v>
      </c>
      <c r="C1131" t="s">
        <v>1789</v>
      </c>
      <c r="D1131" t="s">
        <v>498</v>
      </c>
      <c r="E1131" t="s">
        <v>659</v>
      </c>
      <c r="F1131">
        <v>45.68</v>
      </c>
      <c r="G1131">
        <v>51.69</v>
      </c>
    </row>
    <row r="1132" spans="1:7" hidden="1" x14ac:dyDescent="0.25">
      <c r="A1132" t="s">
        <v>660</v>
      </c>
      <c r="B1132">
        <v>34665</v>
      </c>
      <c r="C1132" t="s">
        <v>1790</v>
      </c>
      <c r="D1132" t="s">
        <v>498</v>
      </c>
      <c r="E1132" t="s">
        <v>659</v>
      </c>
      <c r="F1132">
        <v>56.71</v>
      </c>
      <c r="G1132">
        <v>64.17</v>
      </c>
    </row>
    <row r="1133" spans="1:7" hidden="1" x14ac:dyDescent="0.25">
      <c r="A1133" t="s">
        <v>660</v>
      </c>
      <c r="B1133">
        <v>34666</v>
      </c>
      <c r="C1133" t="s">
        <v>1791</v>
      </c>
      <c r="D1133" t="s">
        <v>498</v>
      </c>
      <c r="E1133" t="s">
        <v>659</v>
      </c>
      <c r="F1133">
        <v>85.66</v>
      </c>
      <c r="G1133">
        <v>96.92</v>
      </c>
    </row>
    <row r="1134" spans="1:7" hidden="1" x14ac:dyDescent="0.25">
      <c r="A1134" t="s">
        <v>660</v>
      </c>
      <c r="B1134">
        <v>34669</v>
      </c>
      <c r="C1134" t="s">
        <v>1792</v>
      </c>
      <c r="D1134" t="s">
        <v>498</v>
      </c>
      <c r="E1134" t="s">
        <v>659</v>
      </c>
      <c r="F1134">
        <v>31.41</v>
      </c>
      <c r="G1134">
        <v>35.54</v>
      </c>
    </row>
    <row r="1135" spans="1:7" hidden="1" x14ac:dyDescent="0.25">
      <c r="A1135" t="s">
        <v>660</v>
      </c>
      <c r="B1135">
        <v>34670</v>
      </c>
      <c r="C1135" t="s">
        <v>1793</v>
      </c>
      <c r="D1135" t="s">
        <v>498</v>
      </c>
      <c r="E1135" t="s">
        <v>659</v>
      </c>
      <c r="F1135">
        <v>38.409999999999997</v>
      </c>
      <c r="G1135">
        <v>43.46</v>
      </c>
    </row>
    <row r="1136" spans="1:7" hidden="1" x14ac:dyDescent="0.25">
      <c r="A1136" t="s">
        <v>660</v>
      </c>
      <c r="B1136">
        <v>34671</v>
      </c>
      <c r="C1136" t="s">
        <v>1794</v>
      </c>
      <c r="D1136" t="s">
        <v>498</v>
      </c>
      <c r="E1136" t="s">
        <v>659</v>
      </c>
      <c r="F1136">
        <v>32.06</v>
      </c>
      <c r="G1136">
        <v>36.28</v>
      </c>
    </row>
    <row r="1137" spans="1:7" hidden="1" x14ac:dyDescent="0.25">
      <c r="A1137" t="s">
        <v>660</v>
      </c>
      <c r="B1137">
        <v>34672</v>
      </c>
      <c r="C1137" t="s">
        <v>1795</v>
      </c>
      <c r="D1137" t="s">
        <v>498</v>
      </c>
      <c r="E1137" t="s">
        <v>659</v>
      </c>
      <c r="F1137">
        <v>33.81</v>
      </c>
      <c r="G1137">
        <v>38.26</v>
      </c>
    </row>
    <row r="1138" spans="1:7" hidden="1" x14ac:dyDescent="0.25">
      <c r="A1138" t="s">
        <v>660</v>
      </c>
      <c r="B1138">
        <v>34673</v>
      </c>
      <c r="C1138" t="s">
        <v>1796</v>
      </c>
      <c r="D1138" t="s">
        <v>498</v>
      </c>
      <c r="E1138" t="s">
        <v>659</v>
      </c>
      <c r="F1138">
        <v>41.26</v>
      </c>
      <c r="G1138">
        <v>46.68</v>
      </c>
    </row>
    <row r="1139" spans="1:7" hidden="1" x14ac:dyDescent="0.25">
      <c r="A1139" t="s">
        <v>660</v>
      </c>
      <c r="B1139">
        <v>34674</v>
      </c>
      <c r="C1139" t="s">
        <v>1797</v>
      </c>
      <c r="D1139" t="s">
        <v>498</v>
      </c>
      <c r="E1139" t="s">
        <v>659</v>
      </c>
      <c r="F1139">
        <v>54.85</v>
      </c>
      <c r="G1139">
        <v>62.06</v>
      </c>
    </row>
    <row r="1140" spans="1:7" hidden="1" x14ac:dyDescent="0.25">
      <c r="A1140" t="s">
        <v>660</v>
      </c>
      <c r="B1140">
        <v>34675</v>
      </c>
      <c r="C1140" t="s">
        <v>1798</v>
      </c>
      <c r="D1140" t="s">
        <v>498</v>
      </c>
      <c r="E1140" t="s">
        <v>659</v>
      </c>
      <c r="F1140">
        <v>66.87</v>
      </c>
      <c r="G1140">
        <v>75.67</v>
      </c>
    </row>
    <row r="1141" spans="1:7" hidden="1" x14ac:dyDescent="0.25">
      <c r="A1141" t="s">
        <v>660</v>
      </c>
      <c r="B1141">
        <v>34676</v>
      </c>
      <c r="C1141" t="s">
        <v>1799</v>
      </c>
      <c r="D1141" t="s">
        <v>498</v>
      </c>
      <c r="E1141" t="s">
        <v>659</v>
      </c>
      <c r="F1141">
        <v>19.25</v>
      </c>
      <c r="G1141">
        <v>21.78</v>
      </c>
    </row>
    <row r="1142" spans="1:7" hidden="1" x14ac:dyDescent="0.25">
      <c r="A1142" t="s">
        <v>660</v>
      </c>
      <c r="B1142">
        <v>34677</v>
      </c>
      <c r="C1142" t="s">
        <v>1800</v>
      </c>
      <c r="D1142" t="s">
        <v>498</v>
      </c>
      <c r="E1142" t="s">
        <v>659</v>
      </c>
      <c r="F1142">
        <v>25.88</v>
      </c>
      <c r="G1142">
        <v>29.29</v>
      </c>
    </row>
    <row r="1143" spans="1:7" hidden="1" x14ac:dyDescent="0.25">
      <c r="A1143" t="s">
        <v>660</v>
      </c>
      <c r="B1143">
        <v>43126</v>
      </c>
      <c r="C1143" t="s">
        <v>1801</v>
      </c>
      <c r="D1143" t="s">
        <v>498</v>
      </c>
      <c r="E1143" t="s">
        <v>659</v>
      </c>
      <c r="F1143">
        <v>81.349999999999994</v>
      </c>
      <c r="G1143">
        <v>103.27</v>
      </c>
    </row>
    <row r="1144" spans="1:7" hidden="1" x14ac:dyDescent="0.25">
      <c r="A1144" t="s">
        <v>660</v>
      </c>
      <c r="B1144">
        <v>43124</v>
      </c>
      <c r="C1144" t="s">
        <v>1802</v>
      </c>
      <c r="D1144" t="s">
        <v>498</v>
      </c>
      <c r="E1144" t="s">
        <v>659</v>
      </c>
      <c r="F1144">
        <v>94.99</v>
      </c>
      <c r="G1144">
        <v>120.58</v>
      </c>
    </row>
    <row r="1145" spans="1:7" hidden="1" x14ac:dyDescent="0.25">
      <c r="A1145" t="s">
        <v>660</v>
      </c>
      <c r="B1145">
        <v>43125</v>
      </c>
      <c r="C1145" t="s">
        <v>1803</v>
      </c>
      <c r="D1145" t="s">
        <v>498</v>
      </c>
      <c r="E1145" t="s">
        <v>659</v>
      </c>
      <c r="F1145">
        <v>123.19</v>
      </c>
      <c r="G1145">
        <v>156.38</v>
      </c>
    </row>
    <row r="1146" spans="1:7" hidden="1" x14ac:dyDescent="0.25">
      <c r="A1146" t="s">
        <v>660</v>
      </c>
      <c r="B1146">
        <v>40623</v>
      </c>
      <c r="C1146" t="s">
        <v>1804</v>
      </c>
      <c r="D1146" t="s">
        <v>1086</v>
      </c>
      <c r="E1146" t="s">
        <v>659</v>
      </c>
      <c r="F1146">
        <v>98.13</v>
      </c>
      <c r="G1146">
        <v>85.58</v>
      </c>
    </row>
    <row r="1147" spans="1:7" hidden="1" x14ac:dyDescent="0.25">
      <c r="A1147" t="s">
        <v>660</v>
      </c>
      <c r="B1147">
        <v>43701</v>
      </c>
      <c r="C1147" t="s">
        <v>1805</v>
      </c>
      <c r="D1147" t="s">
        <v>708</v>
      </c>
      <c r="E1147" t="s">
        <v>172</v>
      </c>
      <c r="F1147">
        <v>55</v>
      </c>
      <c r="G1147">
        <v>41.5</v>
      </c>
    </row>
    <row r="1148" spans="1:7" hidden="1" x14ac:dyDescent="0.25">
      <c r="A1148" t="s">
        <v>660</v>
      </c>
      <c r="B1148">
        <v>1345</v>
      </c>
      <c r="C1148" t="s">
        <v>1806</v>
      </c>
      <c r="D1148" t="s">
        <v>498</v>
      </c>
      <c r="E1148" t="s">
        <v>659</v>
      </c>
      <c r="F1148">
        <v>88.3</v>
      </c>
      <c r="G1148">
        <v>71.31</v>
      </c>
    </row>
    <row r="1149" spans="1:7" hidden="1" x14ac:dyDescent="0.25">
      <c r="A1149" t="s">
        <v>660</v>
      </c>
      <c r="B1149">
        <v>1346</v>
      </c>
      <c r="C1149" t="s">
        <v>1807</v>
      </c>
      <c r="D1149" t="s">
        <v>498</v>
      </c>
      <c r="E1149" t="s">
        <v>659</v>
      </c>
      <c r="F1149">
        <v>51.36</v>
      </c>
      <c r="G1149">
        <v>41.48</v>
      </c>
    </row>
    <row r="1150" spans="1:7" hidden="1" x14ac:dyDescent="0.25">
      <c r="A1150" t="s">
        <v>660</v>
      </c>
      <c r="B1150">
        <v>1347</v>
      </c>
      <c r="C1150" t="s">
        <v>1808</v>
      </c>
      <c r="D1150" t="s">
        <v>498</v>
      </c>
      <c r="E1150" t="s">
        <v>659</v>
      </c>
      <c r="F1150">
        <v>63.64</v>
      </c>
      <c r="G1150">
        <v>51.39</v>
      </c>
    </row>
    <row r="1151" spans="1:7" hidden="1" x14ac:dyDescent="0.25">
      <c r="A1151" t="s">
        <v>660</v>
      </c>
      <c r="B1151">
        <v>43678</v>
      </c>
      <c r="C1151" t="s">
        <v>1809</v>
      </c>
      <c r="D1151" t="s">
        <v>498</v>
      </c>
      <c r="E1151" t="s">
        <v>659</v>
      </c>
      <c r="F1151">
        <v>73.819999999999993</v>
      </c>
      <c r="G1151">
        <v>59.62</v>
      </c>
    </row>
    <row r="1152" spans="1:7" hidden="1" x14ac:dyDescent="0.25">
      <c r="A1152" t="s">
        <v>660</v>
      </c>
      <c r="B1152">
        <v>43680</v>
      </c>
      <c r="C1152" t="s">
        <v>1810</v>
      </c>
      <c r="D1152" t="s">
        <v>498</v>
      </c>
      <c r="E1152" t="s">
        <v>659</v>
      </c>
      <c r="F1152">
        <v>106.34</v>
      </c>
      <c r="G1152">
        <v>85.88</v>
      </c>
    </row>
    <row r="1153" spans="1:7" hidden="1" x14ac:dyDescent="0.25">
      <c r="A1153" t="s">
        <v>660</v>
      </c>
      <c r="B1153">
        <v>43679</v>
      </c>
      <c r="C1153" t="s">
        <v>1811</v>
      </c>
      <c r="D1153" t="s">
        <v>498</v>
      </c>
      <c r="E1153" t="s">
        <v>659</v>
      </c>
      <c r="F1153">
        <v>37.32</v>
      </c>
      <c r="G1153">
        <v>30.14</v>
      </c>
    </row>
    <row r="1154" spans="1:7" hidden="1" x14ac:dyDescent="0.25">
      <c r="A1154" t="s">
        <v>660</v>
      </c>
      <c r="B1154">
        <v>1355</v>
      </c>
      <c r="C1154" t="s">
        <v>1812</v>
      </c>
      <c r="D1154" t="s">
        <v>498</v>
      </c>
      <c r="E1154" t="s">
        <v>659</v>
      </c>
      <c r="F1154">
        <v>42.47</v>
      </c>
      <c r="G1154">
        <v>34.299999999999997</v>
      </c>
    </row>
    <row r="1155" spans="1:7" hidden="1" x14ac:dyDescent="0.25">
      <c r="A1155" t="s">
        <v>660</v>
      </c>
      <c r="B1155">
        <v>1358</v>
      </c>
      <c r="C1155" t="s">
        <v>1813</v>
      </c>
      <c r="D1155" t="s">
        <v>498</v>
      </c>
      <c r="E1155" t="s">
        <v>659</v>
      </c>
      <c r="F1155">
        <v>52.14</v>
      </c>
      <c r="G1155">
        <v>42.11</v>
      </c>
    </row>
    <row r="1156" spans="1:7" hidden="1" x14ac:dyDescent="0.25">
      <c r="A1156" t="s">
        <v>660</v>
      </c>
      <c r="B1156">
        <v>43677</v>
      </c>
      <c r="C1156" t="s">
        <v>1814</v>
      </c>
      <c r="D1156" t="s">
        <v>498</v>
      </c>
      <c r="E1156" t="s">
        <v>659</v>
      </c>
      <c r="F1156">
        <v>64.69</v>
      </c>
      <c r="G1156">
        <v>52.24</v>
      </c>
    </row>
    <row r="1157" spans="1:7" hidden="1" x14ac:dyDescent="0.25">
      <c r="A1157" t="s">
        <v>660</v>
      </c>
      <c r="B1157">
        <v>43682</v>
      </c>
      <c r="C1157" t="s">
        <v>1815</v>
      </c>
      <c r="D1157" t="s">
        <v>498</v>
      </c>
      <c r="E1157" t="s">
        <v>659</v>
      </c>
      <c r="F1157">
        <v>19.829999999999998</v>
      </c>
      <c r="G1157">
        <v>16.010000000000002</v>
      </c>
    </row>
    <row r="1158" spans="1:7" hidden="1" x14ac:dyDescent="0.25">
      <c r="A1158" t="s">
        <v>660</v>
      </c>
      <c r="B1158">
        <v>43681</v>
      </c>
      <c r="C1158" t="s">
        <v>1816</v>
      </c>
      <c r="D1158" t="s">
        <v>498</v>
      </c>
      <c r="E1158" t="s">
        <v>172</v>
      </c>
      <c r="F1158">
        <v>32.85</v>
      </c>
      <c r="G1158">
        <v>26.53</v>
      </c>
    </row>
    <row r="1159" spans="1:7" hidden="1" x14ac:dyDescent="0.25">
      <c r="A1159" t="s">
        <v>660</v>
      </c>
      <c r="B1159">
        <v>45248</v>
      </c>
      <c r="C1159" t="s">
        <v>1817</v>
      </c>
      <c r="D1159" t="s">
        <v>226</v>
      </c>
      <c r="E1159" t="s">
        <v>659</v>
      </c>
      <c r="F1159">
        <v>78.11</v>
      </c>
      <c r="G1159">
        <v>67.52</v>
      </c>
    </row>
    <row r="1160" spans="1:7" hidden="1" x14ac:dyDescent="0.25">
      <c r="A1160" t="s">
        <v>660</v>
      </c>
      <c r="B1160">
        <v>45243</v>
      </c>
      <c r="C1160" t="s">
        <v>1818</v>
      </c>
      <c r="D1160" t="s">
        <v>226</v>
      </c>
      <c r="E1160" t="s">
        <v>659</v>
      </c>
      <c r="F1160">
        <v>252.59</v>
      </c>
      <c r="G1160">
        <v>218.35</v>
      </c>
    </row>
    <row r="1161" spans="1:7" hidden="1" x14ac:dyDescent="0.25">
      <c r="A1161" t="s">
        <v>660</v>
      </c>
      <c r="B1161">
        <v>45252</v>
      </c>
      <c r="C1161" t="s">
        <v>1819</v>
      </c>
      <c r="D1161" t="s">
        <v>226</v>
      </c>
      <c r="E1161" t="s">
        <v>659</v>
      </c>
      <c r="F1161">
        <v>44.31</v>
      </c>
      <c r="G1161">
        <v>38.299999999999997</v>
      </c>
    </row>
    <row r="1162" spans="1:7" hidden="1" x14ac:dyDescent="0.25">
      <c r="A1162" t="s">
        <v>660</v>
      </c>
      <c r="B1162">
        <v>45246</v>
      </c>
      <c r="C1162" t="s">
        <v>1820</v>
      </c>
      <c r="D1162" t="s">
        <v>226</v>
      </c>
      <c r="E1162" t="s">
        <v>659</v>
      </c>
      <c r="F1162">
        <v>205.31</v>
      </c>
      <c r="G1162">
        <v>177.47</v>
      </c>
    </row>
    <row r="1163" spans="1:7" hidden="1" x14ac:dyDescent="0.25">
      <c r="A1163" t="s">
        <v>660</v>
      </c>
      <c r="B1163">
        <v>20971</v>
      </c>
      <c r="C1163" t="s">
        <v>1821</v>
      </c>
      <c r="D1163" t="s">
        <v>226</v>
      </c>
      <c r="E1163" t="s">
        <v>659</v>
      </c>
      <c r="F1163">
        <v>14.76</v>
      </c>
      <c r="G1163">
        <v>31.42</v>
      </c>
    </row>
    <row r="1164" spans="1:7" hidden="1" x14ac:dyDescent="0.25">
      <c r="A1164" t="s">
        <v>660</v>
      </c>
      <c r="B1164">
        <v>45247</v>
      </c>
      <c r="C1164" t="s">
        <v>1822</v>
      </c>
      <c r="D1164" t="s">
        <v>226</v>
      </c>
      <c r="E1164" t="s">
        <v>659</v>
      </c>
      <c r="F1164">
        <v>29.78</v>
      </c>
      <c r="G1164">
        <v>25.74</v>
      </c>
    </row>
    <row r="1165" spans="1:7" hidden="1" x14ac:dyDescent="0.25">
      <c r="A1165" t="s">
        <v>660</v>
      </c>
      <c r="B1165">
        <v>39746</v>
      </c>
      <c r="C1165" t="s">
        <v>1823</v>
      </c>
      <c r="D1165" t="s">
        <v>226</v>
      </c>
      <c r="E1165" t="s">
        <v>659</v>
      </c>
      <c r="F1165">
        <v>105.01</v>
      </c>
      <c r="G1165">
        <v>83.1</v>
      </c>
    </row>
    <row r="1166" spans="1:7" hidden="1" x14ac:dyDescent="0.25">
      <c r="A1166" t="s">
        <v>660</v>
      </c>
      <c r="B1166">
        <v>13279</v>
      </c>
      <c r="C1166" t="s">
        <v>1824</v>
      </c>
      <c r="D1166" t="s">
        <v>708</v>
      </c>
      <c r="E1166" t="s">
        <v>659</v>
      </c>
      <c r="F1166">
        <v>26.59</v>
      </c>
      <c r="G1166">
        <v>21.04</v>
      </c>
    </row>
    <row r="1167" spans="1:7" hidden="1" x14ac:dyDescent="0.25">
      <c r="A1167" t="s">
        <v>660</v>
      </c>
      <c r="B1167">
        <v>11977</v>
      </c>
      <c r="C1167" t="s">
        <v>1825</v>
      </c>
      <c r="D1167" t="s">
        <v>226</v>
      </c>
      <c r="E1167" t="s">
        <v>659</v>
      </c>
      <c r="F1167">
        <v>13.77</v>
      </c>
      <c r="G1167">
        <v>10.9</v>
      </c>
    </row>
    <row r="1168" spans="1:7" hidden="1" x14ac:dyDescent="0.25">
      <c r="A1168" t="s">
        <v>660</v>
      </c>
      <c r="B1168">
        <v>11976</v>
      </c>
      <c r="C1168" t="s">
        <v>1826</v>
      </c>
      <c r="D1168" t="s">
        <v>226</v>
      </c>
      <c r="E1168" t="s">
        <v>659</v>
      </c>
      <c r="F1168">
        <v>1.54</v>
      </c>
      <c r="G1168">
        <v>1.22</v>
      </c>
    </row>
    <row r="1169" spans="1:7" hidden="1" x14ac:dyDescent="0.25">
      <c r="A1169" t="s">
        <v>660</v>
      </c>
      <c r="B1169">
        <v>11975</v>
      </c>
      <c r="C1169" t="s">
        <v>1827</v>
      </c>
      <c r="D1169" t="s">
        <v>226</v>
      </c>
      <c r="E1169" t="s">
        <v>659</v>
      </c>
      <c r="F1169">
        <v>30.19</v>
      </c>
      <c r="G1169">
        <v>23.89</v>
      </c>
    </row>
    <row r="1170" spans="1:7" hidden="1" x14ac:dyDescent="0.25">
      <c r="A1170" t="s">
        <v>660</v>
      </c>
      <c r="B1170">
        <v>1368</v>
      </c>
      <c r="C1170" t="s">
        <v>1828</v>
      </c>
      <c r="D1170" t="s">
        <v>226</v>
      </c>
      <c r="E1170" t="s">
        <v>172</v>
      </c>
      <c r="F1170">
        <v>95</v>
      </c>
      <c r="G1170">
        <v>99.9</v>
      </c>
    </row>
    <row r="1171" spans="1:7" hidden="1" x14ac:dyDescent="0.25">
      <c r="A1171" t="s">
        <v>660</v>
      </c>
      <c r="B1171">
        <v>1367</v>
      </c>
      <c r="C1171" t="s">
        <v>1829</v>
      </c>
      <c r="D1171" t="s">
        <v>226</v>
      </c>
      <c r="E1171" t="s">
        <v>659</v>
      </c>
      <c r="F1171">
        <v>307.29000000000002</v>
      </c>
      <c r="G1171">
        <v>323.14999999999998</v>
      </c>
    </row>
    <row r="1172" spans="1:7" hidden="1" x14ac:dyDescent="0.25">
      <c r="A1172" t="s">
        <v>660</v>
      </c>
      <c r="B1172">
        <v>1380</v>
      </c>
      <c r="C1172" t="s">
        <v>1830</v>
      </c>
      <c r="D1172" t="s">
        <v>708</v>
      </c>
      <c r="E1172" t="s">
        <v>659</v>
      </c>
      <c r="F1172">
        <v>5.08</v>
      </c>
      <c r="G1172">
        <v>4.1500000000000004</v>
      </c>
    </row>
    <row r="1173" spans="1:7" hidden="1" x14ac:dyDescent="0.25">
      <c r="A1173" t="s">
        <v>660</v>
      </c>
      <c r="B1173">
        <v>1375</v>
      </c>
      <c r="C1173" t="s">
        <v>1831</v>
      </c>
      <c r="D1173" t="s">
        <v>708</v>
      </c>
      <c r="E1173" t="s">
        <v>659</v>
      </c>
      <c r="F1173">
        <v>15.17</v>
      </c>
      <c r="G1173">
        <v>17.260000000000002</v>
      </c>
    </row>
    <row r="1174" spans="1:7" hidden="1" x14ac:dyDescent="0.25">
      <c r="A1174" t="s">
        <v>660</v>
      </c>
      <c r="B1174">
        <v>1379</v>
      </c>
      <c r="C1174" t="s">
        <v>1832</v>
      </c>
      <c r="D1174" t="s">
        <v>708</v>
      </c>
      <c r="E1174" t="s">
        <v>172</v>
      </c>
      <c r="F1174">
        <v>0.76</v>
      </c>
      <c r="G1174">
        <v>0.62</v>
      </c>
    </row>
    <row r="1175" spans="1:7" hidden="1" x14ac:dyDescent="0.25">
      <c r="A1175" t="s">
        <v>660</v>
      </c>
      <c r="B1175">
        <v>13284</v>
      </c>
      <c r="C1175" t="s">
        <v>1833</v>
      </c>
      <c r="D1175" t="s">
        <v>708</v>
      </c>
      <c r="E1175" t="s">
        <v>659</v>
      </c>
      <c r="F1175">
        <v>0.68</v>
      </c>
      <c r="G1175">
        <v>0.56000000000000005</v>
      </c>
    </row>
    <row r="1176" spans="1:7" hidden="1" x14ac:dyDescent="0.25">
      <c r="A1176" t="s">
        <v>660</v>
      </c>
      <c r="B1176">
        <v>44528</v>
      </c>
      <c r="C1176" t="s">
        <v>1834</v>
      </c>
      <c r="D1176" t="s">
        <v>708</v>
      </c>
      <c r="E1176" t="s">
        <v>659</v>
      </c>
      <c r="F1176">
        <v>4.05</v>
      </c>
      <c r="G1176">
        <v>3.3</v>
      </c>
    </row>
    <row r="1177" spans="1:7" hidden="1" x14ac:dyDescent="0.25">
      <c r="A1177" t="s">
        <v>660</v>
      </c>
      <c r="B1177">
        <v>34753</v>
      </c>
      <c r="C1177" t="s">
        <v>1835</v>
      </c>
      <c r="D1177" t="s">
        <v>708</v>
      </c>
      <c r="E1177" t="s">
        <v>659</v>
      </c>
      <c r="F1177">
        <v>0.73</v>
      </c>
      <c r="G1177">
        <v>0.6</v>
      </c>
    </row>
    <row r="1178" spans="1:7" hidden="1" x14ac:dyDescent="0.25">
      <c r="A1178" t="s">
        <v>660</v>
      </c>
      <c r="B1178">
        <v>420</v>
      </c>
      <c r="C1178" t="s">
        <v>1836</v>
      </c>
      <c r="D1178" t="s">
        <v>226</v>
      </c>
      <c r="E1178" t="s">
        <v>659</v>
      </c>
      <c r="F1178">
        <f>G1178</f>
        <v>27.2</v>
      </c>
      <c r="G1178">
        <v>27.2</v>
      </c>
    </row>
    <row r="1179" spans="1:7" hidden="1" x14ac:dyDescent="0.25">
      <c r="A1179" t="s">
        <v>660</v>
      </c>
      <c r="B1179">
        <v>12327</v>
      </c>
      <c r="C1179" t="s">
        <v>1837</v>
      </c>
      <c r="D1179" t="s">
        <v>226</v>
      </c>
      <c r="E1179" t="s">
        <v>659</v>
      </c>
      <c r="F1179">
        <f>G1179</f>
        <v>32.4</v>
      </c>
      <c r="G1179">
        <v>32.4</v>
      </c>
    </row>
    <row r="1180" spans="1:7" hidden="1" x14ac:dyDescent="0.25">
      <c r="A1180" t="s">
        <v>660</v>
      </c>
      <c r="B1180">
        <v>36148</v>
      </c>
      <c r="C1180" t="s">
        <v>1838</v>
      </c>
      <c r="D1180" t="s">
        <v>226</v>
      </c>
      <c r="E1180" t="s">
        <v>659</v>
      </c>
      <c r="F1180">
        <v>152.52000000000001</v>
      </c>
      <c r="G1180">
        <v>170.81</v>
      </c>
    </row>
    <row r="1181" spans="1:7" hidden="1" x14ac:dyDescent="0.25">
      <c r="A1181" t="s">
        <v>660</v>
      </c>
      <c r="B1181">
        <v>12329</v>
      </c>
      <c r="C1181" t="s">
        <v>1839</v>
      </c>
      <c r="D1181" t="s">
        <v>708</v>
      </c>
      <c r="E1181" t="s">
        <v>659</v>
      </c>
      <c r="F1181">
        <v>136.04</v>
      </c>
      <c r="G1181">
        <v>134.66999999999999</v>
      </c>
    </row>
    <row r="1182" spans="1:7" hidden="1" x14ac:dyDescent="0.25">
      <c r="A1182" t="s">
        <v>660</v>
      </c>
      <c r="B1182">
        <v>1339</v>
      </c>
      <c r="C1182" t="s">
        <v>1840</v>
      </c>
      <c r="D1182" t="s">
        <v>708</v>
      </c>
      <c r="E1182" t="s">
        <v>659</v>
      </c>
      <c r="F1182">
        <f>G1182</f>
        <v>38.81</v>
      </c>
      <c r="G1182">
        <v>38.81</v>
      </c>
    </row>
    <row r="1183" spans="1:7" hidden="1" x14ac:dyDescent="0.25">
      <c r="A1183" t="s">
        <v>660</v>
      </c>
      <c r="B1183">
        <v>44396</v>
      </c>
      <c r="C1183" t="s">
        <v>1841</v>
      </c>
      <c r="D1183" t="s">
        <v>708</v>
      </c>
      <c r="E1183" t="s">
        <v>659</v>
      </c>
      <c r="F1183">
        <v>48.36</v>
      </c>
      <c r="G1183">
        <v>46.96</v>
      </c>
    </row>
    <row r="1184" spans="1:7" hidden="1" x14ac:dyDescent="0.25">
      <c r="A1184" t="s">
        <v>660</v>
      </c>
      <c r="B1184">
        <v>44327</v>
      </c>
      <c r="C1184" t="s">
        <v>1842</v>
      </c>
      <c r="D1184" t="s">
        <v>710</v>
      </c>
      <c r="E1184" t="s">
        <v>659</v>
      </c>
      <c r="F1184">
        <v>164.48</v>
      </c>
      <c r="G1184">
        <v>159.71</v>
      </c>
    </row>
    <row r="1185" spans="1:7" hidden="1" x14ac:dyDescent="0.25">
      <c r="A1185" t="s">
        <v>660</v>
      </c>
      <c r="B1185">
        <v>37418</v>
      </c>
      <c r="C1185" t="s">
        <v>1843</v>
      </c>
      <c r="D1185" t="s">
        <v>226</v>
      </c>
      <c r="E1185" t="s">
        <v>659</v>
      </c>
      <c r="F1185">
        <v>25.11</v>
      </c>
      <c r="G1185">
        <v>15.68</v>
      </c>
    </row>
    <row r="1186" spans="1:7" hidden="1" x14ac:dyDescent="0.25">
      <c r="A1186" t="s">
        <v>660</v>
      </c>
      <c r="B1186">
        <v>37419</v>
      </c>
      <c r="C1186" t="s">
        <v>1844</v>
      </c>
      <c r="D1186" t="s">
        <v>226</v>
      </c>
      <c r="E1186" t="s">
        <v>659</v>
      </c>
      <c r="F1186">
        <v>25.79</v>
      </c>
      <c r="G1186">
        <v>16.100000000000001</v>
      </c>
    </row>
    <row r="1187" spans="1:7" hidden="1" x14ac:dyDescent="0.25">
      <c r="A1187" t="s">
        <v>660</v>
      </c>
      <c r="B1187">
        <v>1427</v>
      </c>
      <c r="C1187" t="s">
        <v>1845</v>
      </c>
      <c r="D1187" t="s">
        <v>226</v>
      </c>
      <c r="E1187" t="s">
        <v>659</v>
      </c>
      <c r="F1187">
        <v>22.86</v>
      </c>
      <c r="G1187">
        <v>23.56</v>
      </c>
    </row>
    <row r="1188" spans="1:7" hidden="1" x14ac:dyDescent="0.25">
      <c r="A1188" t="s">
        <v>660</v>
      </c>
      <c r="B1188">
        <v>1402</v>
      </c>
      <c r="C1188" t="s">
        <v>1846</v>
      </c>
      <c r="D1188" t="s">
        <v>226</v>
      </c>
      <c r="E1188" t="s">
        <v>659</v>
      </c>
      <c r="F1188">
        <v>7.91</v>
      </c>
      <c r="G1188">
        <v>8.15</v>
      </c>
    </row>
    <row r="1189" spans="1:7" hidden="1" x14ac:dyDescent="0.25">
      <c r="A1189" t="s">
        <v>660</v>
      </c>
      <c r="B1189">
        <v>1420</v>
      </c>
      <c r="C1189" t="s">
        <v>1847</v>
      </c>
      <c r="D1189" t="s">
        <v>226</v>
      </c>
      <c r="E1189" t="s">
        <v>659</v>
      </c>
      <c r="F1189">
        <v>10.17</v>
      </c>
      <c r="G1189">
        <v>10.49</v>
      </c>
    </row>
    <row r="1190" spans="1:7" hidden="1" x14ac:dyDescent="0.25">
      <c r="A1190" t="s">
        <v>660</v>
      </c>
      <c r="B1190">
        <v>1419</v>
      </c>
      <c r="C1190" t="s">
        <v>1848</v>
      </c>
      <c r="D1190" t="s">
        <v>226</v>
      </c>
      <c r="E1190" t="s">
        <v>659</v>
      </c>
      <c r="F1190">
        <v>12.29</v>
      </c>
      <c r="G1190">
        <v>12.66</v>
      </c>
    </row>
    <row r="1191" spans="1:7" hidden="1" x14ac:dyDescent="0.25">
      <c r="A1191" t="s">
        <v>660</v>
      </c>
      <c r="B1191">
        <v>1414</v>
      </c>
      <c r="C1191" t="s">
        <v>1849</v>
      </c>
      <c r="D1191" t="s">
        <v>226</v>
      </c>
      <c r="E1191" t="s">
        <v>659</v>
      </c>
      <c r="F1191">
        <v>12.02</v>
      </c>
      <c r="G1191">
        <v>12.39</v>
      </c>
    </row>
    <row r="1192" spans="1:7" hidden="1" x14ac:dyDescent="0.25">
      <c r="A1192" t="s">
        <v>660</v>
      </c>
      <c r="B1192">
        <v>1413</v>
      </c>
      <c r="C1192" t="s">
        <v>1850</v>
      </c>
      <c r="D1192" t="s">
        <v>226</v>
      </c>
      <c r="E1192" t="s">
        <v>659</v>
      </c>
      <c r="F1192">
        <v>17.760000000000002</v>
      </c>
      <c r="G1192">
        <v>18.3</v>
      </c>
    </row>
    <row r="1193" spans="1:7" hidden="1" x14ac:dyDescent="0.25">
      <c r="A1193" t="s">
        <v>660</v>
      </c>
      <c r="B1193">
        <v>1412</v>
      </c>
      <c r="C1193" t="s">
        <v>1851</v>
      </c>
      <c r="D1193" t="s">
        <v>226</v>
      </c>
      <c r="E1193" t="s">
        <v>659</v>
      </c>
      <c r="F1193">
        <v>15.04</v>
      </c>
      <c r="G1193">
        <v>15.51</v>
      </c>
    </row>
    <row r="1194" spans="1:7" hidden="1" x14ac:dyDescent="0.25">
      <c r="A1194" t="s">
        <v>660</v>
      </c>
      <c r="B1194">
        <v>1406</v>
      </c>
      <c r="C1194" t="s">
        <v>1852</v>
      </c>
      <c r="D1194" t="s">
        <v>226</v>
      </c>
      <c r="E1194" t="s">
        <v>659</v>
      </c>
      <c r="F1194">
        <v>18.149999999999999</v>
      </c>
      <c r="G1194">
        <v>18.71</v>
      </c>
    </row>
    <row r="1195" spans="1:7" hidden="1" x14ac:dyDescent="0.25">
      <c r="A1195" t="s">
        <v>660</v>
      </c>
      <c r="B1195">
        <v>45237</v>
      </c>
      <c r="C1195" t="s">
        <v>1853</v>
      </c>
      <c r="D1195" t="s">
        <v>226</v>
      </c>
      <c r="E1195" t="s">
        <v>659</v>
      </c>
      <c r="F1195">
        <v>23.76</v>
      </c>
      <c r="G1195">
        <v>20.54</v>
      </c>
    </row>
    <row r="1196" spans="1:7" hidden="1" x14ac:dyDescent="0.25">
      <c r="A1196" t="s">
        <v>842</v>
      </c>
      <c r="B1196">
        <v>11281</v>
      </c>
      <c r="C1196" t="s">
        <v>1854</v>
      </c>
      <c r="D1196" t="s">
        <v>226</v>
      </c>
      <c r="E1196" t="s">
        <v>172</v>
      </c>
      <c r="F1196" s="538">
        <v>9900</v>
      </c>
      <c r="G1196" s="538">
        <v>13990</v>
      </c>
    </row>
    <row r="1197" spans="1:7" hidden="1" x14ac:dyDescent="0.25">
      <c r="A1197" t="s">
        <v>842</v>
      </c>
      <c r="B1197">
        <v>1442</v>
      </c>
      <c r="C1197" t="s">
        <v>1855</v>
      </c>
      <c r="D1197" t="s">
        <v>226</v>
      </c>
      <c r="E1197" t="s">
        <v>659</v>
      </c>
      <c r="F1197" s="538">
        <v>8310.9699999999993</v>
      </c>
      <c r="G1197" s="538">
        <v>11744.5</v>
      </c>
    </row>
    <row r="1198" spans="1:7" hidden="1" x14ac:dyDescent="0.25">
      <c r="A1198" t="s">
        <v>842</v>
      </c>
      <c r="B1198">
        <v>13457</v>
      </c>
      <c r="C1198" t="s">
        <v>1856</v>
      </c>
      <c r="D1198" t="s">
        <v>226</v>
      </c>
      <c r="E1198" t="s">
        <v>659</v>
      </c>
      <c r="F1198" s="538">
        <v>7173.91</v>
      </c>
      <c r="G1198" s="538">
        <v>10137.68</v>
      </c>
    </row>
    <row r="1199" spans="1:7" hidden="1" x14ac:dyDescent="0.25">
      <c r="A1199" t="s">
        <v>842</v>
      </c>
      <c r="B1199">
        <v>40699</v>
      </c>
      <c r="C1199" t="s">
        <v>1857</v>
      </c>
      <c r="D1199" t="s">
        <v>226</v>
      </c>
      <c r="E1199" t="s">
        <v>659</v>
      </c>
      <c r="F1199" s="538">
        <v>5545.7</v>
      </c>
      <c r="G1199" s="538">
        <v>7836.81</v>
      </c>
    </row>
    <row r="1200" spans="1:7" hidden="1" x14ac:dyDescent="0.25">
      <c r="A1200" t="s">
        <v>842</v>
      </c>
      <c r="B1200">
        <v>40701</v>
      </c>
      <c r="C1200" t="s">
        <v>1858</v>
      </c>
      <c r="D1200" t="s">
        <v>226</v>
      </c>
      <c r="E1200" t="s">
        <v>659</v>
      </c>
      <c r="F1200" s="538">
        <v>98055.69</v>
      </c>
      <c r="G1200" s="538">
        <v>138565.57</v>
      </c>
    </row>
    <row r="1201" spans="1:7" hidden="1" x14ac:dyDescent="0.25">
      <c r="A1201" t="s">
        <v>842</v>
      </c>
      <c r="B1201">
        <v>40700</v>
      </c>
      <c r="C1201" t="s">
        <v>1859</v>
      </c>
      <c r="D1201" t="s">
        <v>226</v>
      </c>
      <c r="E1201" t="s">
        <v>659</v>
      </c>
      <c r="F1201" s="538">
        <v>12909.68</v>
      </c>
      <c r="G1201" s="538">
        <v>18243.07</v>
      </c>
    </row>
    <row r="1202" spans="1:7" hidden="1" x14ac:dyDescent="0.25">
      <c r="A1202" t="s">
        <v>842</v>
      </c>
      <c r="B1202">
        <v>13458</v>
      </c>
      <c r="C1202" t="s">
        <v>1860</v>
      </c>
      <c r="D1202" t="s">
        <v>226</v>
      </c>
      <c r="E1202" t="s">
        <v>659</v>
      </c>
      <c r="F1202" s="538">
        <v>12267.39</v>
      </c>
      <c r="G1202" s="538">
        <v>17335.43</v>
      </c>
    </row>
    <row r="1203" spans="1:7" hidden="1" x14ac:dyDescent="0.25">
      <c r="A1203" t="s">
        <v>660</v>
      </c>
      <c r="B1203">
        <v>11134</v>
      </c>
      <c r="C1203" t="s">
        <v>1861</v>
      </c>
      <c r="D1203" t="s">
        <v>498</v>
      </c>
      <c r="E1203" t="s">
        <v>659</v>
      </c>
      <c r="F1203">
        <v>73.17</v>
      </c>
      <c r="G1203">
        <v>59.09</v>
      </c>
    </row>
    <row r="1204" spans="1:7" hidden="1" x14ac:dyDescent="0.25">
      <c r="A1204" t="s">
        <v>660</v>
      </c>
      <c r="B1204">
        <v>11135</v>
      </c>
      <c r="C1204" t="s">
        <v>1862</v>
      </c>
      <c r="D1204" t="s">
        <v>498</v>
      </c>
      <c r="E1204" t="s">
        <v>659</v>
      </c>
      <c r="F1204">
        <v>79</v>
      </c>
      <c r="G1204">
        <v>63.8</v>
      </c>
    </row>
    <row r="1205" spans="1:7" hidden="1" x14ac:dyDescent="0.25">
      <c r="A1205" t="s">
        <v>660</v>
      </c>
      <c r="B1205">
        <v>11136</v>
      </c>
      <c r="C1205" t="s">
        <v>1863</v>
      </c>
      <c r="D1205" t="s">
        <v>498</v>
      </c>
      <c r="E1205" t="s">
        <v>659</v>
      </c>
      <c r="F1205">
        <v>90.45</v>
      </c>
      <c r="G1205">
        <v>73.05</v>
      </c>
    </row>
    <row r="1206" spans="1:7" hidden="1" x14ac:dyDescent="0.25">
      <c r="A1206" t="s">
        <v>660</v>
      </c>
      <c r="B1206">
        <v>34743</v>
      </c>
      <c r="C1206" t="s">
        <v>1864</v>
      </c>
      <c r="D1206" t="s">
        <v>498</v>
      </c>
      <c r="E1206" t="s">
        <v>659</v>
      </c>
      <c r="F1206">
        <v>109.14</v>
      </c>
      <c r="G1206">
        <v>88.14</v>
      </c>
    </row>
    <row r="1207" spans="1:7" hidden="1" x14ac:dyDescent="0.25">
      <c r="A1207" t="s">
        <v>660</v>
      </c>
      <c r="B1207">
        <v>11137</v>
      </c>
      <c r="C1207" t="s">
        <v>1865</v>
      </c>
      <c r="D1207" t="s">
        <v>498</v>
      </c>
      <c r="E1207" t="s">
        <v>659</v>
      </c>
      <c r="F1207">
        <v>123.96</v>
      </c>
      <c r="G1207">
        <v>100.11</v>
      </c>
    </row>
    <row r="1208" spans="1:7" hidden="1" x14ac:dyDescent="0.25">
      <c r="A1208" t="s">
        <v>660</v>
      </c>
      <c r="B1208">
        <v>34745</v>
      </c>
      <c r="C1208" t="s">
        <v>1866</v>
      </c>
      <c r="D1208" t="s">
        <v>498</v>
      </c>
      <c r="E1208" t="s">
        <v>659</v>
      </c>
      <c r="F1208">
        <v>147.41</v>
      </c>
      <c r="G1208">
        <v>119.05</v>
      </c>
    </row>
    <row r="1209" spans="1:7" hidden="1" x14ac:dyDescent="0.25">
      <c r="A1209" t="s">
        <v>660</v>
      </c>
      <c r="B1209">
        <v>34746</v>
      </c>
      <c r="C1209" t="s">
        <v>1867</v>
      </c>
      <c r="D1209" t="s">
        <v>498</v>
      </c>
      <c r="E1209" t="s">
        <v>659</v>
      </c>
      <c r="F1209">
        <v>40.200000000000003</v>
      </c>
      <c r="G1209">
        <v>32.46</v>
      </c>
    </row>
    <row r="1210" spans="1:7" hidden="1" x14ac:dyDescent="0.25">
      <c r="A1210" t="s">
        <v>660</v>
      </c>
      <c r="B1210">
        <v>1360</v>
      </c>
      <c r="C1210" t="s">
        <v>1868</v>
      </c>
      <c r="D1210" t="s">
        <v>498</v>
      </c>
      <c r="E1210" t="s">
        <v>659</v>
      </c>
      <c r="F1210">
        <v>46.9</v>
      </c>
      <c r="G1210">
        <v>37.880000000000003</v>
      </c>
    </row>
    <row r="1211" spans="1:7" hidden="1" x14ac:dyDescent="0.25">
      <c r="A1211" t="s">
        <v>842</v>
      </c>
      <c r="B1211">
        <v>36524</v>
      </c>
      <c r="C1211" t="s">
        <v>1869</v>
      </c>
      <c r="D1211" t="s">
        <v>226</v>
      </c>
      <c r="E1211" t="s">
        <v>659</v>
      </c>
      <c r="F1211">
        <f>G1211</f>
        <v>194585.95</v>
      </c>
      <c r="G1211" s="538">
        <v>194585.95</v>
      </c>
    </row>
    <row r="1212" spans="1:7" hidden="1" x14ac:dyDescent="0.25">
      <c r="A1212" t="s">
        <v>842</v>
      </c>
      <c r="B1212">
        <v>45300</v>
      </c>
      <c r="C1212" t="s">
        <v>1870</v>
      </c>
      <c r="D1212" t="s">
        <v>226</v>
      </c>
      <c r="E1212" t="s">
        <v>659</v>
      </c>
      <c r="F1212" s="538">
        <v>2795.73</v>
      </c>
      <c r="G1212" s="538">
        <v>2338.73</v>
      </c>
    </row>
    <row r="1213" spans="1:7" hidden="1" x14ac:dyDescent="0.25">
      <c r="A1213" t="s">
        <v>842</v>
      </c>
      <c r="B1213">
        <v>36526</v>
      </c>
      <c r="C1213" t="s">
        <v>1871</v>
      </c>
      <c r="D1213" t="s">
        <v>226</v>
      </c>
      <c r="E1213" t="s">
        <v>659</v>
      </c>
      <c r="F1213">
        <f t="shared" ref="F1213:F1219" si="5">G1213</f>
        <v>156805.28</v>
      </c>
      <c r="G1213" s="538">
        <v>156805.28</v>
      </c>
    </row>
    <row r="1214" spans="1:7" hidden="1" x14ac:dyDescent="0.25">
      <c r="A1214" t="s">
        <v>842</v>
      </c>
      <c r="B1214">
        <v>36523</v>
      </c>
      <c r="C1214" t="s">
        <v>1872</v>
      </c>
      <c r="D1214" t="s">
        <v>226</v>
      </c>
      <c r="E1214" t="s">
        <v>659</v>
      </c>
      <c r="F1214">
        <f t="shared" si="5"/>
        <v>335698.96</v>
      </c>
      <c r="G1214" s="538">
        <v>335698.96</v>
      </c>
    </row>
    <row r="1215" spans="1:7" hidden="1" x14ac:dyDescent="0.25">
      <c r="A1215" t="s">
        <v>842</v>
      </c>
      <c r="B1215">
        <v>36527</v>
      </c>
      <c r="C1215" t="s">
        <v>1873</v>
      </c>
      <c r="D1215" t="s">
        <v>226</v>
      </c>
      <c r="E1215" t="s">
        <v>659</v>
      </c>
      <c r="F1215">
        <f t="shared" si="5"/>
        <v>364638.21</v>
      </c>
      <c r="G1215" s="538">
        <v>364638.21</v>
      </c>
    </row>
    <row r="1216" spans="1:7" hidden="1" x14ac:dyDescent="0.25">
      <c r="A1216" t="s">
        <v>842</v>
      </c>
      <c r="B1216">
        <v>38642</v>
      </c>
      <c r="C1216" t="s">
        <v>1874</v>
      </c>
      <c r="D1216" t="s">
        <v>226</v>
      </c>
      <c r="E1216" t="s">
        <v>659</v>
      </c>
      <c r="F1216">
        <f t="shared" si="5"/>
        <v>84897.13</v>
      </c>
      <c r="G1216" s="538">
        <v>84897.13</v>
      </c>
    </row>
    <row r="1217" spans="1:7" hidden="1" x14ac:dyDescent="0.25">
      <c r="A1217" t="s">
        <v>842</v>
      </c>
      <c r="B1217">
        <v>36522</v>
      </c>
      <c r="C1217" t="s">
        <v>1875</v>
      </c>
      <c r="D1217" t="s">
        <v>226</v>
      </c>
      <c r="E1217" t="s">
        <v>659</v>
      </c>
      <c r="F1217">
        <f t="shared" si="5"/>
        <v>98734.35</v>
      </c>
      <c r="G1217" s="538">
        <v>98734.35</v>
      </c>
    </row>
    <row r="1218" spans="1:7" hidden="1" x14ac:dyDescent="0.25">
      <c r="A1218" t="s">
        <v>842</v>
      </c>
      <c r="B1218">
        <v>36525</v>
      </c>
      <c r="C1218" t="s">
        <v>1876</v>
      </c>
      <c r="D1218" t="s">
        <v>226</v>
      </c>
      <c r="E1218" t="s">
        <v>659</v>
      </c>
      <c r="F1218">
        <f t="shared" si="5"/>
        <v>132228.35</v>
      </c>
      <c r="G1218" s="538">
        <v>132228.35</v>
      </c>
    </row>
    <row r="1219" spans="1:7" hidden="1" x14ac:dyDescent="0.25">
      <c r="A1219" t="s">
        <v>842</v>
      </c>
      <c r="B1219">
        <v>13803</v>
      </c>
      <c r="C1219" t="s">
        <v>1877</v>
      </c>
      <c r="D1219" t="s">
        <v>226</v>
      </c>
      <c r="E1219" t="s">
        <v>172</v>
      </c>
      <c r="F1219">
        <f t="shared" si="5"/>
        <v>131850</v>
      </c>
      <c r="G1219" s="538">
        <v>131850</v>
      </c>
    </row>
    <row r="1220" spans="1:7" hidden="1" x14ac:dyDescent="0.25">
      <c r="A1220" t="s">
        <v>660</v>
      </c>
      <c r="B1220">
        <v>34348</v>
      </c>
      <c r="C1220" t="s">
        <v>1878</v>
      </c>
      <c r="D1220" t="s">
        <v>704</v>
      </c>
      <c r="E1220" t="s">
        <v>659</v>
      </c>
      <c r="F1220">
        <v>21.47</v>
      </c>
      <c r="G1220">
        <v>22.69</v>
      </c>
    </row>
    <row r="1221" spans="1:7" hidden="1" x14ac:dyDescent="0.25">
      <c r="A1221" t="s">
        <v>660</v>
      </c>
      <c r="B1221">
        <v>34347</v>
      </c>
      <c r="C1221" t="s">
        <v>1879</v>
      </c>
      <c r="D1221" t="s">
        <v>704</v>
      </c>
      <c r="E1221" t="s">
        <v>659</v>
      </c>
      <c r="F1221">
        <v>15.35</v>
      </c>
      <c r="G1221">
        <v>16.22</v>
      </c>
    </row>
    <row r="1222" spans="1:7" hidden="1" x14ac:dyDescent="0.25">
      <c r="A1222" t="s">
        <v>660</v>
      </c>
      <c r="B1222">
        <v>11146</v>
      </c>
      <c r="C1222" t="s">
        <v>1880</v>
      </c>
      <c r="D1222" t="s">
        <v>806</v>
      </c>
      <c r="E1222" t="s">
        <v>659</v>
      </c>
      <c r="F1222">
        <v>585.13</v>
      </c>
      <c r="G1222">
        <v>495.11</v>
      </c>
    </row>
    <row r="1223" spans="1:7" hidden="1" x14ac:dyDescent="0.25">
      <c r="A1223" t="s">
        <v>660</v>
      </c>
      <c r="B1223">
        <v>11147</v>
      </c>
      <c r="C1223" t="s">
        <v>1881</v>
      </c>
      <c r="D1223" t="s">
        <v>806</v>
      </c>
      <c r="E1223" t="s">
        <v>659</v>
      </c>
      <c r="F1223">
        <v>608.03</v>
      </c>
      <c r="G1223">
        <v>514.48</v>
      </c>
    </row>
    <row r="1224" spans="1:7" hidden="1" x14ac:dyDescent="0.25">
      <c r="A1224" t="s">
        <v>660</v>
      </c>
      <c r="B1224">
        <v>34872</v>
      </c>
      <c r="C1224" t="s">
        <v>1882</v>
      </c>
      <c r="D1224" t="s">
        <v>806</v>
      </c>
      <c r="E1224" t="s">
        <v>659</v>
      </c>
      <c r="F1224">
        <v>614.85</v>
      </c>
      <c r="G1224">
        <v>520.26</v>
      </c>
    </row>
    <row r="1225" spans="1:7" hidden="1" x14ac:dyDescent="0.25">
      <c r="A1225" t="s">
        <v>660</v>
      </c>
      <c r="B1225">
        <v>34491</v>
      </c>
      <c r="C1225" t="s">
        <v>1883</v>
      </c>
      <c r="D1225" t="s">
        <v>806</v>
      </c>
      <c r="E1225" t="s">
        <v>659</v>
      </c>
      <c r="F1225">
        <v>632.66999999999996</v>
      </c>
      <c r="G1225">
        <v>535.34</v>
      </c>
    </row>
    <row r="1226" spans="1:7" hidden="1" x14ac:dyDescent="0.25">
      <c r="A1226" t="s">
        <v>660</v>
      </c>
      <c r="B1226">
        <v>34770</v>
      </c>
      <c r="C1226" t="s">
        <v>1884</v>
      </c>
      <c r="D1226" t="s">
        <v>1885</v>
      </c>
      <c r="E1226" t="s">
        <v>659</v>
      </c>
      <c r="F1226">
        <v>706.24</v>
      </c>
      <c r="G1226">
        <v>519.87</v>
      </c>
    </row>
    <row r="1227" spans="1:7" hidden="1" x14ac:dyDescent="0.25">
      <c r="A1227" t="s">
        <v>660</v>
      </c>
      <c r="B1227">
        <v>1518</v>
      </c>
      <c r="C1227" t="s">
        <v>1886</v>
      </c>
      <c r="D1227" t="s">
        <v>1885</v>
      </c>
      <c r="E1227" t="s">
        <v>172</v>
      </c>
      <c r="F1227">
        <v>720</v>
      </c>
      <c r="G1227">
        <v>530</v>
      </c>
    </row>
    <row r="1228" spans="1:7" hidden="1" x14ac:dyDescent="0.25">
      <c r="A1228" t="s">
        <v>660</v>
      </c>
      <c r="B1228">
        <v>41965</v>
      </c>
      <c r="C1228" t="s">
        <v>1887</v>
      </c>
      <c r="D1228" t="s">
        <v>1885</v>
      </c>
      <c r="E1228" t="s">
        <v>659</v>
      </c>
      <c r="F1228">
        <v>631.32000000000005</v>
      </c>
      <c r="G1228">
        <v>464.72</v>
      </c>
    </row>
    <row r="1229" spans="1:7" hidden="1" x14ac:dyDescent="0.25">
      <c r="A1229" t="s">
        <v>660</v>
      </c>
      <c r="B1229">
        <v>1524</v>
      </c>
      <c r="C1229" t="s">
        <v>1888</v>
      </c>
      <c r="D1229" t="s">
        <v>806</v>
      </c>
      <c r="E1229" t="s">
        <v>659</v>
      </c>
      <c r="F1229">
        <v>561.39</v>
      </c>
      <c r="G1229">
        <v>475.02</v>
      </c>
    </row>
    <row r="1230" spans="1:7" hidden="1" x14ac:dyDescent="0.25">
      <c r="A1230" t="s">
        <v>660</v>
      </c>
      <c r="B1230">
        <v>34492</v>
      </c>
      <c r="C1230" t="s">
        <v>1889</v>
      </c>
      <c r="D1230" t="s">
        <v>806</v>
      </c>
      <c r="E1230" t="s">
        <v>172</v>
      </c>
      <c r="F1230">
        <v>520</v>
      </c>
      <c r="G1230">
        <v>440</v>
      </c>
    </row>
    <row r="1231" spans="1:7" hidden="1" x14ac:dyDescent="0.25">
      <c r="A1231" t="s">
        <v>660</v>
      </c>
      <c r="B1231">
        <v>38404</v>
      </c>
      <c r="C1231" t="s">
        <v>1890</v>
      </c>
      <c r="D1231" t="s">
        <v>806</v>
      </c>
      <c r="E1231" t="s">
        <v>659</v>
      </c>
      <c r="F1231">
        <v>538.62</v>
      </c>
      <c r="G1231">
        <v>455.75</v>
      </c>
    </row>
    <row r="1232" spans="1:7" hidden="1" x14ac:dyDescent="0.25">
      <c r="A1232" t="s">
        <v>660</v>
      </c>
      <c r="B1232">
        <v>39849</v>
      </c>
      <c r="C1232" t="s">
        <v>1891</v>
      </c>
      <c r="D1232" t="s">
        <v>806</v>
      </c>
      <c r="E1232" t="s">
        <v>659</v>
      </c>
      <c r="F1232">
        <v>617.26</v>
      </c>
      <c r="G1232">
        <v>522.29</v>
      </c>
    </row>
    <row r="1233" spans="1:7" hidden="1" x14ac:dyDescent="0.25">
      <c r="A1233" t="s">
        <v>660</v>
      </c>
      <c r="B1233">
        <v>38464</v>
      </c>
      <c r="C1233" t="s">
        <v>1892</v>
      </c>
      <c r="D1233" t="s">
        <v>806</v>
      </c>
      <c r="E1233" t="s">
        <v>659</v>
      </c>
      <c r="F1233">
        <v>626.22</v>
      </c>
      <c r="G1233">
        <v>529.87</v>
      </c>
    </row>
    <row r="1234" spans="1:7" hidden="1" x14ac:dyDescent="0.25">
      <c r="A1234" t="s">
        <v>660</v>
      </c>
      <c r="B1234">
        <v>1527</v>
      </c>
      <c r="C1234" t="s">
        <v>1893</v>
      </c>
      <c r="D1234" t="s">
        <v>806</v>
      </c>
      <c r="E1234" t="s">
        <v>659</v>
      </c>
      <c r="F1234">
        <v>579.21</v>
      </c>
      <c r="G1234">
        <v>490.1</v>
      </c>
    </row>
    <row r="1235" spans="1:7" hidden="1" x14ac:dyDescent="0.25">
      <c r="A1235" t="s">
        <v>660</v>
      </c>
      <c r="B1235">
        <v>34493</v>
      </c>
      <c r="C1235" t="s">
        <v>1894</v>
      </c>
      <c r="D1235" t="s">
        <v>806</v>
      </c>
      <c r="E1235" t="s">
        <v>659</v>
      </c>
      <c r="F1235">
        <v>534.65</v>
      </c>
      <c r="G1235">
        <v>452.4</v>
      </c>
    </row>
    <row r="1236" spans="1:7" hidden="1" x14ac:dyDescent="0.25">
      <c r="A1236" t="s">
        <v>660</v>
      </c>
      <c r="B1236">
        <v>38405</v>
      </c>
      <c r="C1236" t="s">
        <v>1895</v>
      </c>
      <c r="D1236" t="s">
        <v>806</v>
      </c>
      <c r="E1236" t="s">
        <v>659</v>
      </c>
      <c r="F1236">
        <v>555.23</v>
      </c>
      <c r="G1236">
        <v>469.81</v>
      </c>
    </row>
    <row r="1237" spans="1:7" hidden="1" x14ac:dyDescent="0.25">
      <c r="A1237" t="s">
        <v>660</v>
      </c>
      <c r="B1237">
        <v>38408</v>
      </c>
      <c r="C1237" t="s">
        <v>1896</v>
      </c>
      <c r="D1237" t="s">
        <v>806</v>
      </c>
      <c r="E1237" t="s">
        <v>659</v>
      </c>
      <c r="F1237">
        <v>614.58000000000004</v>
      </c>
      <c r="G1237">
        <v>520.03</v>
      </c>
    </row>
    <row r="1238" spans="1:7" hidden="1" x14ac:dyDescent="0.25">
      <c r="A1238" t="s">
        <v>660</v>
      </c>
      <c r="B1238">
        <v>1525</v>
      </c>
      <c r="C1238" t="s">
        <v>1897</v>
      </c>
      <c r="D1238" t="s">
        <v>806</v>
      </c>
      <c r="E1238" t="s">
        <v>659</v>
      </c>
      <c r="F1238">
        <v>597.03</v>
      </c>
      <c r="G1238">
        <v>505.18</v>
      </c>
    </row>
    <row r="1239" spans="1:7" hidden="1" x14ac:dyDescent="0.25">
      <c r="A1239" t="s">
        <v>660</v>
      </c>
      <c r="B1239">
        <v>34494</v>
      </c>
      <c r="C1239" t="s">
        <v>1898</v>
      </c>
      <c r="D1239" t="s">
        <v>806</v>
      </c>
      <c r="E1239" t="s">
        <v>659</v>
      </c>
      <c r="F1239">
        <v>552.48</v>
      </c>
      <c r="G1239">
        <v>467.48</v>
      </c>
    </row>
    <row r="1240" spans="1:7" hidden="1" x14ac:dyDescent="0.25">
      <c r="A1240" t="s">
        <v>660</v>
      </c>
      <c r="B1240">
        <v>38406</v>
      </c>
      <c r="C1240" t="s">
        <v>1899</v>
      </c>
      <c r="D1240" t="s">
        <v>806</v>
      </c>
      <c r="E1240" t="s">
        <v>659</v>
      </c>
      <c r="F1240">
        <v>586.28</v>
      </c>
      <c r="G1240">
        <v>496.09</v>
      </c>
    </row>
    <row r="1241" spans="1:7" hidden="1" x14ac:dyDescent="0.25">
      <c r="A1241" t="s">
        <v>660</v>
      </c>
      <c r="B1241">
        <v>38409</v>
      </c>
      <c r="C1241" t="s">
        <v>1900</v>
      </c>
      <c r="D1241" t="s">
        <v>806</v>
      </c>
      <c r="E1241" t="s">
        <v>659</v>
      </c>
      <c r="F1241">
        <v>618.77</v>
      </c>
      <c r="G1241">
        <v>523.58000000000004</v>
      </c>
    </row>
    <row r="1242" spans="1:7" hidden="1" x14ac:dyDescent="0.25">
      <c r="A1242" t="s">
        <v>660</v>
      </c>
      <c r="B1242">
        <v>43360</v>
      </c>
      <c r="C1242" t="s">
        <v>1901</v>
      </c>
      <c r="D1242" t="s">
        <v>806</v>
      </c>
      <c r="E1242" t="s">
        <v>659</v>
      </c>
      <c r="F1242">
        <v>645.20000000000005</v>
      </c>
      <c r="G1242">
        <v>545.94000000000005</v>
      </c>
    </row>
    <row r="1243" spans="1:7" hidden="1" x14ac:dyDescent="0.25">
      <c r="A1243" t="s">
        <v>660</v>
      </c>
      <c r="B1243">
        <v>11145</v>
      </c>
      <c r="C1243" t="s">
        <v>1902</v>
      </c>
      <c r="D1243" t="s">
        <v>806</v>
      </c>
      <c r="E1243" t="s">
        <v>659</v>
      </c>
      <c r="F1243">
        <v>614.85</v>
      </c>
      <c r="G1243">
        <v>520.26</v>
      </c>
    </row>
    <row r="1244" spans="1:7" hidden="1" x14ac:dyDescent="0.25">
      <c r="A1244" t="s">
        <v>660</v>
      </c>
      <c r="B1244">
        <v>34495</v>
      </c>
      <c r="C1244" t="s">
        <v>1903</v>
      </c>
      <c r="D1244" t="s">
        <v>806</v>
      </c>
      <c r="E1244" t="s">
        <v>659</v>
      </c>
      <c r="F1244">
        <v>570.29999999999995</v>
      </c>
      <c r="G1244">
        <v>482.56</v>
      </c>
    </row>
    <row r="1245" spans="1:7" hidden="1" x14ac:dyDescent="0.25">
      <c r="A1245" t="s">
        <v>660</v>
      </c>
      <c r="B1245">
        <v>34479</v>
      </c>
      <c r="C1245" t="s">
        <v>1904</v>
      </c>
      <c r="D1245" t="s">
        <v>806</v>
      </c>
      <c r="E1245" t="s">
        <v>659</v>
      </c>
      <c r="F1245">
        <v>632.66999999999996</v>
      </c>
      <c r="G1245">
        <v>535.34</v>
      </c>
    </row>
    <row r="1246" spans="1:7" hidden="1" x14ac:dyDescent="0.25">
      <c r="A1246" t="s">
        <v>660</v>
      </c>
      <c r="B1246">
        <v>34496</v>
      </c>
      <c r="C1246" t="s">
        <v>1905</v>
      </c>
      <c r="D1246" t="s">
        <v>806</v>
      </c>
      <c r="E1246" t="s">
        <v>659</v>
      </c>
      <c r="F1246">
        <v>594.91999999999996</v>
      </c>
      <c r="G1246">
        <v>503.39</v>
      </c>
    </row>
    <row r="1247" spans="1:7" hidden="1" x14ac:dyDescent="0.25">
      <c r="A1247" t="s">
        <v>660</v>
      </c>
      <c r="B1247">
        <v>34481</v>
      </c>
      <c r="C1247" t="s">
        <v>1906</v>
      </c>
      <c r="D1247" t="s">
        <v>806</v>
      </c>
      <c r="E1247" t="s">
        <v>659</v>
      </c>
      <c r="F1247">
        <v>661.07</v>
      </c>
      <c r="G1247">
        <v>559.36</v>
      </c>
    </row>
    <row r="1248" spans="1:7" hidden="1" x14ac:dyDescent="0.25">
      <c r="A1248" t="s">
        <v>660</v>
      </c>
      <c r="B1248">
        <v>34483</v>
      </c>
      <c r="C1248" t="s">
        <v>1907</v>
      </c>
      <c r="D1248" t="s">
        <v>806</v>
      </c>
      <c r="E1248" t="s">
        <v>659</v>
      </c>
      <c r="F1248">
        <v>706.3</v>
      </c>
      <c r="G1248">
        <v>597.64</v>
      </c>
    </row>
    <row r="1249" spans="1:7" hidden="1" x14ac:dyDescent="0.25">
      <c r="A1249" t="s">
        <v>660</v>
      </c>
      <c r="B1249">
        <v>34485</v>
      </c>
      <c r="C1249" t="s">
        <v>1908</v>
      </c>
      <c r="D1249" t="s">
        <v>806</v>
      </c>
      <c r="E1249" t="s">
        <v>659</v>
      </c>
      <c r="F1249">
        <v>755.31</v>
      </c>
      <c r="G1249">
        <v>639.11</v>
      </c>
    </row>
    <row r="1250" spans="1:7" hidden="1" x14ac:dyDescent="0.25">
      <c r="A1250" t="s">
        <v>660</v>
      </c>
      <c r="B1250">
        <v>14041</v>
      </c>
      <c r="C1250" t="s">
        <v>1909</v>
      </c>
      <c r="D1250" t="s">
        <v>806</v>
      </c>
      <c r="E1250" t="s">
        <v>659</v>
      </c>
      <c r="F1250">
        <v>490.99</v>
      </c>
      <c r="G1250">
        <v>415.45</v>
      </c>
    </row>
    <row r="1251" spans="1:7" hidden="1" x14ac:dyDescent="0.25">
      <c r="A1251" t="s">
        <v>660</v>
      </c>
      <c r="B1251">
        <v>1523</v>
      </c>
      <c r="C1251" t="s">
        <v>1910</v>
      </c>
      <c r="D1251" t="s">
        <v>806</v>
      </c>
      <c r="E1251" t="s">
        <v>659</v>
      </c>
      <c r="F1251">
        <v>499.01</v>
      </c>
      <c r="G1251">
        <v>422.24</v>
      </c>
    </row>
    <row r="1252" spans="1:7" hidden="1" x14ac:dyDescent="0.25">
      <c r="A1252" t="s">
        <v>660</v>
      </c>
      <c r="B1252">
        <v>14054</v>
      </c>
      <c r="C1252" t="s">
        <v>1911</v>
      </c>
      <c r="D1252" t="s">
        <v>226</v>
      </c>
      <c r="E1252" t="s">
        <v>659</v>
      </c>
      <c r="F1252">
        <v>22.84</v>
      </c>
      <c r="G1252">
        <v>19.13</v>
      </c>
    </row>
    <row r="1253" spans="1:7" hidden="1" x14ac:dyDescent="0.25">
      <c r="A1253" t="s">
        <v>660</v>
      </c>
      <c r="B1253">
        <v>14052</v>
      </c>
      <c r="C1253" t="s">
        <v>1912</v>
      </c>
      <c r="D1253" t="s">
        <v>226</v>
      </c>
      <c r="E1253" t="s">
        <v>659</v>
      </c>
      <c r="F1253">
        <v>17.57</v>
      </c>
      <c r="G1253">
        <v>14.71</v>
      </c>
    </row>
    <row r="1254" spans="1:7" hidden="1" x14ac:dyDescent="0.25">
      <c r="A1254" t="s">
        <v>660</v>
      </c>
      <c r="B1254">
        <v>14053</v>
      </c>
      <c r="C1254" t="s">
        <v>1913</v>
      </c>
      <c r="D1254" t="s">
        <v>226</v>
      </c>
      <c r="E1254" t="s">
        <v>659</v>
      </c>
      <c r="F1254">
        <v>17.829999999999998</v>
      </c>
      <c r="G1254">
        <v>14.94</v>
      </c>
    </row>
    <row r="1255" spans="1:7" hidden="1" x14ac:dyDescent="0.25">
      <c r="A1255" t="s">
        <v>660</v>
      </c>
      <c r="B1255">
        <v>2560</v>
      </c>
      <c r="C1255" t="s">
        <v>1914</v>
      </c>
      <c r="D1255" t="s">
        <v>226</v>
      </c>
      <c r="E1255" t="s">
        <v>659</v>
      </c>
      <c r="F1255">
        <v>23.63</v>
      </c>
      <c r="G1255">
        <v>19.79</v>
      </c>
    </row>
    <row r="1256" spans="1:7" hidden="1" x14ac:dyDescent="0.25">
      <c r="A1256" t="s">
        <v>660</v>
      </c>
      <c r="B1256">
        <v>2558</v>
      </c>
      <c r="C1256" t="s">
        <v>1915</v>
      </c>
      <c r="D1256" t="s">
        <v>226</v>
      </c>
      <c r="E1256" t="s">
        <v>659</v>
      </c>
      <c r="F1256">
        <v>13.43</v>
      </c>
      <c r="G1256">
        <v>11.24</v>
      </c>
    </row>
    <row r="1257" spans="1:7" hidden="1" x14ac:dyDescent="0.25">
      <c r="A1257" t="s">
        <v>660</v>
      </c>
      <c r="B1257">
        <v>2559</v>
      </c>
      <c r="C1257" t="s">
        <v>1916</v>
      </c>
      <c r="D1257" t="s">
        <v>226</v>
      </c>
      <c r="E1257" t="s">
        <v>172</v>
      </c>
      <c r="F1257">
        <v>18.899999999999999</v>
      </c>
      <c r="G1257">
        <v>15.83</v>
      </c>
    </row>
    <row r="1258" spans="1:7" hidden="1" x14ac:dyDescent="0.25">
      <c r="A1258" t="s">
        <v>660</v>
      </c>
      <c r="B1258">
        <v>2592</v>
      </c>
      <c r="C1258" t="s">
        <v>1917</v>
      </c>
      <c r="D1258" t="s">
        <v>226</v>
      </c>
      <c r="E1258" t="s">
        <v>659</v>
      </c>
      <c r="F1258">
        <v>313.32</v>
      </c>
      <c r="G1258">
        <v>262.42</v>
      </c>
    </row>
    <row r="1259" spans="1:7" hidden="1" x14ac:dyDescent="0.25">
      <c r="A1259" t="s">
        <v>660</v>
      </c>
      <c r="B1259">
        <v>2589</v>
      </c>
      <c r="C1259" t="s">
        <v>1918</v>
      </c>
      <c r="D1259" t="s">
        <v>226</v>
      </c>
      <c r="E1259" t="s">
        <v>659</v>
      </c>
      <c r="F1259">
        <v>41.91</v>
      </c>
      <c r="G1259">
        <v>35.1</v>
      </c>
    </row>
    <row r="1260" spans="1:7" hidden="1" x14ac:dyDescent="0.25">
      <c r="A1260" t="s">
        <v>660</v>
      </c>
      <c r="B1260">
        <v>2566</v>
      </c>
      <c r="C1260" t="s">
        <v>1919</v>
      </c>
      <c r="D1260" t="s">
        <v>226</v>
      </c>
      <c r="E1260" t="s">
        <v>659</v>
      </c>
      <c r="F1260">
        <v>31.53</v>
      </c>
      <c r="G1260">
        <v>26.41</v>
      </c>
    </row>
    <row r="1261" spans="1:7" hidden="1" x14ac:dyDescent="0.25">
      <c r="A1261" t="s">
        <v>660</v>
      </c>
      <c r="B1261">
        <v>2590</v>
      </c>
      <c r="C1261" t="s">
        <v>1920</v>
      </c>
      <c r="D1261" t="s">
        <v>226</v>
      </c>
      <c r="E1261" t="s">
        <v>659</v>
      </c>
      <c r="F1261">
        <v>25.72</v>
      </c>
      <c r="G1261">
        <v>21.54</v>
      </c>
    </row>
    <row r="1262" spans="1:7" hidden="1" x14ac:dyDescent="0.25">
      <c r="A1262" t="s">
        <v>660</v>
      </c>
      <c r="B1262">
        <v>2591</v>
      </c>
      <c r="C1262" t="s">
        <v>1921</v>
      </c>
      <c r="D1262" t="s">
        <v>226</v>
      </c>
      <c r="E1262" t="s">
        <v>659</v>
      </c>
      <c r="F1262">
        <v>15.28</v>
      </c>
      <c r="G1262">
        <v>12.8</v>
      </c>
    </row>
    <row r="1263" spans="1:7" hidden="1" x14ac:dyDescent="0.25">
      <c r="A1263" t="s">
        <v>660</v>
      </c>
      <c r="B1263">
        <v>2567</v>
      </c>
      <c r="C1263" t="s">
        <v>1922</v>
      </c>
      <c r="D1263" t="s">
        <v>226</v>
      </c>
      <c r="E1263" t="s">
        <v>659</v>
      </c>
      <c r="F1263">
        <v>61.47</v>
      </c>
      <c r="G1263">
        <v>51.49</v>
      </c>
    </row>
    <row r="1264" spans="1:7" hidden="1" x14ac:dyDescent="0.25">
      <c r="A1264" t="s">
        <v>660</v>
      </c>
      <c r="B1264">
        <v>2568</v>
      </c>
      <c r="C1264" t="s">
        <v>1923</v>
      </c>
      <c r="D1264" t="s">
        <v>226</v>
      </c>
      <c r="E1264" t="s">
        <v>659</v>
      </c>
      <c r="F1264">
        <v>170.71</v>
      </c>
      <c r="G1264">
        <v>142.97999999999999</v>
      </c>
    </row>
    <row r="1265" spans="1:7" hidden="1" x14ac:dyDescent="0.25">
      <c r="A1265" t="s">
        <v>660</v>
      </c>
      <c r="B1265">
        <v>2565</v>
      </c>
      <c r="C1265" t="s">
        <v>1924</v>
      </c>
      <c r="D1265" t="s">
        <v>226</v>
      </c>
      <c r="E1265" t="s">
        <v>659</v>
      </c>
      <c r="F1265">
        <v>15.31</v>
      </c>
      <c r="G1265">
        <v>12.82</v>
      </c>
    </row>
    <row r="1266" spans="1:7" hidden="1" x14ac:dyDescent="0.25">
      <c r="A1266" t="s">
        <v>660</v>
      </c>
      <c r="B1266">
        <v>2594</v>
      </c>
      <c r="C1266" t="s">
        <v>1925</v>
      </c>
      <c r="D1266" t="s">
        <v>226</v>
      </c>
      <c r="E1266" t="s">
        <v>659</v>
      </c>
      <c r="F1266">
        <v>284.38</v>
      </c>
      <c r="G1266">
        <v>238.19</v>
      </c>
    </row>
    <row r="1267" spans="1:7" hidden="1" x14ac:dyDescent="0.25">
      <c r="A1267" t="s">
        <v>660</v>
      </c>
      <c r="B1267">
        <v>2587</v>
      </c>
      <c r="C1267" t="s">
        <v>1926</v>
      </c>
      <c r="D1267" t="s">
        <v>226</v>
      </c>
      <c r="E1267" t="s">
        <v>659</v>
      </c>
      <c r="F1267">
        <v>48.47</v>
      </c>
      <c r="G1267">
        <v>40.590000000000003</v>
      </c>
    </row>
    <row r="1268" spans="1:7" hidden="1" x14ac:dyDescent="0.25">
      <c r="A1268" t="s">
        <v>660</v>
      </c>
      <c r="B1268">
        <v>2588</v>
      </c>
      <c r="C1268" t="s">
        <v>1927</v>
      </c>
      <c r="D1268" t="s">
        <v>226</v>
      </c>
      <c r="E1268" t="s">
        <v>659</v>
      </c>
      <c r="F1268">
        <v>38.5</v>
      </c>
      <c r="G1268">
        <v>32.24</v>
      </c>
    </row>
    <row r="1269" spans="1:7" hidden="1" x14ac:dyDescent="0.25">
      <c r="A1269" t="s">
        <v>660</v>
      </c>
      <c r="B1269">
        <v>2570</v>
      </c>
      <c r="C1269" t="s">
        <v>1928</v>
      </c>
      <c r="D1269" t="s">
        <v>226</v>
      </c>
      <c r="E1269" t="s">
        <v>659</v>
      </c>
      <c r="F1269">
        <v>24.87</v>
      </c>
      <c r="G1269">
        <v>20.83</v>
      </c>
    </row>
    <row r="1270" spans="1:7" hidden="1" x14ac:dyDescent="0.25">
      <c r="A1270" t="s">
        <v>660</v>
      </c>
      <c r="B1270">
        <v>2569</v>
      </c>
      <c r="C1270" t="s">
        <v>1929</v>
      </c>
      <c r="D1270" t="s">
        <v>226</v>
      </c>
      <c r="E1270" t="s">
        <v>659</v>
      </c>
      <c r="F1270">
        <v>14.83</v>
      </c>
      <c r="G1270">
        <v>12.42</v>
      </c>
    </row>
    <row r="1271" spans="1:7" hidden="1" x14ac:dyDescent="0.25">
      <c r="A1271" t="s">
        <v>660</v>
      </c>
      <c r="B1271">
        <v>2571</v>
      </c>
      <c r="C1271" t="s">
        <v>1930</v>
      </c>
      <c r="D1271" t="s">
        <v>226</v>
      </c>
      <c r="E1271" t="s">
        <v>659</v>
      </c>
      <c r="F1271">
        <v>73.819999999999993</v>
      </c>
      <c r="G1271">
        <v>61.83</v>
      </c>
    </row>
    <row r="1272" spans="1:7" hidden="1" x14ac:dyDescent="0.25">
      <c r="A1272" t="s">
        <v>660</v>
      </c>
      <c r="B1272">
        <v>2572</v>
      </c>
      <c r="C1272" t="s">
        <v>1931</v>
      </c>
      <c r="D1272" t="s">
        <v>226</v>
      </c>
      <c r="E1272" t="s">
        <v>659</v>
      </c>
      <c r="F1272">
        <v>218.3</v>
      </c>
      <c r="G1272">
        <v>182.84</v>
      </c>
    </row>
    <row r="1273" spans="1:7" hidden="1" x14ac:dyDescent="0.25">
      <c r="A1273" t="s">
        <v>660</v>
      </c>
      <c r="B1273">
        <v>2593</v>
      </c>
      <c r="C1273" t="s">
        <v>1932</v>
      </c>
      <c r="D1273" t="s">
        <v>226</v>
      </c>
      <c r="E1273" t="s">
        <v>659</v>
      </c>
      <c r="F1273">
        <v>15.82</v>
      </c>
      <c r="G1273">
        <v>13.25</v>
      </c>
    </row>
    <row r="1274" spans="1:7" hidden="1" x14ac:dyDescent="0.25">
      <c r="A1274" t="s">
        <v>660</v>
      </c>
      <c r="B1274">
        <v>2595</v>
      </c>
      <c r="C1274" t="s">
        <v>1933</v>
      </c>
      <c r="D1274" t="s">
        <v>226</v>
      </c>
      <c r="E1274" t="s">
        <v>659</v>
      </c>
      <c r="F1274">
        <v>340.59</v>
      </c>
      <c r="G1274">
        <v>285.27</v>
      </c>
    </row>
    <row r="1275" spans="1:7" hidden="1" x14ac:dyDescent="0.25">
      <c r="A1275" t="s">
        <v>660</v>
      </c>
      <c r="B1275">
        <v>2576</v>
      </c>
      <c r="C1275" t="s">
        <v>1934</v>
      </c>
      <c r="D1275" t="s">
        <v>226</v>
      </c>
      <c r="E1275" t="s">
        <v>659</v>
      </c>
      <c r="F1275">
        <v>58.06</v>
      </c>
      <c r="G1275">
        <v>48.63</v>
      </c>
    </row>
    <row r="1276" spans="1:7" hidden="1" x14ac:dyDescent="0.25">
      <c r="A1276" t="s">
        <v>660</v>
      </c>
      <c r="B1276">
        <v>2575</v>
      </c>
      <c r="C1276" t="s">
        <v>1935</v>
      </c>
      <c r="D1276" t="s">
        <v>226</v>
      </c>
      <c r="E1276" t="s">
        <v>659</v>
      </c>
      <c r="F1276">
        <v>43.65</v>
      </c>
      <c r="G1276">
        <v>36.56</v>
      </c>
    </row>
    <row r="1277" spans="1:7" hidden="1" x14ac:dyDescent="0.25">
      <c r="A1277" t="s">
        <v>660</v>
      </c>
      <c r="B1277">
        <v>2586</v>
      </c>
      <c r="C1277" t="s">
        <v>1936</v>
      </c>
      <c r="D1277" t="s">
        <v>226</v>
      </c>
      <c r="E1277" t="s">
        <v>659</v>
      </c>
      <c r="F1277">
        <v>29.38</v>
      </c>
      <c r="G1277">
        <v>24.61</v>
      </c>
    </row>
    <row r="1278" spans="1:7" hidden="1" x14ac:dyDescent="0.25">
      <c r="A1278" t="s">
        <v>660</v>
      </c>
      <c r="B1278">
        <v>2573</v>
      </c>
      <c r="C1278" t="s">
        <v>1937</v>
      </c>
      <c r="D1278" t="s">
        <v>226</v>
      </c>
      <c r="E1278" t="s">
        <v>659</v>
      </c>
      <c r="F1278">
        <v>18.13</v>
      </c>
      <c r="G1278">
        <v>15.18</v>
      </c>
    </row>
    <row r="1279" spans="1:7" hidden="1" x14ac:dyDescent="0.25">
      <c r="A1279" t="s">
        <v>660</v>
      </c>
      <c r="B1279">
        <v>2577</v>
      </c>
      <c r="C1279" t="s">
        <v>1938</v>
      </c>
      <c r="D1279" t="s">
        <v>226</v>
      </c>
      <c r="E1279" t="s">
        <v>659</v>
      </c>
      <c r="F1279">
        <v>78.67</v>
      </c>
      <c r="G1279">
        <v>65.89</v>
      </c>
    </row>
    <row r="1280" spans="1:7" hidden="1" x14ac:dyDescent="0.25">
      <c r="A1280" t="s">
        <v>660</v>
      </c>
      <c r="B1280">
        <v>2578</v>
      </c>
      <c r="C1280" t="s">
        <v>1939</v>
      </c>
      <c r="D1280" t="s">
        <v>226</v>
      </c>
      <c r="E1280" t="s">
        <v>659</v>
      </c>
      <c r="F1280">
        <v>245.63</v>
      </c>
      <c r="G1280">
        <v>205.73</v>
      </c>
    </row>
    <row r="1281" spans="1:7" hidden="1" x14ac:dyDescent="0.25">
      <c r="A1281" t="s">
        <v>660</v>
      </c>
      <c r="B1281">
        <v>2574</v>
      </c>
      <c r="C1281" t="s">
        <v>1940</v>
      </c>
      <c r="D1281" t="s">
        <v>226</v>
      </c>
      <c r="E1281" t="s">
        <v>659</v>
      </c>
      <c r="F1281">
        <v>18.239999999999998</v>
      </c>
      <c r="G1281">
        <v>15.28</v>
      </c>
    </row>
    <row r="1282" spans="1:7" hidden="1" x14ac:dyDescent="0.25">
      <c r="A1282" t="s">
        <v>660</v>
      </c>
      <c r="B1282">
        <v>2585</v>
      </c>
      <c r="C1282" t="s">
        <v>1941</v>
      </c>
      <c r="D1282" t="s">
        <v>226</v>
      </c>
      <c r="E1282" t="s">
        <v>659</v>
      </c>
      <c r="F1282">
        <v>337.06</v>
      </c>
      <c r="G1282">
        <v>282.31</v>
      </c>
    </row>
    <row r="1283" spans="1:7" hidden="1" x14ac:dyDescent="0.25">
      <c r="A1283" t="s">
        <v>660</v>
      </c>
      <c r="B1283">
        <v>12008</v>
      </c>
      <c r="C1283" t="s">
        <v>1942</v>
      </c>
      <c r="D1283" t="s">
        <v>226</v>
      </c>
      <c r="E1283" t="s">
        <v>659</v>
      </c>
      <c r="F1283">
        <v>180.85</v>
      </c>
      <c r="G1283">
        <v>151.47</v>
      </c>
    </row>
    <row r="1284" spans="1:7" hidden="1" x14ac:dyDescent="0.25">
      <c r="A1284" t="s">
        <v>660</v>
      </c>
      <c r="B1284">
        <v>2582</v>
      </c>
      <c r="C1284" t="s">
        <v>1943</v>
      </c>
      <c r="D1284" t="s">
        <v>226</v>
      </c>
      <c r="E1284" t="s">
        <v>659</v>
      </c>
      <c r="F1284">
        <v>53.85</v>
      </c>
      <c r="G1284">
        <v>45.11</v>
      </c>
    </row>
    <row r="1285" spans="1:7" hidden="1" x14ac:dyDescent="0.25">
      <c r="A1285" t="s">
        <v>660</v>
      </c>
      <c r="B1285">
        <v>2597</v>
      </c>
      <c r="C1285" t="s">
        <v>1944</v>
      </c>
      <c r="D1285" t="s">
        <v>226</v>
      </c>
      <c r="E1285" t="s">
        <v>659</v>
      </c>
      <c r="F1285">
        <v>46.16</v>
      </c>
      <c r="G1285">
        <v>38.659999999999997</v>
      </c>
    </row>
    <row r="1286" spans="1:7" hidden="1" x14ac:dyDescent="0.25">
      <c r="A1286" t="s">
        <v>660</v>
      </c>
      <c r="B1286">
        <v>2581</v>
      </c>
      <c r="C1286" t="s">
        <v>1945</v>
      </c>
      <c r="D1286" t="s">
        <v>226</v>
      </c>
      <c r="E1286" t="s">
        <v>659</v>
      </c>
      <c r="F1286">
        <v>28.12</v>
      </c>
      <c r="G1286">
        <v>23.55</v>
      </c>
    </row>
    <row r="1287" spans="1:7" hidden="1" x14ac:dyDescent="0.25">
      <c r="A1287" t="s">
        <v>660</v>
      </c>
      <c r="B1287">
        <v>2579</v>
      </c>
      <c r="C1287" t="s">
        <v>1946</v>
      </c>
      <c r="D1287" t="s">
        <v>226</v>
      </c>
      <c r="E1287" t="s">
        <v>659</v>
      </c>
      <c r="F1287">
        <v>21.97</v>
      </c>
      <c r="G1287">
        <v>18.399999999999999</v>
      </c>
    </row>
    <row r="1288" spans="1:7" hidden="1" x14ac:dyDescent="0.25">
      <c r="A1288" t="s">
        <v>660</v>
      </c>
      <c r="B1288">
        <v>2596</v>
      </c>
      <c r="C1288" t="s">
        <v>1947</v>
      </c>
      <c r="D1288" t="s">
        <v>226</v>
      </c>
      <c r="E1288" t="s">
        <v>659</v>
      </c>
      <c r="F1288">
        <v>83.16</v>
      </c>
      <c r="G1288">
        <v>69.650000000000006</v>
      </c>
    </row>
    <row r="1289" spans="1:7" hidden="1" x14ac:dyDescent="0.25">
      <c r="A1289" t="s">
        <v>660</v>
      </c>
      <c r="B1289">
        <v>2583</v>
      </c>
      <c r="C1289" t="s">
        <v>1948</v>
      </c>
      <c r="D1289" t="s">
        <v>226</v>
      </c>
      <c r="E1289" t="s">
        <v>659</v>
      </c>
      <c r="F1289">
        <v>202.27</v>
      </c>
      <c r="G1289">
        <v>169.41</v>
      </c>
    </row>
    <row r="1290" spans="1:7" hidden="1" x14ac:dyDescent="0.25">
      <c r="A1290" t="s">
        <v>660</v>
      </c>
      <c r="B1290">
        <v>2580</v>
      </c>
      <c r="C1290" t="s">
        <v>1949</v>
      </c>
      <c r="D1290" t="s">
        <v>226</v>
      </c>
      <c r="E1290" t="s">
        <v>659</v>
      </c>
      <c r="F1290">
        <v>24.08</v>
      </c>
      <c r="G1290">
        <v>20.170000000000002</v>
      </c>
    </row>
    <row r="1291" spans="1:7" hidden="1" x14ac:dyDescent="0.25">
      <c r="A1291" t="s">
        <v>660</v>
      </c>
      <c r="B1291">
        <v>2584</v>
      </c>
      <c r="C1291" t="s">
        <v>1950</v>
      </c>
      <c r="D1291" t="s">
        <v>226</v>
      </c>
      <c r="E1291" t="s">
        <v>659</v>
      </c>
      <c r="F1291">
        <v>336.72</v>
      </c>
      <c r="G1291">
        <v>282.02</v>
      </c>
    </row>
    <row r="1292" spans="1:7" hidden="1" x14ac:dyDescent="0.25">
      <c r="A1292" t="s">
        <v>660</v>
      </c>
      <c r="B1292">
        <v>39329</v>
      </c>
      <c r="C1292" t="s">
        <v>1951</v>
      </c>
      <c r="D1292" t="s">
        <v>226</v>
      </c>
      <c r="E1292" t="s">
        <v>659</v>
      </c>
      <c r="F1292">
        <v>12.72</v>
      </c>
      <c r="G1292">
        <v>8.26</v>
      </c>
    </row>
    <row r="1293" spans="1:7" hidden="1" x14ac:dyDescent="0.25">
      <c r="A1293" t="s">
        <v>660</v>
      </c>
      <c r="B1293">
        <v>12010</v>
      </c>
      <c r="C1293" t="s">
        <v>1952</v>
      </c>
      <c r="D1293" t="s">
        <v>226</v>
      </c>
      <c r="E1293" t="s">
        <v>659</v>
      </c>
      <c r="F1293">
        <v>12.16</v>
      </c>
      <c r="G1293">
        <v>7.9</v>
      </c>
    </row>
    <row r="1294" spans="1:7" hidden="1" x14ac:dyDescent="0.25">
      <c r="A1294" t="s">
        <v>660</v>
      </c>
      <c r="B1294">
        <v>39332</v>
      </c>
      <c r="C1294" t="s">
        <v>1953</v>
      </c>
      <c r="D1294" t="s">
        <v>226</v>
      </c>
      <c r="E1294" t="s">
        <v>659</v>
      </c>
      <c r="F1294">
        <v>14.95</v>
      </c>
      <c r="G1294">
        <v>9.7100000000000009</v>
      </c>
    </row>
    <row r="1295" spans="1:7" hidden="1" x14ac:dyDescent="0.25">
      <c r="A1295" t="s">
        <v>660</v>
      </c>
      <c r="B1295">
        <v>39330</v>
      </c>
      <c r="C1295" t="s">
        <v>1954</v>
      </c>
      <c r="D1295" t="s">
        <v>226</v>
      </c>
      <c r="E1295" t="s">
        <v>659</v>
      </c>
      <c r="F1295">
        <v>13.38</v>
      </c>
      <c r="G1295">
        <v>8.69</v>
      </c>
    </row>
    <row r="1296" spans="1:7" hidden="1" x14ac:dyDescent="0.25">
      <c r="A1296" t="s">
        <v>660</v>
      </c>
      <c r="B1296">
        <v>39331</v>
      </c>
      <c r="C1296" t="s">
        <v>1955</v>
      </c>
      <c r="D1296" t="s">
        <v>226</v>
      </c>
      <c r="E1296" t="s">
        <v>659</v>
      </c>
      <c r="F1296">
        <v>11.9</v>
      </c>
      <c r="G1296">
        <v>7.73</v>
      </c>
    </row>
    <row r="1297" spans="1:7" hidden="1" x14ac:dyDescent="0.25">
      <c r="A1297" t="s">
        <v>660</v>
      </c>
      <c r="B1297">
        <v>39335</v>
      </c>
      <c r="C1297" t="s">
        <v>1956</v>
      </c>
      <c r="D1297" t="s">
        <v>226</v>
      </c>
      <c r="E1297" t="s">
        <v>659</v>
      </c>
      <c r="F1297">
        <v>13.43</v>
      </c>
      <c r="G1297">
        <v>8.7200000000000006</v>
      </c>
    </row>
    <row r="1298" spans="1:7" hidden="1" x14ac:dyDescent="0.25">
      <c r="A1298" t="s">
        <v>660</v>
      </c>
      <c r="B1298">
        <v>39333</v>
      </c>
      <c r="C1298" t="s">
        <v>1957</v>
      </c>
      <c r="D1298" t="s">
        <v>226</v>
      </c>
      <c r="E1298" t="s">
        <v>659</v>
      </c>
      <c r="F1298">
        <v>11.6</v>
      </c>
      <c r="G1298">
        <v>7.54</v>
      </c>
    </row>
    <row r="1299" spans="1:7" hidden="1" x14ac:dyDescent="0.25">
      <c r="A1299" t="s">
        <v>660</v>
      </c>
      <c r="B1299">
        <v>39334</v>
      </c>
      <c r="C1299" t="s">
        <v>1958</v>
      </c>
      <c r="D1299" t="s">
        <v>226</v>
      </c>
      <c r="E1299" t="s">
        <v>659</v>
      </c>
      <c r="F1299">
        <v>10.67</v>
      </c>
      <c r="G1299">
        <v>6.93</v>
      </c>
    </row>
    <row r="1300" spans="1:7" hidden="1" x14ac:dyDescent="0.25">
      <c r="A1300" t="s">
        <v>660</v>
      </c>
      <c r="B1300">
        <v>12015</v>
      </c>
      <c r="C1300" t="s">
        <v>1959</v>
      </c>
      <c r="D1300" t="s">
        <v>226</v>
      </c>
      <c r="E1300" t="s">
        <v>659</v>
      </c>
      <c r="F1300">
        <v>15.6</v>
      </c>
      <c r="G1300">
        <v>10.130000000000001</v>
      </c>
    </row>
    <row r="1301" spans="1:7" hidden="1" x14ac:dyDescent="0.25">
      <c r="A1301" t="s">
        <v>660</v>
      </c>
      <c r="B1301">
        <v>12016</v>
      </c>
      <c r="C1301" t="s">
        <v>1960</v>
      </c>
      <c r="D1301" t="s">
        <v>226</v>
      </c>
      <c r="E1301" t="s">
        <v>659</v>
      </c>
      <c r="F1301">
        <v>13.4</v>
      </c>
      <c r="G1301">
        <v>8.6999999999999993</v>
      </c>
    </row>
    <row r="1302" spans="1:7" hidden="1" x14ac:dyDescent="0.25">
      <c r="A1302" t="s">
        <v>660</v>
      </c>
      <c r="B1302">
        <v>12019</v>
      </c>
      <c r="C1302" t="s">
        <v>1961</v>
      </c>
      <c r="D1302" t="s">
        <v>226</v>
      </c>
      <c r="E1302" t="s">
        <v>659</v>
      </c>
      <c r="F1302">
        <v>15.6</v>
      </c>
      <c r="G1302">
        <v>10.130000000000001</v>
      </c>
    </row>
    <row r="1303" spans="1:7" hidden="1" x14ac:dyDescent="0.25">
      <c r="A1303" t="s">
        <v>660</v>
      </c>
      <c r="B1303">
        <v>12020</v>
      </c>
      <c r="C1303" t="s">
        <v>1962</v>
      </c>
      <c r="D1303" t="s">
        <v>226</v>
      </c>
      <c r="E1303" t="s">
        <v>659</v>
      </c>
      <c r="F1303">
        <v>13.4</v>
      </c>
      <c r="G1303">
        <v>8.6999999999999993</v>
      </c>
    </row>
    <row r="1304" spans="1:7" hidden="1" x14ac:dyDescent="0.25">
      <c r="A1304" t="s">
        <v>660</v>
      </c>
      <c r="B1304">
        <v>39338</v>
      </c>
      <c r="C1304" t="s">
        <v>1963</v>
      </c>
      <c r="D1304" t="s">
        <v>226</v>
      </c>
      <c r="E1304" t="s">
        <v>659</v>
      </c>
      <c r="F1304">
        <v>14.95</v>
      </c>
      <c r="G1304">
        <v>9.7100000000000009</v>
      </c>
    </row>
    <row r="1305" spans="1:7" hidden="1" x14ac:dyDescent="0.25">
      <c r="A1305" t="s">
        <v>660</v>
      </c>
      <c r="B1305">
        <v>39336</v>
      </c>
      <c r="C1305" t="s">
        <v>1964</v>
      </c>
      <c r="D1305" t="s">
        <v>226</v>
      </c>
      <c r="E1305" t="s">
        <v>659</v>
      </c>
      <c r="F1305">
        <v>13.38</v>
      </c>
      <c r="G1305">
        <v>8.69</v>
      </c>
    </row>
    <row r="1306" spans="1:7" hidden="1" x14ac:dyDescent="0.25">
      <c r="A1306" t="s">
        <v>660</v>
      </c>
      <c r="B1306">
        <v>39337</v>
      </c>
      <c r="C1306" t="s">
        <v>1965</v>
      </c>
      <c r="D1306" t="s">
        <v>226</v>
      </c>
      <c r="E1306" t="s">
        <v>659</v>
      </c>
      <c r="F1306">
        <v>11.9</v>
      </c>
      <c r="G1306">
        <v>7.73</v>
      </c>
    </row>
    <row r="1307" spans="1:7" hidden="1" x14ac:dyDescent="0.25">
      <c r="A1307" t="s">
        <v>660</v>
      </c>
      <c r="B1307">
        <v>39341</v>
      </c>
      <c r="C1307" t="s">
        <v>1966</v>
      </c>
      <c r="D1307" t="s">
        <v>226</v>
      </c>
      <c r="E1307" t="s">
        <v>659</v>
      </c>
      <c r="F1307">
        <v>19.489999999999998</v>
      </c>
      <c r="G1307">
        <v>12.66</v>
      </c>
    </row>
    <row r="1308" spans="1:7" hidden="1" x14ac:dyDescent="0.25">
      <c r="A1308" t="s">
        <v>660</v>
      </c>
      <c r="B1308">
        <v>39340</v>
      </c>
      <c r="C1308" t="s">
        <v>1967</v>
      </c>
      <c r="D1308" t="s">
        <v>226</v>
      </c>
      <c r="E1308" t="s">
        <v>659</v>
      </c>
      <c r="F1308">
        <v>14.31</v>
      </c>
      <c r="G1308">
        <v>9.2899999999999991</v>
      </c>
    </row>
    <row r="1309" spans="1:7" hidden="1" x14ac:dyDescent="0.25">
      <c r="A1309" t="s">
        <v>660</v>
      </c>
      <c r="B1309">
        <v>39342</v>
      </c>
      <c r="C1309" t="s">
        <v>1968</v>
      </c>
      <c r="D1309" t="s">
        <v>226</v>
      </c>
      <c r="E1309" t="s">
        <v>659</v>
      </c>
      <c r="F1309">
        <v>19.489999999999998</v>
      </c>
      <c r="G1309">
        <v>12.66</v>
      </c>
    </row>
    <row r="1310" spans="1:7" hidden="1" x14ac:dyDescent="0.25">
      <c r="A1310" t="s">
        <v>660</v>
      </c>
      <c r="B1310">
        <v>12025</v>
      </c>
      <c r="C1310" t="s">
        <v>1969</v>
      </c>
      <c r="D1310" t="s">
        <v>226</v>
      </c>
      <c r="E1310" t="s">
        <v>659</v>
      </c>
      <c r="F1310">
        <v>14.78</v>
      </c>
      <c r="G1310">
        <v>9.6</v>
      </c>
    </row>
    <row r="1311" spans="1:7" hidden="1" x14ac:dyDescent="0.25">
      <c r="A1311" t="s">
        <v>660</v>
      </c>
      <c r="B1311">
        <v>39345</v>
      </c>
      <c r="C1311" t="s">
        <v>1970</v>
      </c>
      <c r="D1311" t="s">
        <v>226</v>
      </c>
      <c r="E1311" t="s">
        <v>659</v>
      </c>
      <c r="F1311">
        <v>22.27</v>
      </c>
      <c r="G1311">
        <v>14.47</v>
      </c>
    </row>
    <row r="1312" spans="1:7" hidden="1" x14ac:dyDescent="0.25">
      <c r="A1312" t="s">
        <v>660</v>
      </c>
      <c r="B1312">
        <v>39343</v>
      </c>
      <c r="C1312" t="s">
        <v>1971</v>
      </c>
      <c r="D1312" t="s">
        <v>226</v>
      </c>
      <c r="E1312" t="s">
        <v>659</v>
      </c>
      <c r="F1312">
        <v>16.46</v>
      </c>
      <c r="G1312">
        <v>10.69</v>
      </c>
    </row>
    <row r="1313" spans="1:7" hidden="1" x14ac:dyDescent="0.25">
      <c r="A1313" t="s">
        <v>660</v>
      </c>
      <c r="B1313">
        <v>39344</v>
      </c>
      <c r="C1313" t="s">
        <v>1972</v>
      </c>
      <c r="D1313" t="s">
        <v>226</v>
      </c>
      <c r="E1313" t="s">
        <v>659</v>
      </c>
      <c r="F1313">
        <v>15.91</v>
      </c>
      <c r="G1313">
        <v>10.33</v>
      </c>
    </row>
    <row r="1314" spans="1:7" hidden="1" x14ac:dyDescent="0.25">
      <c r="A1314" t="s">
        <v>660</v>
      </c>
      <c r="B1314">
        <v>12623</v>
      </c>
      <c r="C1314" t="s">
        <v>1973</v>
      </c>
      <c r="D1314" t="s">
        <v>704</v>
      </c>
      <c r="E1314" t="s">
        <v>659</v>
      </c>
      <c r="F1314">
        <v>46.23</v>
      </c>
      <c r="G1314">
        <v>47.79</v>
      </c>
    </row>
    <row r="1315" spans="1:7" hidden="1" x14ac:dyDescent="0.25">
      <c r="A1315" t="s">
        <v>660</v>
      </c>
      <c r="B1315">
        <v>34498</v>
      </c>
      <c r="C1315" t="s">
        <v>1974</v>
      </c>
      <c r="D1315" t="s">
        <v>226</v>
      </c>
      <c r="E1315" t="s">
        <v>659</v>
      </c>
      <c r="F1315">
        <v>95.74</v>
      </c>
      <c r="G1315">
        <v>106.9</v>
      </c>
    </row>
    <row r="1316" spans="1:7" hidden="1" x14ac:dyDescent="0.25">
      <c r="A1316" t="s">
        <v>660</v>
      </c>
      <c r="B1316">
        <v>13244</v>
      </c>
      <c r="C1316" t="s">
        <v>1975</v>
      </c>
      <c r="D1316" t="s">
        <v>226</v>
      </c>
      <c r="E1316" t="s">
        <v>172</v>
      </c>
      <c r="F1316">
        <v>40.299999999999997</v>
      </c>
      <c r="G1316">
        <v>45</v>
      </c>
    </row>
    <row r="1317" spans="1:7" hidden="1" x14ac:dyDescent="0.25">
      <c r="A1317" t="s">
        <v>660</v>
      </c>
      <c r="B1317">
        <v>38998</v>
      </c>
      <c r="C1317" t="s">
        <v>1976</v>
      </c>
      <c r="D1317" t="s">
        <v>226</v>
      </c>
      <c r="E1317" t="s">
        <v>659</v>
      </c>
      <c r="F1317">
        <f t="shared" ref="F1317:F1322" si="6">G1317</f>
        <v>11.36</v>
      </c>
      <c r="G1317">
        <v>11.36</v>
      </c>
    </row>
    <row r="1318" spans="1:7" hidden="1" x14ac:dyDescent="0.25">
      <c r="A1318" t="s">
        <v>660</v>
      </c>
      <c r="B1318">
        <v>38999</v>
      </c>
      <c r="C1318" t="s">
        <v>1977</v>
      </c>
      <c r="D1318" t="s">
        <v>226</v>
      </c>
      <c r="E1318" t="s">
        <v>659</v>
      </c>
      <c r="F1318">
        <f t="shared" si="6"/>
        <v>28.73</v>
      </c>
      <c r="G1318">
        <v>28.73</v>
      </c>
    </row>
    <row r="1319" spans="1:7" hidden="1" x14ac:dyDescent="0.25">
      <c r="A1319" t="s">
        <v>660</v>
      </c>
      <c r="B1319">
        <v>38996</v>
      </c>
      <c r="C1319" t="s">
        <v>1978</v>
      </c>
      <c r="D1319" t="s">
        <v>226</v>
      </c>
      <c r="E1319" t="s">
        <v>659</v>
      </c>
      <c r="F1319">
        <f t="shared" si="6"/>
        <v>20.309999999999999</v>
      </c>
      <c r="G1319">
        <v>20.309999999999999</v>
      </c>
    </row>
    <row r="1320" spans="1:7" hidden="1" x14ac:dyDescent="0.25">
      <c r="A1320" t="s">
        <v>660</v>
      </c>
      <c r="B1320">
        <v>44173</v>
      </c>
      <c r="C1320" t="s">
        <v>1979</v>
      </c>
      <c r="D1320" t="s">
        <v>226</v>
      </c>
      <c r="E1320" t="s">
        <v>659</v>
      </c>
      <c r="F1320">
        <f t="shared" si="6"/>
        <v>19.75</v>
      </c>
      <c r="G1320">
        <v>19.75</v>
      </c>
    </row>
    <row r="1321" spans="1:7" hidden="1" x14ac:dyDescent="0.25">
      <c r="A1321" t="s">
        <v>660</v>
      </c>
      <c r="B1321">
        <v>44174</v>
      </c>
      <c r="C1321" t="s">
        <v>1980</v>
      </c>
      <c r="D1321" t="s">
        <v>226</v>
      </c>
      <c r="E1321" t="s">
        <v>659</v>
      </c>
      <c r="F1321">
        <f t="shared" si="6"/>
        <v>32.32</v>
      </c>
      <c r="G1321">
        <v>32.32</v>
      </c>
    </row>
    <row r="1322" spans="1:7" hidden="1" x14ac:dyDescent="0.25">
      <c r="A1322" t="s">
        <v>660</v>
      </c>
      <c r="B1322">
        <v>38997</v>
      </c>
      <c r="C1322" t="s">
        <v>1981</v>
      </c>
      <c r="D1322" t="s">
        <v>226</v>
      </c>
      <c r="E1322" t="s">
        <v>659</v>
      </c>
      <c r="F1322">
        <f t="shared" si="6"/>
        <v>29.05</v>
      </c>
      <c r="G1322">
        <v>29.05</v>
      </c>
    </row>
    <row r="1323" spans="1:7" hidden="1" x14ac:dyDescent="0.25">
      <c r="A1323" t="s">
        <v>660</v>
      </c>
      <c r="B1323">
        <v>39600</v>
      </c>
      <c r="C1323" t="s">
        <v>1982</v>
      </c>
      <c r="D1323" t="s">
        <v>226</v>
      </c>
      <c r="E1323" t="s">
        <v>659</v>
      </c>
      <c r="F1323">
        <v>14.52</v>
      </c>
      <c r="G1323">
        <v>17.2</v>
      </c>
    </row>
    <row r="1324" spans="1:7" hidden="1" x14ac:dyDescent="0.25">
      <c r="A1324" t="s">
        <v>660</v>
      </c>
      <c r="B1324">
        <v>39601</v>
      </c>
      <c r="C1324" t="s">
        <v>1983</v>
      </c>
      <c r="D1324" t="s">
        <v>226</v>
      </c>
      <c r="E1324" t="s">
        <v>659</v>
      </c>
      <c r="F1324">
        <v>30.81</v>
      </c>
      <c r="G1324">
        <v>36.479999999999997</v>
      </c>
    </row>
    <row r="1325" spans="1:7" hidden="1" x14ac:dyDescent="0.25">
      <c r="A1325" t="s">
        <v>660</v>
      </c>
      <c r="B1325">
        <v>39862</v>
      </c>
      <c r="C1325" t="s">
        <v>1984</v>
      </c>
      <c r="D1325" t="s">
        <v>226</v>
      </c>
      <c r="E1325" t="s">
        <v>659</v>
      </c>
      <c r="F1325">
        <f>G1325</f>
        <v>14.74</v>
      </c>
      <c r="G1325">
        <v>14.74</v>
      </c>
    </row>
    <row r="1326" spans="1:7" hidden="1" x14ac:dyDescent="0.25">
      <c r="A1326" t="s">
        <v>660</v>
      </c>
      <c r="B1326">
        <v>39863</v>
      </c>
      <c r="C1326" t="s">
        <v>1985</v>
      </c>
      <c r="D1326" t="s">
        <v>226</v>
      </c>
      <c r="E1326" t="s">
        <v>659</v>
      </c>
      <c r="F1326">
        <f>G1326</f>
        <v>14.95</v>
      </c>
      <c r="G1326">
        <v>14.95</v>
      </c>
    </row>
    <row r="1327" spans="1:7" hidden="1" x14ac:dyDescent="0.25">
      <c r="A1327" t="s">
        <v>660</v>
      </c>
      <c r="B1327">
        <v>39864</v>
      </c>
      <c r="C1327" t="s">
        <v>1986</v>
      </c>
      <c r="D1327" t="s">
        <v>226</v>
      </c>
      <c r="E1327" t="s">
        <v>659</v>
      </c>
      <c r="F1327">
        <f>G1327</f>
        <v>18.55</v>
      </c>
      <c r="G1327">
        <v>18.55</v>
      </c>
    </row>
    <row r="1328" spans="1:7" hidden="1" x14ac:dyDescent="0.25">
      <c r="A1328" t="s">
        <v>660</v>
      </c>
      <c r="B1328">
        <v>39865</v>
      </c>
      <c r="C1328" t="s">
        <v>1987</v>
      </c>
      <c r="D1328" t="s">
        <v>226</v>
      </c>
      <c r="E1328" t="s">
        <v>659</v>
      </c>
      <c r="F1328">
        <f>G1328</f>
        <v>26.14</v>
      </c>
      <c r="G1328">
        <v>26.14</v>
      </c>
    </row>
    <row r="1329" spans="1:7" hidden="1" x14ac:dyDescent="0.25">
      <c r="A1329" t="s">
        <v>660</v>
      </c>
      <c r="B1329">
        <v>2517</v>
      </c>
      <c r="C1329" t="s">
        <v>1988</v>
      </c>
      <c r="D1329" t="s">
        <v>226</v>
      </c>
      <c r="E1329" t="s">
        <v>659</v>
      </c>
      <c r="F1329">
        <v>33.549999999999997</v>
      </c>
      <c r="G1329">
        <v>28.1</v>
      </c>
    </row>
    <row r="1330" spans="1:7" hidden="1" x14ac:dyDescent="0.25">
      <c r="A1330" t="s">
        <v>660</v>
      </c>
      <c r="B1330">
        <v>2522</v>
      </c>
      <c r="C1330" t="s">
        <v>1989</v>
      </c>
      <c r="D1330" t="s">
        <v>226</v>
      </c>
      <c r="E1330" t="s">
        <v>659</v>
      </c>
      <c r="F1330">
        <v>21.68</v>
      </c>
      <c r="G1330">
        <v>18.16</v>
      </c>
    </row>
    <row r="1331" spans="1:7" hidden="1" x14ac:dyDescent="0.25">
      <c r="A1331" t="s">
        <v>660</v>
      </c>
      <c r="B1331">
        <v>2516</v>
      </c>
      <c r="C1331" t="s">
        <v>1990</v>
      </c>
      <c r="D1331" t="s">
        <v>226</v>
      </c>
      <c r="E1331" t="s">
        <v>659</v>
      </c>
      <c r="F1331">
        <v>17.41</v>
      </c>
      <c r="G1331">
        <v>14.58</v>
      </c>
    </row>
    <row r="1332" spans="1:7" hidden="1" x14ac:dyDescent="0.25">
      <c r="A1332" t="s">
        <v>660</v>
      </c>
      <c r="B1332">
        <v>2548</v>
      </c>
      <c r="C1332" t="s">
        <v>1991</v>
      </c>
      <c r="D1332" t="s">
        <v>226</v>
      </c>
      <c r="E1332" t="s">
        <v>659</v>
      </c>
      <c r="F1332">
        <v>13.33</v>
      </c>
      <c r="G1332">
        <v>11.17</v>
      </c>
    </row>
    <row r="1333" spans="1:7" hidden="1" x14ac:dyDescent="0.25">
      <c r="A1333" t="s">
        <v>660</v>
      </c>
      <c r="B1333">
        <v>2518</v>
      </c>
      <c r="C1333" t="s">
        <v>1992</v>
      </c>
      <c r="D1333" t="s">
        <v>226</v>
      </c>
      <c r="E1333" t="s">
        <v>659</v>
      </c>
      <c r="F1333">
        <v>159.69</v>
      </c>
      <c r="G1333">
        <v>133.75</v>
      </c>
    </row>
    <row r="1334" spans="1:7" hidden="1" x14ac:dyDescent="0.25">
      <c r="A1334" t="s">
        <v>660</v>
      </c>
      <c r="B1334">
        <v>2521</v>
      </c>
      <c r="C1334" t="s">
        <v>1993</v>
      </c>
      <c r="D1334" t="s">
        <v>226</v>
      </c>
      <c r="E1334" t="s">
        <v>659</v>
      </c>
      <c r="F1334">
        <v>67.98</v>
      </c>
      <c r="G1334">
        <v>56.93</v>
      </c>
    </row>
    <row r="1335" spans="1:7" hidden="1" x14ac:dyDescent="0.25">
      <c r="A1335" t="s">
        <v>660</v>
      </c>
      <c r="B1335">
        <v>2519</v>
      </c>
      <c r="C1335" t="s">
        <v>1994</v>
      </c>
      <c r="D1335" t="s">
        <v>226</v>
      </c>
      <c r="E1335" t="s">
        <v>659</v>
      </c>
      <c r="F1335">
        <v>192.55</v>
      </c>
      <c r="G1335">
        <v>161.27000000000001</v>
      </c>
    </row>
    <row r="1336" spans="1:7" hidden="1" x14ac:dyDescent="0.25">
      <c r="A1336" t="s">
        <v>660</v>
      </c>
      <c r="B1336">
        <v>2515</v>
      </c>
      <c r="C1336" t="s">
        <v>1995</v>
      </c>
      <c r="D1336" t="s">
        <v>226</v>
      </c>
      <c r="E1336" t="s">
        <v>659</v>
      </c>
      <c r="F1336">
        <v>14.49</v>
      </c>
      <c r="G1336">
        <v>12.13</v>
      </c>
    </row>
    <row r="1337" spans="1:7" hidden="1" x14ac:dyDescent="0.25">
      <c r="A1337" t="s">
        <v>660</v>
      </c>
      <c r="B1337">
        <v>2520</v>
      </c>
      <c r="C1337" t="s">
        <v>1996</v>
      </c>
      <c r="D1337" t="s">
        <v>226</v>
      </c>
      <c r="E1337" t="s">
        <v>659</v>
      </c>
      <c r="F1337">
        <v>354.4</v>
      </c>
      <c r="G1337">
        <v>296.83</v>
      </c>
    </row>
    <row r="1338" spans="1:7" hidden="1" x14ac:dyDescent="0.25">
      <c r="A1338" t="s">
        <v>660</v>
      </c>
      <c r="B1338">
        <v>1602</v>
      </c>
      <c r="C1338" t="s">
        <v>1997</v>
      </c>
      <c r="D1338" t="s">
        <v>226</v>
      </c>
      <c r="E1338" t="s">
        <v>659</v>
      </c>
      <c r="F1338">
        <v>68.489999999999995</v>
      </c>
      <c r="G1338">
        <v>51.41</v>
      </c>
    </row>
    <row r="1339" spans="1:7" hidden="1" x14ac:dyDescent="0.25">
      <c r="A1339" t="s">
        <v>660</v>
      </c>
      <c r="B1339">
        <v>1601</v>
      </c>
      <c r="C1339" t="s">
        <v>1998</v>
      </c>
      <c r="D1339" t="s">
        <v>226</v>
      </c>
      <c r="E1339" t="s">
        <v>659</v>
      </c>
      <c r="F1339">
        <v>61.04</v>
      </c>
      <c r="G1339">
        <v>45.82</v>
      </c>
    </row>
    <row r="1340" spans="1:7" hidden="1" x14ac:dyDescent="0.25">
      <c r="A1340" t="s">
        <v>660</v>
      </c>
      <c r="B1340">
        <v>1600</v>
      </c>
      <c r="C1340" t="s">
        <v>1999</v>
      </c>
      <c r="D1340" t="s">
        <v>226</v>
      </c>
      <c r="E1340" t="s">
        <v>659</v>
      </c>
      <c r="F1340">
        <v>26.66</v>
      </c>
      <c r="G1340">
        <v>20.010000000000002</v>
      </c>
    </row>
    <row r="1341" spans="1:7" hidden="1" x14ac:dyDescent="0.25">
      <c r="A1341" t="s">
        <v>660</v>
      </c>
      <c r="B1341">
        <v>1598</v>
      </c>
      <c r="C1341" t="s">
        <v>2000</v>
      </c>
      <c r="D1341" t="s">
        <v>226</v>
      </c>
      <c r="E1341" t="s">
        <v>659</v>
      </c>
      <c r="F1341">
        <v>18.07</v>
      </c>
      <c r="G1341">
        <v>13.56</v>
      </c>
    </row>
    <row r="1342" spans="1:7" hidden="1" x14ac:dyDescent="0.25">
      <c r="A1342" t="s">
        <v>660</v>
      </c>
      <c r="B1342">
        <v>1603</v>
      </c>
      <c r="C1342" t="s">
        <v>2001</v>
      </c>
      <c r="D1342" t="s">
        <v>226</v>
      </c>
      <c r="E1342" t="s">
        <v>659</v>
      </c>
      <c r="F1342">
        <v>103.41</v>
      </c>
      <c r="G1342">
        <v>77.62</v>
      </c>
    </row>
    <row r="1343" spans="1:7" hidden="1" x14ac:dyDescent="0.25">
      <c r="A1343" t="s">
        <v>660</v>
      </c>
      <c r="B1343">
        <v>1599</v>
      </c>
      <c r="C1343" t="s">
        <v>2002</v>
      </c>
      <c r="D1343" t="s">
        <v>226</v>
      </c>
      <c r="E1343" t="s">
        <v>659</v>
      </c>
      <c r="F1343">
        <v>20.96</v>
      </c>
      <c r="G1343">
        <v>15.73</v>
      </c>
    </row>
    <row r="1344" spans="1:7" hidden="1" x14ac:dyDescent="0.25">
      <c r="A1344" t="s">
        <v>660</v>
      </c>
      <c r="B1344">
        <v>1597</v>
      </c>
      <c r="C1344" t="s">
        <v>2003</v>
      </c>
      <c r="D1344" t="s">
        <v>226</v>
      </c>
      <c r="E1344" t="s">
        <v>659</v>
      </c>
      <c r="F1344">
        <v>16.98</v>
      </c>
      <c r="G1344">
        <v>12.75</v>
      </c>
    </row>
    <row r="1345" spans="1:7" hidden="1" x14ac:dyDescent="0.25">
      <c r="A1345" t="s">
        <v>660</v>
      </c>
      <c r="B1345">
        <v>39602</v>
      </c>
      <c r="C1345" t="s">
        <v>2004</v>
      </c>
      <c r="D1345" t="s">
        <v>226</v>
      </c>
      <c r="E1345" t="s">
        <v>659</v>
      </c>
      <c r="F1345">
        <v>1.54</v>
      </c>
      <c r="G1345">
        <v>1.82</v>
      </c>
    </row>
    <row r="1346" spans="1:7" hidden="1" x14ac:dyDescent="0.25">
      <c r="A1346" t="s">
        <v>660</v>
      </c>
      <c r="B1346">
        <v>39603</v>
      </c>
      <c r="C1346" t="s">
        <v>2005</v>
      </c>
      <c r="D1346" t="s">
        <v>226</v>
      </c>
      <c r="E1346" t="s">
        <v>659</v>
      </c>
      <c r="F1346">
        <v>3.28</v>
      </c>
      <c r="G1346">
        <v>3.88</v>
      </c>
    </row>
    <row r="1347" spans="1:7" hidden="1" x14ac:dyDescent="0.25">
      <c r="A1347" t="s">
        <v>660</v>
      </c>
      <c r="B1347">
        <v>11821</v>
      </c>
      <c r="C1347" t="s">
        <v>2006</v>
      </c>
      <c r="D1347" t="s">
        <v>226</v>
      </c>
      <c r="E1347" t="s">
        <v>659</v>
      </c>
      <c r="F1347">
        <v>13.95</v>
      </c>
      <c r="G1347">
        <v>10.47</v>
      </c>
    </row>
    <row r="1348" spans="1:7" hidden="1" x14ac:dyDescent="0.25">
      <c r="A1348" t="s">
        <v>660</v>
      </c>
      <c r="B1348">
        <v>1562</v>
      </c>
      <c r="C1348" t="s">
        <v>2007</v>
      </c>
      <c r="D1348" t="s">
        <v>226</v>
      </c>
      <c r="E1348" t="s">
        <v>659</v>
      </c>
      <c r="F1348">
        <v>22.85</v>
      </c>
      <c r="G1348">
        <v>17.149999999999999</v>
      </c>
    </row>
    <row r="1349" spans="1:7" hidden="1" x14ac:dyDescent="0.25">
      <c r="A1349" t="s">
        <v>660</v>
      </c>
      <c r="B1349">
        <v>1563</v>
      </c>
      <c r="C1349" t="s">
        <v>2008</v>
      </c>
      <c r="D1349" t="s">
        <v>226</v>
      </c>
      <c r="E1349" t="s">
        <v>659</v>
      </c>
      <c r="F1349">
        <v>30.66</v>
      </c>
      <c r="G1349">
        <v>23.01</v>
      </c>
    </row>
    <row r="1350" spans="1:7" hidden="1" x14ac:dyDescent="0.25">
      <c r="A1350" t="s">
        <v>660</v>
      </c>
      <c r="B1350">
        <v>11856</v>
      </c>
      <c r="C1350" t="s">
        <v>2009</v>
      </c>
      <c r="D1350" t="s">
        <v>226</v>
      </c>
      <c r="E1350" t="s">
        <v>172</v>
      </c>
      <c r="F1350">
        <v>9.14</v>
      </c>
      <c r="G1350">
        <v>6.86</v>
      </c>
    </row>
    <row r="1351" spans="1:7" hidden="1" x14ac:dyDescent="0.25">
      <c r="A1351" t="s">
        <v>660</v>
      </c>
      <c r="B1351">
        <v>11857</v>
      </c>
      <c r="C1351" t="s">
        <v>2010</v>
      </c>
      <c r="D1351" t="s">
        <v>226</v>
      </c>
      <c r="E1351" t="s">
        <v>659</v>
      </c>
      <c r="F1351">
        <v>48.1</v>
      </c>
      <c r="G1351">
        <v>36.1</v>
      </c>
    </row>
    <row r="1352" spans="1:7" hidden="1" x14ac:dyDescent="0.25">
      <c r="A1352" t="s">
        <v>660</v>
      </c>
      <c r="B1352">
        <v>11858</v>
      </c>
      <c r="C1352" t="s">
        <v>2011</v>
      </c>
      <c r="D1352" t="s">
        <v>226</v>
      </c>
      <c r="E1352" t="s">
        <v>659</v>
      </c>
      <c r="F1352">
        <v>59.7</v>
      </c>
      <c r="G1352">
        <v>44.81</v>
      </c>
    </row>
    <row r="1353" spans="1:7" hidden="1" x14ac:dyDescent="0.25">
      <c r="A1353" t="s">
        <v>660</v>
      </c>
      <c r="B1353">
        <v>1539</v>
      </c>
      <c r="C1353" t="s">
        <v>2012</v>
      </c>
      <c r="D1353" t="s">
        <v>226</v>
      </c>
      <c r="E1353" t="s">
        <v>659</v>
      </c>
      <c r="F1353">
        <v>10.74</v>
      </c>
      <c r="G1353">
        <v>8.06</v>
      </c>
    </row>
    <row r="1354" spans="1:7" hidden="1" x14ac:dyDescent="0.25">
      <c r="A1354" t="s">
        <v>660</v>
      </c>
      <c r="B1354">
        <v>11859</v>
      </c>
      <c r="C1354" t="s">
        <v>2013</v>
      </c>
      <c r="D1354" t="s">
        <v>226</v>
      </c>
      <c r="E1354" t="s">
        <v>659</v>
      </c>
      <c r="F1354">
        <v>81.23</v>
      </c>
      <c r="G1354">
        <v>60.96</v>
      </c>
    </row>
    <row r="1355" spans="1:7" hidden="1" x14ac:dyDescent="0.25">
      <c r="A1355" t="s">
        <v>660</v>
      </c>
      <c r="B1355">
        <v>1550</v>
      </c>
      <c r="C1355" t="s">
        <v>2014</v>
      </c>
      <c r="D1355" t="s">
        <v>226</v>
      </c>
      <c r="E1355" t="s">
        <v>659</v>
      </c>
      <c r="F1355">
        <v>11.33</v>
      </c>
      <c r="G1355">
        <v>8.5</v>
      </c>
    </row>
    <row r="1356" spans="1:7" hidden="1" x14ac:dyDescent="0.25">
      <c r="A1356" t="s">
        <v>660</v>
      </c>
      <c r="B1356">
        <v>11854</v>
      </c>
      <c r="C1356" t="s">
        <v>2015</v>
      </c>
      <c r="D1356" t="s">
        <v>226</v>
      </c>
      <c r="E1356" t="s">
        <v>659</v>
      </c>
      <c r="F1356">
        <v>14.16</v>
      </c>
      <c r="G1356">
        <v>10.63</v>
      </c>
    </row>
    <row r="1357" spans="1:7" hidden="1" x14ac:dyDescent="0.25">
      <c r="A1357" t="s">
        <v>660</v>
      </c>
      <c r="B1357">
        <v>11862</v>
      </c>
      <c r="C1357" t="s">
        <v>2016</v>
      </c>
      <c r="D1357" t="s">
        <v>226</v>
      </c>
      <c r="E1357" t="s">
        <v>659</v>
      </c>
      <c r="F1357">
        <v>19.86</v>
      </c>
      <c r="G1357">
        <v>14.91</v>
      </c>
    </row>
    <row r="1358" spans="1:7" hidden="1" x14ac:dyDescent="0.25">
      <c r="A1358" t="s">
        <v>660</v>
      </c>
      <c r="B1358">
        <v>11863</v>
      </c>
      <c r="C1358" t="s">
        <v>2017</v>
      </c>
      <c r="D1358" t="s">
        <v>226</v>
      </c>
      <c r="E1358" t="s">
        <v>659</v>
      </c>
      <c r="F1358">
        <v>8.02</v>
      </c>
      <c r="G1358">
        <v>6.02</v>
      </c>
    </row>
    <row r="1359" spans="1:7" hidden="1" x14ac:dyDescent="0.25">
      <c r="A1359" t="s">
        <v>660</v>
      </c>
      <c r="B1359">
        <v>11855</v>
      </c>
      <c r="C1359" t="s">
        <v>2018</v>
      </c>
      <c r="D1359" t="s">
        <v>226</v>
      </c>
      <c r="E1359" t="s">
        <v>659</v>
      </c>
      <c r="F1359">
        <v>29.65</v>
      </c>
      <c r="G1359">
        <v>22.25</v>
      </c>
    </row>
    <row r="1360" spans="1:7" hidden="1" x14ac:dyDescent="0.25">
      <c r="A1360" t="s">
        <v>660</v>
      </c>
      <c r="B1360">
        <v>11864</v>
      </c>
      <c r="C1360" t="s">
        <v>2019</v>
      </c>
      <c r="D1360" t="s">
        <v>226</v>
      </c>
      <c r="E1360" t="s">
        <v>659</v>
      </c>
      <c r="F1360">
        <v>44.82</v>
      </c>
      <c r="G1360">
        <v>33.64</v>
      </c>
    </row>
    <row r="1361" spans="1:7" hidden="1" x14ac:dyDescent="0.25">
      <c r="A1361" t="s">
        <v>660</v>
      </c>
      <c r="B1361">
        <v>2527</v>
      </c>
      <c r="C1361" t="s">
        <v>2020</v>
      </c>
      <c r="D1361" t="s">
        <v>226</v>
      </c>
      <c r="E1361" t="s">
        <v>659</v>
      </c>
      <c r="F1361">
        <v>12.01</v>
      </c>
      <c r="G1361">
        <v>10.06</v>
      </c>
    </row>
    <row r="1362" spans="1:7" hidden="1" x14ac:dyDescent="0.25">
      <c r="A1362" t="s">
        <v>660</v>
      </c>
      <c r="B1362">
        <v>2526</v>
      </c>
      <c r="C1362" t="s">
        <v>2021</v>
      </c>
      <c r="D1362" t="s">
        <v>226</v>
      </c>
      <c r="E1362" t="s">
        <v>659</v>
      </c>
      <c r="F1362">
        <v>7.69</v>
      </c>
      <c r="G1362">
        <v>6.44</v>
      </c>
    </row>
    <row r="1363" spans="1:7" hidden="1" x14ac:dyDescent="0.25">
      <c r="A1363" t="s">
        <v>660</v>
      </c>
      <c r="B1363">
        <v>2483</v>
      </c>
      <c r="C1363" t="s">
        <v>2022</v>
      </c>
      <c r="D1363" t="s">
        <v>226</v>
      </c>
      <c r="E1363" t="s">
        <v>659</v>
      </c>
      <c r="F1363">
        <v>5.48</v>
      </c>
      <c r="G1363">
        <v>4.59</v>
      </c>
    </row>
    <row r="1364" spans="1:7" hidden="1" x14ac:dyDescent="0.25">
      <c r="A1364" t="s">
        <v>660</v>
      </c>
      <c r="B1364">
        <v>2487</v>
      </c>
      <c r="C1364" t="s">
        <v>2023</v>
      </c>
      <c r="D1364" t="s">
        <v>226</v>
      </c>
      <c r="E1364" t="s">
        <v>659</v>
      </c>
      <c r="F1364">
        <v>2.62</v>
      </c>
      <c r="G1364">
        <v>2.2000000000000002</v>
      </c>
    </row>
    <row r="1365" spans="1:7" hidden="1" x14ac:dyDescent="0.25">
      <c r="A1365" t="s">
        <v>660</v>
      </c>
      <c r="B1365">
        <v>2528</v>
      </c>
      <c r="C1365" t="s">
        <v>2024</v>
      </c>
      <c r="D1365" t="s">
        <v>226</v>
      </c>
      <c r="E1365" t="s">
        <v>659</v>
      </c>
      <c r="F1365">
        <v>30.22</v>
      </c>
      <c r="G1365">
        <v>25.31</v>
      </c>
    </row>
    <row r="1366" spans="1:7" hidden="1" x14ac:dyDescent="0.25">
      <c r="A1366" t="s">
        <v>660</v>
      </c>
      <c r="B1366">
        <v>2489</v>
      </c>
      <c r="C1366" t="s">
        <v>2025</v>
      </c>
      <c r="D1366" t="s">
        <v>226</v>
      </c>
      <c r="E1366" t="s">
        <v>659</v>
      </c>
      <c r="F1366">
        <v>13.31</v>
      </c>
      <c r="G1366">
        <v>11.14</v>
      </c>
    </row>
    <row r="1367" spans="1:7" hidden="1" x14ac:dyDescent="0.25">
      <c r="A1367" t="s">
        <v>660</v>
      </c>
      <c r="B1367">
        <v>2484</v>
      </c>
      <c r="C1367" t="s">
        <v>2026</v>
      </c>
      <c r="D1367" t="s">
        <v>226</v>
      </c>
      <c r="E1367" t="s">
        <v>659</v>
      </c>
      <c r="F1367">
        <v>43.89</v>
      </c>
      <c r="G1367">
        <v>36.76</v>
      </c>
    </row>
    <row r="1368" spans="1:7" hidden="1" x14ac:dyDescent="0.25">
      <c r="A1368" t="s">
        <v>660</v>
      </c>
      <c r="B1368">
        <v>2488</v>
      </c>
      <c r="C1368" t="s">
        <v>2027</v>
      </c>
      <c r="D1368" t="s">
        <v>226</v>
      </c>
      <c r="E1368" t="s">
        <v>659</v>
      </c>
      <c r="F1368">
        <v>3.07</v>
      </c>
      <c r="G1368">
        <v>2.57</v>
      </c>
    </row>
    <row r="1369" spans="1:7" hidden="1" x14ac:dyDescent="0.25">
      <c r="A1369" t="s">
        <v>660</v>
      </c>
      <c r="B1369">
        <v>2485</v>
      </c>
      <c r="C1369" t="s">
        <v>2028</v>
      </c>
      <c r="D1369" t="s">
        <v>226</v>
      </c>
      <c r="E1369" t="s">
        <v>659</v>
      </c>
      <c r="F1369">
        <v>68.790000000000006</v>
      </c>
      <c r="G1369">
        <v>57.61</v>
      </c>
    </row>
    <row r="1370" spans="1:7" hidden="1" x14ac:dyDescent="0.25">
      <c r="A1370" t="s">
        <v>660</v>
      </c>
      <c r="B1370">
        <v>44247</v>
      </c>
      <c r="C1370" t="s">
        <v>2029</v>
      </c>
      <c r="D1370" t="s">
        <v>226</v>
      </c>
      <c r="E1370" t="s">
        <v>659</v>
      </c>
      <c r="F1370" s="538">
        <v>1728.09</v>
      </c>
      <c r="G1370" s="538">
        <v>1649.78</v>
      </c>
    </row>
    <row r="1371" spans="1:7" hidden="1" x14ac:dyDescent="0.25">
      <c r="A1371" t="s">
        <v>660</v>
      </c>
      <c r="B1371">
        <v>38005</v>
      </c>
      <c r="C1371" t="s">
        <v>2030</v>
      </c>
      <c r="D1371" t="s">
        <v>226</v>
      </c>
      <c r="E1371" t="s">
        <v>659</v>
      </c>
      <c r="F1371">
        <v>20.55</v>
      </c>
      <c r="G1371">
        <v>19.62</v>
      </c>
    </row>
    <row r="1372" spans="1:7" hidden="1" x14ac:dyDescent="0.25">
      <c r="A1372" t="s">
        <v>660</v>
      </c>
      <c r="B1372">
        <v>38006</v>
      </c>
      <c r="C1372" t="s">
        <v>2031</v>
      </c>
      <c r="D1372" t="s">
        <v>226</v>
      </c>
      <c r="E1372" t="s">
        <v>659</v>
      </c>
      <c r="F1372">
        <v>27.3</v>
      </c>
      <c r="G1372">
        <v>26.07</v>
      </c>
    </row>
    <row r="1373" spans="1:7" hidden="1" x14ac:dyDescent="0.25">
      <c r="A1373" t="s">
        <v>660</v>
      </c>
      <c r="B1373">
        <v>38428</v>
      </c>
      <c r="C1373" t="s">
        <v>2032</v>
      </c>
      <c r="D1373" t="s">
        <v>226</v>
      </c>
      <c r="E1373" t="s">
        <v>659</v>
      </c>
      <c r="F1373">
        <v>24.45</v>
      </c>
      <c r="G1373">
        <v>23.34</v>
      </c>
    </row>
    <row r="1374" spans="1:7" hidden="1" x14ac:dyDescent="0.25">
      <c r="A1374" t="s">
        <v>660</v>
      </c>
      <c r="B1374">
        <v>38007</v>
      </c>
      <c r="C1374" t="s">
        <v>2033</v>
      </c>
      <c r="D1374" t="s">
        <v>226</v>
      </c>
      <c r="E1374" t="s">
        <v>659</v>
      </c>
      <c r="F1374">
        <v>31.5</v>
      </c>
      <c r="G1374">
        <v>30.08</v>
      </c>
    </row>
    <row r="1375" spans="1:7" hidden="1" x14ac:dyDescent="0.25">
      <c r="A1375" t="s">
        <v>660</v>
      </c>
      <c r="B1375">
        <v>38008</v>
      </c>
      <c r="C1375" t="s">
        <v>2034</v>
      </c>
      <c r="D1375" t="s">
        <v>226</v>
      </c>
      <c r="E1375" t="s">
        <v>659</v>
      </c>
      <c r="F1375">
        <v>50.41</v>
      </c>
      <c r="G1375">
        <v>48.13</v>
      </c>
    </row>
    <row r="1376" spans="1:7" hidden="1" x14ac:dyDescent="0.25">
      <c r="A1376" t="s">
        <v>660</v>
      </c>
      <c r="B1376">
        <v>38009</v>
      </c>
      <c r="C1376" t="s">
        <v>2035</v>
      </c>
      <c r="D1376" t="s">
        <v>226</v>
      </c>
      <c r="E1376" t="s">
        <v>659</v>
      </c>
      <c r="F1376">
        <v>61.71</v>
      </c>
      <c r="G1376">
        <v>58.92</v>
      </c>
    </row>
    <row r="1377" spans="1:7" hidden="1" x14ac:dyDescent="0.25">
      <c r="A1377" t="s">
        <v>660</v>
      </c>
      <c r="B1377">
        <v>44248</v>
      </c>
      <c r="C1377" t="s">
        <v>2036</v>
      </c>
      <c r="D1377" t="s">
        <v>226</v>
      </c>
      <c r="E1377" t="s">
        <v>659</v>
      </c>
      <c r="F1377">
        <v>100.59</v>
      </c>
      <c r="G1377">
        <v>96.04</v>
      </c>
    </row>
    <row r="1378" spans="1:7" hidden="1" x14ac:dyDescent="0.25">
      <c r="A1378" t="s">
        <v>660</v>
      </c>
      <c r="B1378">
        <v>44249</v>
      </c>
      <c r="C1378" t="s">
        <v>2037</v>
      </c>
      <c r="D1378" t="s">
        <v>226</v>
      </c>
      <c r="E1378" t="s">
        <v>659</v>
      </c>
      <c r="F1378">
        <v>388.11</v>
      </c>
      <c r="G1378">
        <v>370.52</v>
      </c>
    </row>
    <row r="1379" spans="1:7" hidden="1" x14ac:dyDescent="0.25">
      <c r="A1379" t="s">
        <v>660</v>
      </c>
      <c r="B1379">
        <v>44250</v>
      </c>
      <c r="C1379" t="s">
        <v>2038</v>
      </c>
      <c r="D1379" t="s">
        <v>226</v>
      </c>
      <c r="E1379" t="s">
        <v>659</v>
      </c>
      <c r="F1379">
        <v>563.62</v>
      </c>
      <c r="G1379">
        <v>538.08000000000004</v>
      </c>
    </row>
    <row r="1380" spans="1:7" hidden="1" x14ac:dyDescent="0.25">
      <c r="A1380" t="s">
        <v>660</v>
      </c>
      <c r="B1380">
        <v>39279</v>
      </c>
      <c r="C1380" t="s">
        <v>2039</v>
      </c>
      <c r="D1380" t="s">
        <v>226</v>
      </c>
      <c r="E1380" t="s">
        <v>659</v>
      </c>
      <c r="F1380">
        <f t="shared" ref="F1380:F1390" si="7">G1380</f>
        <v>9.76</v>
      </c>
      <c r="G1380">
        <v>9.76</v>
      </c>
    </row>
    <row r="1381" spans="1:7" hidden="1" x14ac:dyDescent="0.25">
      <c r="A1381" t="s">
        <v>660</v>
      </c>
      <c r="B1381">
        <v>39280</v>
      </c>
      <c r="C1381" t="s">
        <v>2040</v>
      </c>
      <c r="D1381" t="s">
        <v>226</v>
      </c>
      <c r="E1381" t="s">
        <v>659</v>
      </c>
      <c r="F1381">
        <f t="shared" si="7"/>
        <v>10.94</v>
      </c>
      <c r="G1381">
        <v>10.94</v>
      </c>
    </row>
    <row r="1382" spans="1:7" hidden="1" x14ac:dyDescent="0.25">
      <c r="A1382" t="s">
        <v>660</v>
      </c>
      <c r="B1382">
        <v>39281</v>
      </c>
      <c r="C1382" t="s">
        <v>2041</v>
      </c>
      <c r="D1382" t="s">
        <v>226</v>
      </c>
      <c r="E1382" t="s">
        <v>659</v>
      </c>
      <c r="F1382">
        <f t="shared" si="7"/>
        <v>14.45</v>
      </c>
      <c r="G1382">
        <v>14.45</v>
      </c>
    </row>
    <row r="1383" spans="1:7" hidden="1" x14ac:dyDescent="0.25">
      <c r="A1383" t="s">
        <v>660</v>
      </c>
      <c r="B1383">
        <v>39282</v>
      </c>
      <c r="C1383" t="s">
        <v>2042</v>
      </c>
      <c r="D1383" t="s">
        <v>226</v>
      </c>
      <c r="E1383" t="s">
        <v>659</v>
      </c>
      <c r="F1383">
        <f t="shared" si="7"/>
        <v>20.18</v>
      </c>
      <c r="G1383">
        <v>20.18</v>
      </c>
    </row>
    <row r="1384" spans="1:7" hidden="1" x14ac:dyDescent="0.25">
      <c r="A1384" t="s">
        <v>660</v>
      </c>
      <c r="B1384">
        <v>38844</v>
      </c>
      <c r="C1384" t="s">
        <v>2043</v>
      </c>
      <c r="D1384" t="s">
        <v>226</v>
      </c>
      <c r="E1384" t="s">
        <v>172</v>
      </c>
      <c r="F1384">
        <f t="shared" si="7"/>
        <v>9.9</v>
      </c>
      <c r="G1384">
        <v>9.9</v>
      </c>
    </row>
    <row r="1385" spans="1:7" hidden="1" x14ac:dyDescent="0.25">
      <c r="A1385" t="s">
        <v>660</v>
      </c>
      <c r="B1385">
        <v>38846</v>
      </c>
      <c r="C1385" t="s">
        <v>2044</v>
      </c>
      <c r="D1385" t="s">
        <v>226</v>
      </c>
      <c r="E1385" t="s">
        <v>659</v>
      </c>
      <c r="F1385">
        <f t="shared" si="7"/>
        <v>10.07</v>
      </c>
      <c r="G1385">
        <v>10.07</v>
      </c>
    </row>
    <row r="1386" spans="1:7" hidden="1" x14ac:dyDescent="0.25">
      <c r="A1386" t="s">
        <v>660</v>
      </c>
      <c r="B1386">
        <v>38847</v>
      </c>
      <c r="C1386" t="s">
        <v>2045</v>
      </c>
      <c r="D1386" t="s">
        <v>226</v>
      </c>
      <c r="E1386" t="s">
        <v>659</v>
      </c>
      <c r="F1386">
        <f t="shared" si="7"/>
        <v>11.8</v>
      </c>
      <c r="G1386">
        <v>11.8</v>
      </c>
    </row>
    <row r="1387" spans="1:7" hidden="1" x14ac:dyDescent="0.25">
      <c r="A1387" t="s">
        <v>660</v>
      </c>
      <c r="B1387">
        <v>38850</v>
      </c>
      <c r="C1387" t="s">
        <v>2046</v>
      </c>
      <c r="D1387" t="s">
        <v>226</v>
      </c>
      <c r="E1387" t="s">
        <v>659</v>
      </c>
      <c r="F1387">
        <f t="shared" si="7"/>
        <v>21.31</v>
      </c>
      <c r="G1387">
        <v>21.31</v>
      </c>
    </row>
    <row r="1388" spans="1:7" hidden="1" x14ac:dyDescent="0.25">
      <c r="A1388" t="s">
        <v>660</v>
      </c>
      <c r="B1388">
        <v>38848</v>
      </c>
      <c r="C1388" t="s">
        <v>2047</v>
      </c>
      <c r="D1388" t="s">
        <v>226</v>
      </c>
      <c r="E1388" t="s">
        <v>659</v>
      </c>
      <c r="F1388">
        <f t="shared" si="7"/>
        <v>13.97</v>
      </c>
      <c r="G1388">
        <v>13.97</v>
      </c>
    </row>
    <row r="1389" spans="1:7" hidden="1" x14ac:dyDescent="0.25">
      <c r="A1389" t="s">
        <v>660</v>
      </c>
      <c r="B1389">
        <v>38851</v>
      </c>
      <c r="C1389" t="s">
        <v>2048</v>
      </c>
      <c r="D1389" t="s">
        <v>226</v>
      </c>
      <c r="E1389" t="s">
        <v>659</v>
      </c>
      <c r="F1389">
        <f t="shared" si="7"/>
        <v>24.09</v>
      </c>
      <c r="G1389">
        <v>24.09</v>
      </c>
    </row>
    <row r="1390" spans="1:7" hidden="1" x14ac:dyDescent="0.25">
      <c r="A1390" t="s">
        <v>660</v>
      </c>
      <c r="B1390">
        <v>38854</v>
      </c>
      <c r="C1390" t="s">
        <v>2049</v>
      </c>
      <c r="D1390" t="s">
        <v>226</v>
      </c>
      <c r="E1390" t="s">
        <v>659</v>
      </c>
      <c r="F1390">
        <f t="shared" si="7"/>
        <v>10.46</v>
      </c>
      <c r="G1390">
        <v>10.46</v>
      </c>
    </row>
    <row r="1391" spans="1:7" hidden="1" x14ac:dyDescent="0.25">
      <c r="A1391" t="s">
        <v>660</v>
      </c>
      <c r="B1391">
        <v>3104</v>
      </c>
      <c r="C1391" t="s">
        <v>2050</v>
      </c>
      <c r="D1391" t="s">
        <v>2051</v>
      </c>
      <c r="E1391" t="s">
        <v>659</v>
      </c>
      <c r="F1391">
        <v>161.34</v>
      </c>
      <c r="G1391">
        <v>185.54</v>
      </c>
    </row>
    <row r="1392" spans="1:7" hidden="1" x14ac:dyDescent="0.25">
      <c r="A1392" t="s">
        <v>660</v>
      </c>
      <c r="B1392">
        <v>1607</v>
      </c>
      <c r="C1392" t="s">
        <v>2052</v>
      </c>
      <c r="D1392" t="s">
        <v>2051</v>
      </c>
      <c r="E1392" t="s">
        <v>659</v>
      </c>
      <c r="F1392">
        <v>0.25</v>
      </c>
      <c r="G1392">
        <v>0.28000000000000003</v>
      </c>
    </row>
    <row r="1393" spans="1:7" hidden="1" x14ac:dyDescent="0.25">
      <c r="A1393" t="s">
        <v>660</v>
      </c>
      <c r="B1393">
        <v>38169</v>
      </c>
      <c r="C1393" t="s">
        <v>2053</v>
      </c>
      <c r="D1393" t="s">
        <v>2051</v>
      </c>
      <c r="E1393" t="s">
        <v>659</v>
      </c>
      <c r="F1393">
        <v>88.53</v>
      </c>
      <c r="G1393">
        <v>79.040000000000006</v>
      </c>
    </row>
    <row r="1394" spans="1:7" hidden="1" x14ac:dyDescent="0.25">
      <c r="A1394" t="s">
        <v>660</v>
      </c>
      <c r="B1394">
        <v>6142</v>
      </c>
      <c r="C1394" t="s">
        <v>2054</v>
      </c>
      <c r="D1394" t="s">
        <v>226</v>
      </c>
      <c r="E1394" t="s">
        <v>659</v>
      </c>
      <c r="F1394">
        <v>9.5500000000000007</v>
      </c>
      <c r="G1394">
        <v>9.3699999999999992</v>
      </c>
    </row>
    <row r="1395" spans="1:7" hidden="1" x14ac:dyDescent="0.25">
      <c r="A1395" t="s">
        <v>660</v>
      </c>
      <c r="B1395">
        <v>11686</v>
      </c>
      <c r="C1395" t="s">
        <v>2055</v>
      </c>
      <c r="D1395" t="s">
        <v>226</v>
      </c>
      <c r="E1395" t="s">
        <v>659</v>
      </c>
      <c r="F1395">
        <v>13.26</v>
      </c>
      <c r="G1395">
        <v>13</v>
      </c>
    </row>
    <row r="1396" spans="1:7" hidden="1" x14ac:dyDescent="0.25">
      <c r="A1396" t="s">
        <v>660</v>
      </c>
      <c r="B1396">
        <v>37598</v>
      </c>
      <c r="C1396" t="s">
        <v>2056</v>
      </c>
      <c r="D1396" t="s">
        <v>226</v>
      </c>
      <c r="E1396" t="s">
        <v>659</v>
      </c>
      <c r="F1396">
        <f>G1396</f>
        <v>38.11</v>
      </c>
      <c r="G1396">
        <v>38.11</v>
      </c>
    </row>
    <row r="1397" spans="1:7" hidden="1" x14ac:dyDescent="0.25">
      <c r="A1397" t="s">
        <v>660</v>
      </c>
      <c r="B1397">
        <v>25398</v>
      </c>
      <c r="C1397" t="s">
        <v>2057</v>
      </c>
      <c r="D1397" t="s">
        <v>226</v>
      </c>
      <c r="E1397" t="s">
        <v>659</v>
      </c>
      <c r="F1397">
        <f>G1397</f>
        <v>3649.1</v>
      </c>
      <c r="G1397" s="538">
        <v>3649.1</v>
      </c>
    </row>
    <row r="1398" spans="1:7" hidden="1" x14ac:dyDescent="0.25">
      <c r="A1398" t="s">
        <v>660</v>
      </c>
      <c r="B1398">
        <v>25399</v>
      </c>
      <c r="C1398" t="s">
        <v>2058</v>
      </c>
      <c r="D1398" t="s">
        <v>226</v>
      </c>
      <c r="E1398" t="s">
        <v>659</v>
      </c>
      <c r="F1398">
        <f>G1398</f>
        <v>2215.3200000000002</v>
      </c>
      <c r="G1398" s="538">
        <v>2215.3200000000002</v>
      </c>
    </row>
    <row r="1399" spans="1:7" hidden="1" x14ac:dyDescent="0.25">
      <c r="A1399" t="s">
        <v>660</v>
      </c>
      <c r="B1399">
        <v>43440</v>
      </c>
      <c r="C1399" t="s">
        <v>2059</v>
      </c>
      <c r="D1399" t="s">
        <v>226</v>
      </c>
      <c r="E1399" t="s">
        <v>659</v>
      </c>
      <c r="F1399">
        <v>476.91</v>
      </c>
      <c r="G1399">
        <v>616.94000000000005</v>
      </c>
    </row>
    <row r="1400" spans="1:7" hidden="1" x14ac:dyDescent="0.25">
      <c r="A1400" t="s">
        <v>842</v>
      </c>
      <c r="B1400">
        <v>10667</v>
      </c>
      <c r="C1400" t="s">
        <v>2060</v>
      </c>
      <c r="D1400" t="s">
        <v>226</v>
      </c>
      <c r="E1400" t="s">
        <v>172</v>
      </c>
      <c r="F1400" s="538">
        <v>27000</v>
      </c>
      <c r="G1400" s="538">
        <v>19404</v>
      </c>
    </row>
    <row r="1401" spans="1:7" hidden="1" x14ac:dyDescent="0.25">
      <c r="A1401" t="s">
        <v>660</v>
      </c>
      <c r="B1401">
        <v>1613</v>
      </c>
      <c r="C1401" t="s">
        <v>2061</v>
      </c>
      <c r="D1401" t="s">
        <v>226</v>
      </c>
      <c r="E1401" t="s">
        <v>659</v>
      </c>
      <c r="F1401" s="538">
        <v>2218.39</v>
      </c>
      <c r="G1401" s="538">
        <v>1781.14</v>
      </c>
    </row>
    <row r="1402" spans="1:7" hidden="1" x14ac:dyDescent="0.25">
      <c r="A1402" t="s">
        <v>660</v>
      </c>
      <c r="B1402">
        <v>1626</v>
      </c>
      <c r="C1402" t="s">
        <v>2062</v>
      </c>
      <c r="D1402" t="s">
        <v>226</v>
      </c>
      <c r="E1402" t="s">
        <v>659</v>
      </c>
      <c r="F1402" s="538">
        <v>3317.87</v>
      </c>
      <c r="G1402" s="538">
        <v>2663.91</v>
      </c>
    </row>
    <row r="1403" spans="1:7" hidden="1" x14ac:dyDescent="0.25">
      <c r="A1403" t="s">
        <v>660</v>
      </c>
      <c r="B1403">
        <v>1625</v>
      </c>
      <c r="C1403" t="s">
        <v>2063</v>
      </c>
      <c r="D1403" t="s">
        <v>226</v>
      </c>
      <c r="E1403" t="s">
        <v>659</v>
      </c>
      <c r="F1403">
        <v>231.74</v>
      </c>
      <c r="G1403">
        <v>186.06</v>
      </c>
    </row>
    <row r="1404" spans="1:7" hidden="1" x14ac:dyDescent="0.25">
      <c r="A1404" t="s">
        <v>660</v>
      </c>
      <c r="B1404">
        <v>1622</v>
      </c>
      <c r="C1404" t="s">
        <v>2064</v>
      </c>
      <c r="D1404" t="s">
        <v>226</v>
      </c>
      <c r="E1404" t="s">
        <v>659</v>
      </c>
      <c r="F1404" s="538">
        <v>7487.07</v>
      </c>
      <c r="G1404" s="538">
        <v>6011.36</v>
      </c>
    </row>
    <row r="1405" spans="1:7" hidden="1" x14ac:dyDescent="0.25">
      <c r="A1405" t="s">
        <v>660</v>
      </c>
      <c r="B1405">
        <v>1620</v>
      </c>
      <c r="C1405" t="s">
        <v>2065</v>
      </c>
      <c r="D1405" t="s">
        <v>226</v>
      </c>
      <c r="E1405" t="s">
        <v>659</v>
      </c>
      <c r="F1405">
        <v>488.17</v>
      </c>
      <c r="G1405">
        <v>391.95</v>
      </c>
    </row>
    <row r="1406" spans="1:7" hidden="1" x14ac:dyDescent="0.25">
      <c r="A1406" t="s">
        <v>660</v>
      </c>
      <c r="B1406">
        <v>1629</v>
      </c>
      <c r="C1406" t="s">
        <v>2066</v>
      </c>
      <c r="D1406" t="s">
        <v>226</v>
      </c>
      <c r="E1406" t="s">
        <v>659</v>
      </c>
      <c r="F1406" s="538">
        <v>18221.759999999998</v>
      </c>
      <c r="G1406" s="538">
        <v>14630.23</v>
      </c>
    </row>
    <row r="1407" spans="1:7" hidden="1" x14ac:dyDescent="0.25">
      <c r="A1407" t="s">
        <v>660</v>
      </c>
      <c r="B1407">
        <v>1627</v>
      </c>
      <c r="C1407" t="s">
        <v>2067</v>
      </c>
      <c r="D1407" t="s">
        <v>226</v>
      </c>
      <c r="E1407" t="s">
        <v>659</v>
      </c>
      <c r="F1407">
        <v>933.12</v>
      </c>
      <c r="G1407">
        <v>749.2</v>
      </c>
    </row>
    <row r="1408" spans="1:7" hidden="1" x14ac:dyDescent="0.25">
      <c r="A1408" t="s">
        <v>660</v>
      </c>
      <c r="B1408">
        <v>1623</v>
      </c>
      <c r="C1408" t="s">
        <v>2068</v>
      </c>
      <c r="D1408" t="s">
        <v>226</v>
      </c>
      <c r="E1408" t="s">
        <v>659</v>
      </c>
      <c r="F1408">
        <v>188.99</v>
      </c>
      <c r="G1408">
        <v>151.74</v>
      </c>
    </row>
    <row r="1409" spans="1:7" hidden="1" x14ac:dyDescent="0.25">
      <c r="A1409" t="s">
        <v>660</v>
      </c>
      <c r="B1409">
        <v>1619</v>
      </c>
      <c r="C1409" t="s">
        <v>2069</v>
      </c>
      <c r="D1409" t="s">
        <v>226</v>
      </c>
      <c r="E1409" t="s">
        <v>659</v>
      </c>
      <c r="F1409">
        <v>259.97000000000003</v>
      </c>
      <c r="G1409">
        <v>208.73</v>
      </c>
    </row>
    <row r="1410" spans="1:7" hidden="1" x14ac:dyDescent="0.25">
      <c r="A1410" t="s">
        <v>660</v>
      </c>
      <c r="B1410">
        <v>1630</v>
      </c>
      <c r="C1410" t="s">
        <v>2070</v>
      </c>
      <c r="D1410" t="s">
        <v>226</v>
      </c>
      <c r="E1410" t="s">
        <v>659</v>
      </c>
      <c r="F1410" s="538">
        <v>5724.02</v>
      </c>
      <c r="G1410" s="538">
        <v>4595.8100000000004</v>
      </c>
    </row>
    <row r="1411" spans="1:7" hidden="1" x14ac:dyDescent="0.25">
      <c r="A1411" t="s">
        <v>660</v>
      </c>
      <c r="B1411">
        <v>1616</v>
      </c>
      <c r="C1411" t="s">
        <v>2071</v>
      </c>
      <c r="D1411" t="s">
        <v>226</v>
      </c>
      <c r="E1411" t="s">
        <v>659</v>
      </c>
      <c r="F1411" s="538">
        <v>8803.65</v>
      </c>
      <c r="G1411" s="538">
        <v>7068.44</v>
      </c>
    </row>
    <row r="1412" spans="1:7" hidden="1" x14ac:dyDescent="0.25">
      <c r="A1412" t="s">
        <v>660</v>
      </c>
      <c r="B1412">
        <v>1614</v>
      </c>
      <c r="C1412" t="s">
        <v>2072</v>
      </c>
      <c r="D1412" t="s">
        <v>226</v>
      </c>
      <c r="E1412" t="s">
        <v>659</v>
      </c>
      <c r="F1412">
        <v>402.36</v>
      </c>
      <c r="G1412">
        <v>323.05</v>
      </c>
    </row>
    <row r="1413" spans="1:7" hidden="1" x14ac:dyDescent="0.25">
      <c r="A1413" t="s">
        <v>660</v>
      </c>
      <c r="B1413">
        <v>1617</v>
      </c>
      <c r="C1413" t="s">
        <v>2073</v>
      </c>
      <c r="D1413" t="s">
        <v>226</v>
      </c>
      <c r="E1413" t="s">
        <v>659</v>
      </c>
      <c r="F1413" s="538">
        <v>10509.65</v>
      </c>
      <c r="G1413" s="538">
        <v>8438.19</v>
      </c>
    </row>
    <row r="1414" spans="1:7" hidden="1" x14ac:dyDescent="0.25">
      <c r="A1414" t="s">
        <v>660</v>
      </c>
      <c r="B1414">
        <v>1621</v>
      </c>
      <c r="C1414" t="s">
        <v>2074</v>
      </c>
      <c r="D1414" t="s">
        <v>226</v>
      </c>
      <c r="E1414" t="s">
        <v>659</v>
      </c>
      <c r="F1414">
        <v>719.61</v>
      </c>
      <c r="G1414">
        <v>577.77</v>
      </c>
    </row>
    <row r="1415" spans="1:7" hidden="1" x14ac:dyDescent="0.25">
      <c r="A1415" t="s">
        <v>660</v>
      </c>
      <c r="B1415">
        <v>1624</v>
      </c>
      <c r="C1415" t="s">
        <v>2075</v>
      </c>
      <c r="D1415" t="s">
        <v>226</v>
      </c>
      <c r="E1415" t="s">
        <v>659</v>
      </c>
      <c r="F1415" s="538">
        <v>25833.23</v>
      </c>
      <c r="G1415" s="538">
        <v>20741.48</v>
      </c>
    </row>
    <row r="1416" spans="1:7" hidden="1" x14ac:dyDescent="0.25">
      <c r="A1416" t="s">
        <v>660</v>
      </c>
      <c r="B1416">
        <v>1615</v>
      </c>
      <c r="C1416" t="s">
        <v>2076</v>
      </c>
      <c r="D1416" t="s">
        <v>226</v>
      </c>
      <c r="E1416" t="s">
        <v>659</v>
      </c>
      <c r="F1416" s="538">
        <v>1351.31</v>
      </c>
      <c r="G1416" s="538">
        <v>1084.96</v>
      </c>
    </row>
    <row r="1417" spans="1:7" hidden="1" x14ac:dyDescent="0.25">
      <c r="A1417" t="s">
        <v>660</v>
      </c>
      <c r="B1417">
        <v>1612</v>
      </c>
      <c r="C1417" t="s">
        <v>2077</v>
      </c>
      <c r="D1417" t="s">
        <v>226</v>
      </c>
      <c r="E1417" t="s">
        <v>172</v>
      </c>
      <c r="F1417">
        <v>177.98</v>
      </c>
      <c r="G1417">
        <v>142.9</v>
      </c>
    </row>
    <row r="1418" spans="1:7" hidden="1" x14ac:dyDescent="0.25">
      <c r="A1418" t="s">
        <v>660</v>
      </c>
      <c r="B1418">
        <v>1618</v>
      </c>
      <c r="C1418" t="s">
        <v>2078</v>
      </c>
      <c r="D1418" t="s">
        <v>226</v>
      </c>
      <c r="E1418" t="s">
        <v>659</v>
      </c>
      <c r="F1418" s="538">
        <v>1856.9</v>
      </c>
      <c r="G1418" s="538">
        <v>1490.9</v>
      </c>
    </row>
    <row r="1419" spans="1:7" hidden="1" x14ac:dyDescent="0.25">
      <c r="A1419" t="s">
        <v>660</v>
      </c>
      <c r="B1419">
        <v>14211</v>
      </c>
      <c r="C1419" t="s">
        <v>2079</v>
      </c>
      <c r="D1419" t="s">
        <v>226</v>
      </c>
      <c r="E1419" t="s">
        <v>659</v>
      </c>
      <c r="F1419">
        <v>57.53</v>
      </c>
      <c r="G1419">
        <v>45.53</v>
      </c>
    </row>
    <row r="1420" spans="1:7" hidden="1" x14ac:dyDescent="0.25">
      <c r="A1420" t="s">
        <v>660</v>
      </c>
      <c r="B1420">
        <v>43657</v>
      </c>
      <c r="C1420" t="s">
        <v>2080</v>
      </c>
      <c r="D1420" t="s">
        <v>704</v>
      </c>
      <c r="E1420" t="s">
        <v>659</v>
      </c>
      <c r="F1420">
        <v>6.34</v>
      </c>
      <c r="G1420">
        <v>8</v>
      </c>
    </row>
    <row r="1421" spans="1:7" hidden="1" x14ac:dyDescent="0.25">
      <c r="A1421" t="s">
        <v>660</v>
      </c>
      <c r="B1421">
        <v>38200</v>
      </c>
      <c r="C1421" t="s">
        <v>2081</v>
      </c>
      <c r="D1421" t="s">
        <v>2082</v>
      </c>
      <c r="E1421" t="s">
        <v>659</v>
      </c>
      <c r="F1421">
        <v>393.71</v>
      </c>
      <c r="G1421">
        <v>440.93</v>
      </c>
    </row>
    <row r="1422" spans="1:7" hidden="1" x14ac:dyDescent="0.25">
      <c r="A1422" t="s">
        <v>660</v>
      </c>
      <c r="B1422">
        <v>39269</v>
      </c>
      <c r="C1422" t="s">
        <v>2083</v>
      </c>
      <c r="D1422" t="s">
        <v>704</v>
      </c>
      <c r="E1422" t="s">
        <v>659</v>
      </c>
      <c r="F1422">
        <v>1.43</v>
      </c>
      <c r="G1422">
        <v>1.42</v>
      </c>
    </row>
    <row r="1423" spans="1:7" hidden="1" x14ac:dyDescent="0.25">
      <c r="A1423" t="s">
        <v>660</v>
      </c>
      <c r="B1423">
        <v>11889</v>
      </c>
      <c r="C1423" t="s">
        <v>2084</v>
      </c>
      <c r="D1423" t="s">
        <v>704</v>
      </c>
      <c r="E1423" t="s">
        <v>659</v>
      </c>
      <c r="F1423">
        <v>1.97</v>
      </c>
      <c r="G1423">
        <v>1.95</v>
      </c>
    </row>
    <row r="1424" spans="1:7" hidden="1" x14ac:dyDescent="0.25">
      <c r="A1424" t="s">
        <v>660</v>
      </c>
      <c r="B1424">
        <v>39270</v>
      </c>
      <c r="C1424" t="s">
        <v>2085</v>
      </c>
      <c r="D1424" t="s">
        <v>704</v>
      </c>
      <c r="E1424" t="s">
        <v>659</v>
      </c>
      <c r="F1424">
        <v>2.56</v>
      </c>
      <c r="G1424">
        <v>2.5299999999999998</v>
      </c>
    </row>
    <row r="1425" spans="1:7" hidden="1" x14ac:dyDescent="0.25">
      <c r="A1425" t="s">
        <v>660</v>
      </c>
      <c r="B1425">
        <v>11890</v>
      </c>
      <c r="C1425" t="s">
        <v>2086</v>
      </c>
      <c r="D1425" t="s">
        <v>704</v>
      </c>
      <c r="E1425" t="s">
        <v>659</v>
      </c>
      <c r="F1425">
        <v>3.48</v>
      </c>
      <c r="G1425">
        <v>3.44</v>
      </c>
    </row>
    <row r="1426" spans="1:7" hidden="1" x14ac:dyDescent="0.25">
      <c r="A1426" t="s">
        <v>660</v>
      </c>
      <c r="B1426">
        <v>11891</v>
      </c>
      <c r="C1426" t="s">
        <v>2087</v>
      </c>
      <c r="D1426" t="s">
        <v>704</v>
      </c>
      <c r="E1426" t="s">
        <v>659</v>
      </c>
      <c r="F1426">
        <v>5.64</v>
      </c>
      <c r="G1426">
        <v>5.59</v>
      </c>
    </row>
    <row r="1427" spans="1:7" hidden="1" x14ac:dyDescent="0.25">
      <c r="A1427" t="s">
        <v>660</v>
      </c>
      <c r="B1427">
        <v>11892</v>
      </c>
      <c r="C1427" t="s">
        <v>2088</v>
      </c>
      <c r="D1427" t="s">
        <v>704</v>
      </c>
      <c r="E1427" t="s">
        <v>659</v>
      </c>
      <c r="F1427">
        <v>9.23</v>
      </c>
      <c r="G1427">
        <v>9.1300000000000008</v>
      </c>
    </row>
    <row r="1428" spans="1:7" hidden="1" x14ac:dyDescent="0.25">
      <c r="A1428" t="s">
        <v>660</v>
      </c>
      <c r="B1428">
        <v>37601</v>
      </c>
      <c r="C1428" t="s">
        <v>2089</v>
      </c>
      <c r="D1428" t="s">
        <v>704</v>
      </c>
      <c r="E1428" t="s">
        <v>659</v>
      </c>
      <c r="F1428">
        <f>G1428</f>
        <v>8.4700000000000006</v>
      </c>
      <c r="G1428">
        <v>8.4700000000000006</v>
      </c>
    </row>
    <row r="1429" spans="1:7" hidden="1" x14ac:dyDescent="0.25">
      <c r="A1429" t="s">
        <v>660</v>
      </c>
      <c r="B1429">
        <v>1634</v>
      </c>
      <c r="C1429" t="s">
        <v>2090</v>
      </c>
      <c r="D1429" t="s">
        <v>704</v>
      </c>
      <c r="E1429" t="s">
        <v>659</v>
      </c>
      <c r="F1429">
        <f>G1429</f>
        <v>8.75</v>
      </c>
      <c r="G1429">
        <v>8.75</v>
      </c>
    </row>
    <row r="1430" spans="1:7" hidden="1" x14ac:dyDescent="0.25">
      <c r="A1430" t="s">
        <v>842</v>
      </c>
      <c r="B1430">
        <v>44274</v>
      </c>
      <c r="C1430" t="s">
        <v>2091</v>
      </c>
      <c r="D1430" t="s">
        <v>226</v>
      </c>
      <c r="E1430" t="s">
        <v>659</v>
      </c>
      <c r="F1430">
        <v>695.98</v>
      </c>
      <c r="G1430">
        <v>706.97</v>
      </c>
    </row>
    <row r="1431" spans="1:7" hidden="1" x14ac:dyDescent="0.25">
      <c r="A1431" t="s">
        <v>660</v>
      </c>
      <c r="B1431">
        <v>5086</v>
      </c>
      <c r="C1431" t="s">
        <v>2092</v>
      </c>
      <c r="D1431" t="s">
        <v>708</v>
      </c>
      <c r="E1431" t="s">
        <v>659</v>
      </c>
      <c r="F1431">
        <v>36.65</v>
      </c>
      <c r="G1431">
        <v>32.72</v>
      </c>
    </row>
    <row r="1432" spans="1:7" hidden="1" x14ac:dyDescent="0.25">
      <c r="A1432" t="s">
        <v>660</v>
      </c>
      <c r="B1432">
        <v>45244</v>
      </c>
      <c r="C1432" t="s">
        <v>2093</v>
      </c>
      <c r="D1432" t="s">
        <v>226</v>
      </c>
      <c r="E1432" t="s">
        <v>659</v>
      </c>
      <c r="F1432">
        <v>117.28</v>
      </c>
      <c r="G1432">
        <v>101.38</v>
      </c>
    </row>
    <row r="1433" spans="1:7" hidden="1" x14ac:dyDescent="0.25">
      <c r="A1433" t="s">
        <v>842</v>
      </c>
      <c r="B1433">
        <v>11280</v>
      </c>
      <c r="C1433" t="s">
        <v>2094</v>
      </c>
      <c r="D1433" t="s">
        <v>226</v>
      </c>
      <c r="E1433" t="s">
        <v>659</v>
      </c>
      <c r="F1433" s="538">
        <v>6917.1</v>
      </c>
      <c r="G1433" s="538">
        <v>5786.41</v>
      </c>
    </row>
    <row r="1434" spans="1:7" hidden="1" x14ac:dyDescent="0.25">
      <c r="A1434" t="s">
        <v>842</v>
      </c>
      <c r="B1434">
        <v>40519</v>
      </c>
      <c r="C1434" t="s">
        <v>2095</v>
      </c>
      <c r="D1434" t="s">
        <v>226</v>
      </c>
      <c r="E1434" t="s">
        <v>659</v>
      </c>
      <c r="F1434" s="538">
        <v>157620.29</v>
      </c>
      <c r="G1434" s="538">
        <v>131855.29</v>
      </c>
    </row>
    <row r="1435" spans="1:7" hidden="1" x14ac:dyDescent="0.25">
      <c r="A1435" t="s">
        <v>660</v>
      </c>
      <c r="B1435">
        <v>3446</v>
      </c>
      <c r="C1435" t="s">
        <v>2096</v>
      </c>
      <c r="D1435" t="s">
        <v>226</v>
      </c>
      <c r="E1435" t="s">
        <v>659</v>
      </c>
      <c r="F1435">
        <v>35.86</v>
      </c>
      <c r="G1435">
        <v>37.4</v>
      </c>
    </row>
    <row r="1436" spans="1:7" hidden="1" x14ac:dyDescent="0.25">
      <c r="A1436" t="s">
        <v>660</v>
      </c>
      <c r="B1436">
        <v>3445</v>
      </c>
      <c r="C1436" t="s">
        <v>2097</v>
      </c>
      <c r="D1436" t="s">
        <v>226</v>
      </c>
      <c r="E1436" t="s">
        <v>659</v>
      </c>
      <c r="F1436">
        <v>29.28</v>
      </c>
      <c r="G1436">
        <v>30.54</v>
      </c>
    </row>
    <row r="1437" spans="1:7" hidden="1" x14ac:dyDescent="0.25">
      <c r="A1437" t="s">
        <v>660</v>
      </c>
      <c r="B1437">
        <v>3444</v>
      </c>
      <c r="C1437" t="s">
        <v>2098</v>
      </c>
      <c r="D1437" t="s">
        <v>226</v>
      </c>
      <c r="E1437" t="s">
        <v>659</v>
      </c>
      <c r="F1437">
        <v>18.02</v>
      </c>
      <c r="G1437">
        <v>18.79</v>
      </c>
    </row>
    <row r="1438" spans="1:7" hidden="1" x14ac:dyDescent="0.25">
      <c r="A1438" t="s">
        <v>660</v>
      </c>
      <c r="B1438">
        <v>3441</v>
      </c>
      <c r="C1438" t="s">
        <v>2099</v>
      </c>
      <c r="D1438" t="s">
        <v>226</v>
      </c>
      <c r="E1438" t="s">
        <v>659</v>
      </c>
      <c r="F1438">
        <v>8.26</v>
      </c>
      <c r="G1438">
        <v>8.6199999999999992</v>
      </c>
    </row>
    <row r="1439" spans="1:7" hidden="1" x14ac:dyDescent="0.25">
      <c r="A1439" t="s">
        <v>660</v>
      </c>
      <c r="B1439">
        <v>12402</v>
      </c>
      <c r="C1439" t="s">
        <v>2100</v>
      </c>
      <c r="D1439" t="s">
        <v>226</v>
      </c>
      <c r="E1439" t="s">
        <v>659</v>
      </c>
      <c r="F1439">
        <v>100.8</v>
      </c>
      <c r="G1439">
        <v>105.14</v>
      </c>
    </row>
    <row r="1440" spans="1:7" hidden="1" x14ac:dyDescent="0.25">
      <c r="A1440" t="s">
        <v>660</v>
      </c>
      <c r="B1440">
        <v>3447</v>
      </c>
      <c r="C1440" t="s">
        <v>2101</v>
      </c>
      <c r="D1440" t="s">
        <v>226</v>
      </c>
      <c r="E1440" t="s">
        <v>659</v>
      </c>
      <c r="F1440">
        <v>52.15</v>
      </c>
      <c r="G1440">
        <v>54.39</v>
      </c>
    </row>
    <row r="1441" spans="1:7" hidden="1" x14ac:dyDescent="0.25">
      <c r="A1441" t="s">
        <v>660</v>
      </c>
      <c r="B1441">
        <v>3448</v>
      </c>
      <c r="C1441" t="s">
        <v>2102</v>
      </c>
      <c r="D1441" t="s">
        <v>226</v>
      </c>
      <c r="E1441" t="s">
        <v>659</v>
      </c>
      <c r="F1441">
        <v>147.38</v>
      </c>
      <c r="G1441">
        <v>153.71</v>
      </c>
    </row>
    <row r="1442" spans="1:7" hidden="1" x14ac:dyDescent="0.25">
      <c r="A1442" t="s">
        <v>660</v>
      </c>
      <c r="B1442">
        <v>3442</v>
      </c>
      <c r="C1442" t="s">
        <v>2103</v>
      </c>
      <c r="D1442" t="s">
        <v>226</v>
      </c>
      <c r="E1442" t="s">
        <v>659</v>
      </c>
      <c r="F1442">
        <v>12.36</v>
      </c>
      <c r="G1442">
        <v>12.89</v>
      </c>
    </row>
    <row r="1443" spans="1:7" hidden="1" x14ac:dyDescent="0.25">
      <c r="A1443" t="s">
        <v>660</v>
      </c>
      <c r="B1443">
        <v>3449</v>
      </c>
      <c r="C1443" t="s">
        <v>2104</v>
      </c>
      <c r="D1443" t="s">
        <v>226</v>
      </c>
      <c r="E1443" t="s">
        <v>659</v>
      </c>
      <c r="F1443">
        <v>258.24</v>
      </c>
      <c r="G1443">
        <v>269.33999999999997</v>
      </c>
    </row>
    <row r="1444" spans="1:7" hidden="1" x14ac:dyDescent="0.25">
      <c r="A1444" t="s">
        <v>660</v>
      </c>
      <c r="B1444">
        <v>37438</v>
      </c>
      <c r="C1444" t="s">
        <v>2105</v>
      </c>
      <c r="D1444" t="s">
        <v>226</v>
      </c>
      <c r="E1444" t="s">
        <v>659</v>
      </c>
      <c r="F1444">
        <f>G1444</f>
        <v>246.08</v>
      </c>
      <c r="G1444">
        <v>246.08</v>
      </c>
    </row>
    <row r="1445" spans="1:7" hidden="1" x14ac:dyDescent="0.25">
      <c r="A1445" t="s">
        <v>660</v>
      </c>
      <c r="B1445">
        <v>37439</v>
      </c>
      <c r="C1445" t="s">
        <v>2106</v>
      </c>
      <c r="D1445" t="s">
        <v>226</v>
      </c>
      <c r="E1445" t="s">
        <v>659</v>
      </c>
      <c r="F1445">
        <f>G1445</f>
        <v>1608.84</v>
      </c>
      <c r="G1445" s="538">
        <v>1608.84</v>
      </c>
    </row>
    <row r="1446" spans="1:7" hidden="1" x14ac:dyDescent="0.25">
      <c r="A1446" t="s">
        <v>660</v>
      </c>
      <c r="B1446">
        <v>37435</v>
      </c>
      <c r="C1446" t="s">
        <v>2107</v>
      </c>
      <c r="D1446" t="s">
        <v>226</v>
      </c>
      <c r="E1446" t="s">
        <v>659</v>
      </c>
      <c r="F1446">
        <f>G1446</f>
        <v>28.92</v>
      </c>
      <c r="G1446">
        <v>28.92</v>
      </c>
    </row>
    <row r="1447" spans="1:7" hidden="1" x14ac:dyDescent="0.25">
      <c r="A1447" t="s">
        <v>660</v>
      </c>
      <c r="B1447">
        <v>37436</v>
      </c>
      <c r="C1447" t="s">
        <v>2108</v>
      </c>
      <c r="D1447" t="s">
        <v>226</v>
      </c>
      <c r="E1447" t="s">
        <v>659</v>
      </c>
      <c r="F1447">
        <f>G1447</f>
        <v>34.130000000000003</v>
      </c>
      <c r="G1447">
        <v>34.130000000000003</v>
      </c>
    </row>
    <row r="1448" spans="1:7" hidden="1" x14ac:dyDescent="0.25">
      <c r="A1448" t="s">
        <v>660</v>
      </c>
      <c r="B1448">
        <v>37437</v>
      </c>
      <c r="C1448" t="s">
        <v>2109</v>
      </c>
      <c r="D1448" t="s">
        <v>226</v>
      </c>
      <c r="E1448" t="s">
        <v>659</v>
      </c>
      <c r="F1448">
        <f>G1448</f>
        <v>49.36</v>
      </c>
      <c r="G1448">
        <v>49.36</v>
      </c>
    </row>
    <row r="1449" spans="1:7" hidden="1" x14ac:dyDescent="0.25">
      <c r="A1449" t="s">
        <v>660</v>
      </c>
      <c r="B1449">
        <v>3473</v>
      </c>
      <c r="C1449" t="s">
        <v>2110</v>
      </c>
      <c r="D1449" t="s">
        <v>226</v>
      </c>
      <c r="E1449" t="s">
        <v>659</v>
      </c>
      <c r="F1449">
        <v>40.549999999999997</v>
      </c>
      <c r="G1449">
        <v>42.29</v>
      </c>
    </row>
    <row r="1450" spans="1:7" hidden="1" x14ac:dyDescent="0.25">
      <c r="A1450" t="s">
        <v>660</v>
      </c>
      <c r="B1450">
        <v>3474</v>
      </c>
      <c r="C1450" t="s">
        <v>2111</v>
      </c>
      <c r="D1450" t="s">
        <v>226</v>
      </c>
      <c r="E1450" t="s">
        <v>659</v>
      </c>
      <c r="F1450">
        <v>33.42</v>
      </c>
      <c r="G1450">
        <v>34.86</v>
      </c>
    </row>
    <row r="1451" spans="1:7" hidden="1" x14ac:dyDescent="0.25">
      <c r="A1451" t="s">
        <v>660</v>
      </c>
      <c r="B1451">
        <v>3443</v>
      </c>
      <c r="C1451" t="s">
        <v>2112</v>
      </c>
      <c r="D1451" t="s">
        <v>226</v>
      </c>
      <c r="E1451" t="s">
        <v>659</v>
      </c>
      <c r="F1451">
        <v>20.79</v>
      </c>
      <c r="G1451">
        <v>21.69</v>
      </c>
    </row>
    <row r="1452" spans="1:7" hidden="1" x14ac:dyDescent="0.25">
      <c r="A1452" t="s">
        <v>660</v>
      </c>
      <c r="B1452">
        <v>3450</v>
      </c>
      <c r="C1452" t="s">
        <v>2113</v>
      </c>
      <c r="D1452" t="s">
        <v>226</v>
      </c>
      <c r="E1452" t="s">
        <v>659</v>
      </c>
      <c r="F1452">
        <v>9.69</v>
      </c>
      <c r="G1452">
        <v>10.1</v>
      </c>
    </row>
    <row r="1453" spans="1:7" hidden="1" x14ac:dyDescent="0.25">
      <c r="A1453" t="s">
        <v>660</v>
      </c>
      <c r="B1453">
        <v>3453</v>
      </c>
      <c r="C1453" t="s">
        <v>2114</v>
      </c>
      <c r="D1453" t="s">
        <v>226</v>
      </c>
      <c r="E1453" t="s">
        <v>659</v>
      </c>
      <c r="F1453">
        <v>118.35</v>
      </c>
      <c r="G1453">
        <v>123.44</v>
      </c>
    </row>
    <row r="1454" spans="1:7" hidden="1" x14ac:dyDescent="0.25">
      <c r="A1454" t="s">
        <v>660</v>
      </c>
      <c r="B1454">
        <v>3452</v>
      </c>
      <c r="C1454" t="s">
        <v>2115</v>
      </c>
      <c r="D1454" t="s">
        <v>226</v>
      </c>
      <c r="E1454" t="s">
        <v>659</v>
      </c>
      <c r="F1454">
        <v>58.42</v>
      </c>
      <c r="G1454">
        <v>60.93</v>
      </c>
    </row>
    <row r="1455" spans="1:7" hidden="1" x14ac:dyDescent="0.25">
      <c r="A1455" t="s">
        <v>660</v>
      </c>
      <c r="B1455">
        <v>3454</v>
      </c>
      <c r="C1455" t="s">
        <v>2116</v>
      </c>
      <c r="D1455" t="s">
        <v>226</v>
      </c>
      <c r="E1455" t="s">
        <v>659</v>
      </c>
      <c r="F1455">
        <v>180.01</v>
      </c>
      <c r="G1455">
        <v>187.75</v>
      </c>
    </row>
    <row r="1456" spans="1:7" hidden="1" x14ac:dyDescent="0.25">
      <c r="A1456" t="s">
        <v>660</v>
      </c>
      <c r="B1456">
        <v>3451</v>
      </c>
      <c r="C1456" t="s">
        <v>2117</v>
      </c>
      <c r="D1456" t="s">
        <v>226</v>
      </c>
      <c r="E1456" t="s">
        <v>659</v>
      </c>
      <c r="F1456">
        <v>11.59</v>
      </c>
      <c r="G1456">
        <v>12.09</v>
      </c>
    </row>
    <row r="1457" spans="1:7" hidden="1" x14ac:dyDescent="0.25">
      <c r="A1457" t="s">
        <v>660</v>
      </c>
      <c r="B1457">
        <v>3458</v>
      </c>
      <c r="C1457" t="s">
        <v>2118</v>
      </c>
      <c r="D1457" t="s">
        <v>226</v>
      </c>
      <c r="E1457" t="s">
        <v>659</v>
      </c>
      <c r="F1457">
        <v>32.5</v>
      </c>
      <c r="G1457">
        <v>33.9</v>
      </c>
    </row>
    <row r="1458" spans="1:7" hidden="1" x14ac:dyDescent="0.25">
      <c r="A1458" t="s">
        <v>660</v>
      </c>
      <c r="B1458">
        <v>3457</v>
      </c>
      <c r="C1458" t="s">
        <v>2119</v>
      </c>
      <c r="D1458" t="s">
        <v>226</v>
      </c>
      <c r="E1458" t="s">
        <v>659</v>
      </c>
      <c r="F1458">
        <v>24.4</v>
      </c>
      <c r="G1458">
        <v>25.45</v>
      </c>
    </row>
    <row r="1459" spans="1:7" hidden="1" x14ac:dyDescent="0.25">
      <c r="A1459" t="s">
        <v>660</v>
      </c>
      <c r="B1459">
        <v>3472</v>
      </c>
      <c r="C1459" t="s">
        <v>2120</v>
      </c>
      <c r="D1459" t="s">
        <v>226</v>
      </c>
      <c r="E1459" t="s">
        <v>659</v>
      </c>
      <c r="F1459">
        <v>15.57</v>
      </c>
      <c r="G1459">
        <v>16.239999999999998</v>
      </c>
    </row>
    <row r="1460" spans="1:7" hidden="1" x14ac:dyDescent="0.25">
      <c r="A1460" t="s">
        <v>660</v>
      </c>
      <c r="B1460">
        <v>3455</v>
      </c>
      <c r="C1460" t="s">
        <v>2121</v>
      </c>
      <c r="D1460" t="s">
        <v>226</v>
      </c>
      <c r="E1460" t="s">
        <v>659</v>
      </c>
      <c r="F1460">
        <v>6.93</v>
      </c>
      <c r="G1460">
        <v>7.23</v>
      </c>
    </row>
    <row r="1461" spans="1:7" hidden="1" x14ac:dyDescent="0.25">
      <c r="A1461" t="s">
        <v>660</v>
      </c>
      <c r="B1461">
        <v>3470</v>
      </c>
      <c r="C1461" t="s">
        <v>2122</v>
      </c>
      <c r="D1461" t="s">
        <v>226</v>
      </c>
      <c r="E1461" t="s">
        <v>659</v>
      </c>
      <c r="F1461">
        <v>90.75</v>
      </c>
      <c r="G1461">
        <v>94.65</v>
      </c>
    </row>
    <row r="1462" spans="1:7" hidden="1" x14ac:dyDescent="0.25">
      <c r="A1462" t="s">
        <v>660</v>
      </c>
      <c r="B1462">
        <v>3471</v>
      </c>
      <c r="C1462" t="s">
        <v>2123</v>
      </c>
      <c r="D1462" t="s">
        <v>226</v>
      </c>
      <c r="E1462" t="s">
        <v>659</v>
      </c>
      <c r="F1462">
        <v>49.87</v>
      </c>
      <c r="G1462">
        <v>52.01</v>
      </c>
    </row>
    <row r="1463" spans="1:7" hidden="1" x14ac:dyDescent="0.25">
      <c r="A1463" t="s">
        <v>660</v>
      </c>
      <c r="B1463">
        <v>3459</v>
      </c>
      <c r="C1463" t="s">
        <v>2124</v>
      </c>
      <c r="D1463" t="s">
        <v>226</v>
      </c>
      <c r="E1463" t="s">
        <v>659</v>
      </c>
      <c r="F1463">
        <v>128.01</v>
      </c>
      <c r="G1463">
        <v>133.51</v>
      </c>
    </row>
    <row r="1464" spans="1:7" hidden="1" x14ac:dyDescent="0.25">
      <c r="A1464" t="s">
        <v>660</v>
      </c>
      <c r="B1464">
        <v>3456</v>
      </c>
      <c r="C1464" t="s">
        <v>2125</v>
      </c>
      <c r="D1464" t="s">
        <v>226</v>
      </c>
      <c r="E1464" t="s">
        <v>659</v>
      </c>
      <c r="F1464">
        <v>10.37</v>
      </c>
      <c r="G1464">
        <v>10.81</v>
      </c>
    </row>
    <row r="1465" spans="1:7" hidden="1" x14ac:dyDescent="0.25">
      <c r="A1465" t="s">
        <v>660</v>
      </c>
      <c r="B1465">
        <v>3469</v>
      </c>
      <c r="C1465" t="s">
        <v>2126</v>
      </c>
      <c r="D1465" t="s">
        <v>226</v>
      </c>
      <c r="E1465" t="s">
        <v>659</v>
      </c>
      <c r="F1465">
        <v>243.44</v>
      </c>
      <c r="G1465">
        <v>253.9</v>
      </c>
    </row>
    <row r="1466" spans="1:7" hidden="1" x14ac:dyDescent="0.25">
      <c r="A1466" t="s">
        <v>660</v>
      </c>
      <c r="B1466">
        <v>3460</v>
      </c>
      <c r="C1466" t="s">
        <v>2127</v>
      </c>
      <c r="D1466" t="s">
        <v>226</v>
      </c>
      <c r="E1466" t="s">
        <v>659</v>
      </c>
      <c r="F1466">
        <v>355.21</v>
      </c>
      <c r="G1466">
        <v>370.48</v>
      </c>
    </row>
    <row r="1467" spans="1:7" hidden="1" x14ac:dyDescent="0.25">
      <c r="A1467" t="s">
        <v>660</v>
      </c>
      <c r="B1467">
        <v>3461</v>
      </c>
      <c r="C1467" t="s">
        <v>2128</v>
      </c>
      <c r="D1467" t="s">
        <v>226</v>
      </c>
      <c r="E1467" t="s">
        <v>659</v>
      </c>
      <c r="F1467">
        <v>907.89</v>
      </c>
      <c r="G1467">
        <v>946.93</v>
      </c>
    </row>
    <row r="1468" spans="1:7" hidden="1" x14ac:dyDescent="0.25">
      <c r="A1468" t="s">
        <v>660</v>
      </c>
      <c r="B1468">
        <v>37433</v>
      </c>
      <c r="C1468" t="s">
        <v>2129</v>
      </c>
      <c r="D1468" t="s">
        <v>226</v>
      </c>
      <c r="E1468" t="s">
        <v>659</v>
      </c>
      <c r="F1468">
        <f t="shared" ref="F1468:F1484" si="8">G1468</f>
        <v>246.08</v>
      </c>
      <c r="G1468">
        <v>246.08</v>
      </c>
    </row>
    <row r="1469" spans="1:7" hidden="1" x14ac:dyDescent="0.25">
      <c r="A1469" t="s">
        <v>660</v>
      </c>
      <c r="B1469">
        <v>37430</v>
      </c>
      <c r="C1469" t="s">
        <v>2130</v>
      </c>
      <c r="D1469" t="s">
        <v>226</v>
      </c>
      <c r="E1469" t="s">
        <v>659</v>
      </c>
      <c r="F1469">
        <f t="shared" si="8"/>
        <v>30.84</v>
      </c>
      <c r="G1469">
        <v>30.84</v>
      </c>
    </row>
    <row r="1470" spans="1:7" hidden="1" x14ac:dyDescent="0.25">
      <c r="A1470" t="s">
        <v>660</v>
      </c>
      <c r="B1470">
        <v>37434</v>
      </c>
      <c r="C1470" t="s">
        <v>2131</v>
      </c>
      <c r="D1470" t="s">
        <v>226</v>
      </c>
      <c r="E1470" t="s">
        <v>659</v>
      </c>
      <c r="F1470">
        <f t="shared" si="8"/>
        <v>2294.42</v>
      </c>
      <c r="G1470" s="538">
        <v>2294.42</v>
      </c>
    </row>
    <row r="1471" spans="1:7" hidden="1" x14ac:dyDescent="0.25">
      <c r="A1471" t="s">
        <v>660</v>
      </c>
      <c r="B1471">
        <v>37431</v>
      </c>
      <c r="C1471" t="s">
        <v>2132</v>
      </c>
      <c r="D1471" t="s">
        <v>226</v>
      </c>
      <c r="E1471" t="s">
        <v>659</v>
      </c>
      <c r="F1471">
        <f t="shared" si="8"/>
        <v>41.83</v>
      </c>
      <c r="G1471">
        <v>41.83</v>
      </c>
    </row>
    <row r="1472" spans="1:7" hidden="1" x14ac:dyDescent="0.25">
      <c r="A1472" t="s">
        <v>660</v>
      </c>
      <c r="B1472">
        <v>37432</v>
      </c>
      <c r="C1472" t="s">
        <v>2133</v>
      </c>
      <c r="D1472" t="s">
        <v>226</v>
      </c>
      <c r="E1472" t="s">
        <v>659</v>
      </c>
      <c r="F1472">
        <f t="shared" si="8"/>
        <v>77.16</v>
      </c>
      <c r="G1472">
        <v>77.16</v>
      </c>
    </row>
    <row r="1473" spans="1:7" hidden="1" x14ac:dyDescent="0.25">
      <c r="A1473" t="s">
        <v>660</v>
      </c>
      <c r="B1473">
        <v>39869</v>
      </c>
      <c r="C1473" t="s">
        <v>2134</v>
      </c>
      <c r="D1473" t="s">
        <v>226</v>
      </c>
      <c r="E1473" t="s">
        <v>659</v>
      </c>
      <c r="F1473">
        <f t="shared" si="8"/>
        <v>14.64</v>
      </c>
      <c r="G1473">
        <v>14.64</v>
      </c>
    </row>
    <row r="1474" spans="1:7" hidden="1" x14ac:dyDescent="0.25">
      <c r="A1474" t="s">
        <v>660</v>
      </c>
      <c r="B1474">
        <v>39870</v>
      </c>
      <c r="C1474" t="s">
        <v>2135</v>
      </c>
      <c r="D1474" t="s">
        <v>226</v>
      </c>
      <c r="E1474" t="s">
        <v>659</v>
      </c>
      <c r="F1474">
        <f t="shared" si="8"/>
        <v>22.39</v>
      </c>
      <c r="G1474">
        <v>22.39</v>
      </c>
    </row>
    <row r="1475" spans="1:7" hidden="1" x14ac:dyDescent="0.25">
      <c r="A1475" t="s">
        <v>660</v>
      </c>
      <c r="B1475">
        <v>39871</v>
      </c>
      <c r="C1475" t="s">
        <v>2136</v>
      </c>
      <c r="D1475" t="s">
        <v>226</v>
      </c>
      <c r="E1475" t="s">
        <v>659</v>
      </c>
      <c r="F1475">
        <f t="shared" si="8"/>
        <v>25.09</v>
      </c>
      <c r="G1475">
        <v>25.09</v>
      </c>
    </row>
    <row r="1476" spans="1:7" hidden="1" x14ac:dyDescent="0.25">
      <c r="A1476" t="s">
        <v>660</v>
      </c>
      <c r="B1476">
        <v>12722</v>
      </c>
      <c r="C1476" t="s">
        <v>2137</v>
      </c>
      <c r="D1476" t="s">
        <v>226</v>
      </c>
      <c r="E1476" t="s">
        <v>659</v>
      </c>
      <c r="F1476">
        <f t="shared" si="8"/>
        <v>839.77</v>
      </c>
      <c r="G1476">
        <v>839.77</v>
      </c>
    </row>
    <row r="1477" spans="1:7" hidden="1" x14ac:dyDescent="0.25">
      <c r="A1477" t="s">
        <v>660</v>
      </c>
      <c r="B1477">
        <v>12714</v>
      </c>
      <c r="C1477" t="s">
        <v>2138</v>
      </c>
      <c r="D1477" t="s">
        <v>226</v>
      </c>
      <c r="E1477" t="s">
        <v>659</v>
      </c>
      <c r="F1477">
        <f t="shared" si="8"/>
        <v>5.48</v>
      </c>
      <c r="G1477">
        <v>5.48</v>
      </c>
    </row>
    <row r="1478" spans="1:7" hidden="1" x14ac:dyDescent="0.25">
      <c r="A1478" t="s">
        <v>660</v>
      </c>
      <c r="B1478">
        <v>12715</v>
      </c>
      <c r="C1478" t="s">
        <v>2139</v>
      </c>
      <c r="D1478" t="s">
        <v>226</v>
      </c>
      <c r="E1478" t="s">
        <v>659</v>
      </c>
      <c r="F1478">
        <f t="shared" si="8"/>
        <v>12.37</v>
      </c>
      <c r="G1478">
        <v>12.37</v>
      </c>
    </row>
    <row r="1479" spans="1:7" hidden="1" x14ac:dyDescent="0.25">
      <c r="A1479" t="s">
        <v>660</v>
      </c>
      <c r="B1479">
        <v>12716</v>
      </c>
      <c r="C1479" t="s">
        <v>2140</v>
      </c>
      <c r="D1479" t="s">
        <v>226</v>
      </c>
      <c r="E1479" t="s">
        <v>659</v>
      </c>
      <c r="F1479">
        <f t="shared" si="8"/>
        <v>21.25</v>
      </c>
      <c r="G1479">
        <v>21.25</v>
      </c>
    </row>
    <row r="1480" spans="1:7" hidden="1" x14ac:dyDescent="0.25">
      <c r="A1480" t="s">
        <v>660</v>
      </c>
      <c r="B1480">
        <v>12717</v>
      </c>
      <c r="C1480" t="s">
        <v>2141</v>
      </c>
      <c r="D1480" t="s">
        <v>226</v>
      </c>
      <c r="E1480" t="s">
        <v>659</v>
      </c>
      <c r="F1480">
        <f t="shared" si="8"/>
        <v>41.78</v>
      </c>
      <c r="G1480">
        <v>41.78</v>
      </c>
    </row>
    <row r="1481" spans="1:7" hidden="1" x14ac:dyDescent="0.25">
      <c r="A1481" t="s">
        <v>660</v>
      </c>
      <c r="B1481">
        <v>12718</v>
      </c>
      <c r="C1481" t="s">
        <v>2142</v>
      </c>
      <c r="D1481" t="s">
        <v>226</v>
      </c>
      <c r="E1481" t="s">
        <v>659</v>
      </c>
      <c r="F1481">
        <f t="shared" si="8"/>
        <v>64.12</v>
      </c>
      <c r="G1481">
        <v>64.12</v>
      </c>
    </row>
    <row r="1482" spans="1:7" hidden="1" x14ac:dyDescent="0.25">
      <c r="A1482" t="s">
        <v>660</v>
      </c>
      <c r="B1482">
        <v>12719</v>
      </c>
      <c r="C1482" t="s">
        <v>2143</v>
      </c>
      <c r="D1482" t="s">
        <v>226</v>
      </c>
      <c r="E1482" t="s">
        <v>659</v>
      </c>
      <c r="F1482">
        <f t="shared" si="8"/>
        <v>101.78</v>
      </c>
      <c r="G1482">
        <v>101.78</v>
      </c>
    </row>
    <row r="1483" spans="1:7" hidden="1" x14ac:dyDescent="0.25">
      <c r="A1483" t="s">
        <v>660</v>
      </c>
      <c r="B1483">
        <v>12720</v>
      </c>
      <c r="C1483" t="s">
        <v>2144</v>
      </c>
      <c r="D1483" t="s">
        <v>226</v>
      </c>
      <c r="E1483" t="s">
        <v>659</v>
      </c>
      <c r="F1483">
        <f t="shared" si="8"/>
        <v>354.41</v>
      </c>
      <c r="G1483">
        <v>354.41</v>
      </c>
    </row>
    <row r="1484" spans="1:7" hidden="1" x14ac:dyDescent="0.25">
      <c r="A1484" t="s">
        <v>660</v>
      </c>
      <c r="B1484">
        <v>12721</v>
      </c>
      <c r="C1484" t="s">
        <v>2145</v>
      </c>
      <c r="D1484" t="s">
        <v>226</v>
      </c>
      <c r="E1484" t="s">
        <v>659</v>
      </c>
      <c r="F1484">
        <f t="shared" si="8"/>
        <v>339.85</v>
      </c>
      <c r="G1484">
        <v>339.85</v>
      </c>
    </row>
    <row r="1485" spans="1:7" hidden="1" x14ac:dyDescent="0.25">
      <c r="A1485" t="s">
        <v>660</v>
      </c>
      <c r="B1485">
        <v>3468</v>
      </c>
      <c r="C1485" t="s">
        <v>2146</v>
      </c>
      <c r="D1485" t="s">
        <v>226</v>
      </c>
      <c r="E1485" t="s">
        <v>659</v>
      </c>
      <c r="F1485">
        <v>42.42</v>
      </c>
      <c r="G1485">
        <v>44.25</v>
      </c>
    </row>
    <row r="1486" spans="1:7" hidden="1" x14ac:dyDescent="0.25">
      <c r="A1486" t="s">
        <v>660</v>
      </c>
      <c r="B1486">
        <v>3465</v>
      </c>
      <c r="C1486" t="s">
        <v>2147</v>
      </c>
      <c r="D1486" t="s">
        <v>226</v>
      </c>
      <c r="E1486" t="s">
        <v>659</v>
      </c>
      <c r="F1486">
        <v>42.41</v>
      </c>
      <c r="G1486">
        <v>44.23</v>
      </c>
    </row>
    <row r="1487" spans="1:7" hidden="1" x14ac:dyDescent="0.25">
      <c r="A1487" t="s">
        <v>660</v>
      </c>
      <c r="B1487">
        <v>12403</v>
      </c>
      <c r="C1487" t="s">
        <v>2148</v>
      </c>
      <c r="D1487" t="s">
        <v>226</v>
      </c>
      <c r="E1487" t="s">
        <v>659</v>
      </c>
      <c r="F1487">
        <v>30.23</v>
      </c>
      <c r="G1487">
        <v>31.53</v>
      </c>
    </row>
    <row r="1488" spans="1:7" hidden="1" x14ac:dyDescent="0.25">
      <c r="A1488" t="s">
        <v>660</v>
      </c>
      <c r="B1488">
        <v>3463</v>
      </c>
      <c r="C1488" t="s">
        <v>2149</v>
      </c>
      <c r="D1488" t="s">
        <v>226</v>
      </c>
      <c r="E1488" t="s">
        <v>659</v>
      </c>
      <c r="F1488">
        <v>17.66</v>
      </c>
      <c r="G1488">
        <v>18.420000000000002</v>
      </c>
    </row>
    <row r="1489" spans="1:7" hidden="1" x14ac:dyDescent="0.25">
      <c r="A1489" t="s">
        <v>660</v>
      </c>
      <c r="B1489">
        <v>3464</v>
      </c>
      <c r="C1489" t="s">
        <v>2150</v>
      </c>
      <c r="D1489" t="s">
        <v>226</v>
      </c>
      <c r="E1489" t="s">
        <v>659</v>
      </c>
      <c r="F1489">
        <v>17.66</v>
      </c>
      <c r="G1489">
        <v>18.420000000000002</v>
      </c>
    </row>
    <row r="1490" spans="1:7" hidden="1" x14ac:dyDescent="0.25">
      <c r="A1490" t="s">
        <v>660</v>
      </c>
      <c r="B1490">
        <v>3466</v>
      </c>
      <c r="C1490" t="s">
        <v>2151</v>
      </c>
      <c r="D1490" t="s">
        <v>226</v>
      </c>
      <c r="E1490" t="s">
        <v>659</v>
      </c>
      <c r="F1490">
        <v>107.71</v>
      </c>
      <c r="G1490">
        <v>112.34</v>
      </c>
    </row>
    <row r="1491" spans="1:7" hidden="1" x14ac:dyDescent="0.25">
      <c r="A1491" t="s">
        <v>660</v>
      </c>
      <c r="B1491">
        <v>3467</v>
      </c>
      <c r="C1491" t="s">
        <v>2152</v>
      </c>
      <c r="D1491" t="s">
        <v>226</v>
      </c>
      <c r="E1491" t="s">
        <v>659</v>
      </c>
      <c r="F1491">
        <v>60.83</v>
      </c>
      <c r="G1491">
        <v>63.45</v>
      </c>
    </row>
    <row r="1492" spans="1:7" hidden="1" x14ac:dyDescent="0.25">
      <c r="A1492" t="s">
        <v>660</v>
      </c>
      <c r="B1492">
        <v>3462</v>
      </c>
      <c r="C1492" t="s">
        <v>2153</v>
      </c>
      <c r="D1492" t="s">
        <v>226</v>
      </c>
      <c r="E1492" t="s">
        <v>659</v>
      </c>
      <c r="F1492">
        <v>11.65</v>
      </c>
      <c r="G1492">
        <v>12.15</v>
      </c>
    </row>
    <row r="1493" spans="1:7" hidden="1" x14ac:dyDescent="0.25">
      <c r="A1493" t="s">
        <v>660</v>
      </c>
      <c r="B1493">
        <v>37416</v>
      </c>
      <c r="C1493" t="s">
        <v>2154</v>
      </c>
      <c r="D1493" t="s">
        <v>226</v>
      </c>
      <c r="E1493" t="s">
        <v>659</v>
      </c>
      <c r="F1493">
        <v>5.38</v>
      </c>
      <c r="G1493">
        <v>3.36</v>
      </c>
    </row>
    <row r="1494" spans="1:7" hidden="1" x14ac:dyDescent="0.25">
      <c r="A1494" t="s">
        <v>660</v>
      </c>
      <c r="B1494">
        <v>37417</v>
      </c>
      <c r="C1494" t="s">
        <v>2155</v>
      </c>
      <c r="D1494" t="s">
        <v>226</v>
      </c>
      <c r="E1494" t="s">
        <v>659</v>
      </c>
      <c r="F1494">
        <v>7.74</v>
      </c>
      <c r="G1494">
        <v>4.83</v>
      </c>
    </row>
    <row r="1495" spans="1:7" hidden="1" x14ac:dyDescent="0.25">
      <c r="A1495" t="s">
        <v>660</v>
      </c>
      <c r="B1495">
        <v>37413</v>
      </c>
      <c r="C1495" t="s">
        <v>2156</v>
      </c>
      <c r="D1495" t="s">
        <v>226</v>
      </c>
      <c r="E1495" t="s">
        <v>659</v>
      </c>
      <c r="F1495">
        <v>5.75</v>
      </c>
      <c r="G1495">
        <v>3.59</v>
      </c>
    </row>
    <row r="1496" spans="1:7" hidden="1" x14ac:dyDescent="0.25">
      <c r="A1496" t="s">
        <v>660</v>
      </c>
      <c r="B1496">
        <v>37414</v>
      </c>
      <c r="C1496" t="s">
        <v>2157</v>
      </c>
      <c r="D1496" t="s">
        <v>226</v>
      </c>
      <c r="E1496" t="s">
        <v>659</v>
      </c>
      <c r="F1496">
        <v>6.53</v>
      </c>
      <c r="G1496">
        <v>4.08</v>
      </c>
    </row>
    <row r="1497" spans="1:7" hidden="1" x14ac:dyDescent="0.25">
      <c r="A1497" t="s">
        <v>660</v>
      </c>
      <c r="B1497">
        <v>37415</v>
      </c>
      <c r="C1497" t="s">
        <v>2158</v>
      </c>
      <c r="D1497" t="s">
        <v>226</v>
      </c>
      <c r="E1497" t="s">
        <v>659</v>
      </c>
      <c r="F1497">
        <v>11.87</v>
      </c>
      <c r="G1497">
        <v>7.41</v>
      </c>
    </row>
    <row r="1498" spans="1:7" hidden="1" x14ac:dyDescent="0.25">
      <c r="A1498" t="s">
        <v>660</v>
      </c>
      <c r="B1498">
        <v>43590</v>
      </c>
      <c r="C1498" t="s">
        <v>2159</v>
      </c>
      <c r="D1498" t="s">
        <v>226</v>
      </c>
      <c r="E1498" t="s">
        <v>659</v>
      </c>
      <c r="F1498">
        <v>170.38</v>
      </c>
      <c r="G1498">
        <v>152.13</v>
      </c>
    </row>
    <row r="1499" spans="1:7" hidden="1" x14ac:dyDescent="0.25">
      <c r="A1499" t="s">
        <v>660</v>
      </c>
      <c r="B1499">
        <v>43589</v>
      </c>
      <c r="C1499" t="s">
        <v>2160</v>
      </c>
      <c r="D1499" t="s">
        <v>226</v>
      </c>
      <c r="E1499" t="s">
        <v>659</v>
      </c>
      <c r="F1499">
        <v>30.82</v>
      </c>
      <c r="G1499">
        <v>27.52</v>
      </c>
    </row>
    <row r="1500" spans="1:7" hidden="1" x14ac:dyDescent="0.25">
      <c r="A1500" t="s">
        <v>660</v>
      </c>
      <c r="B1500">
        <v>34519</v>
      </c>
      <c r="C1500" t="s">
        <v>2161</v>
      </c>
      <c r="D1500" t="s">
        <v>226</v>
      </c>
      <c r="E1500" t="s">
        <v>659</v>
      </c>
      <c r="F1500">
        <v>124.57</v>
      </c>
      <c r="G1500">
        <v>82.84</v>
      </c>
    </row>
    <row r="1501" spans="1:7" hidden="1" x14ac:dyDescent="0.25">
      <c r="A1501" t="s">
        <v>660</v>
      </c>
      <c r="B1501">
        <v>1649</v>
      </c>
      <c r="C1501" t="s">
        <v>2162</v>
      </c>
      <c r="D1501" t="s">
        <v>226</v>
      </c>
      <c r="E1501" t="s">
        <v>659</v>
      </c>
      <c r="F1501">
        <v>76.64</v>
      </c>
      <c r="G1501">
        <v>79.94</v>
      </c>
    </row>
    <row r="1502" spans="1:7" hidden="1" x14ac:dyDescent="0.25">
      <c r="A1502" t="s">
        <v>660</v>
      </c>
      <c r="B1502">
        <v>1653</v>
      </c>
      <c r="C1502" t="s">
        <v>2163</v>
      </c>
      <c r="D1502" t="s">
        <v>226</v>
      </c>
      <c r="E1502" t="s">
        <v>659</v>
      </c>
      <c r="F1502">
        <v>60.03</v>
      </c>
      <c r="G1502">
        <v>62.62</v>
      </c>
    </row>
    <row r="1503" spans="1:7" hidden="1" x14ac:dyDescent="0.25">
      <c r="A1503" t="s">
        <v>660</v>
      </c>
      <c r="B1503">
        <v>1648</v>
      </c>
      <c r="C1503" t="s">
        <v>2164</v>
      </c>
      <c r="D1503" t="s">
        <v>226</v>
      </c>
      <c r="E1503" t="s">
        <v>659</v>
      </c>
      <c r="F1503">
        <v>41.28</v>
      </c>
      <c r="G1503">
        <v>43.05</v>
      </c>
    </row>
    <row r="1504" spans="1:7" hidden="1" x14ac:dyDescent="0.25">
      <c r="A1504" t="s">
        <v>660</v>
      </c>
      <c r="B1504">
        <v>1647</v>
      </c>
      <c r="C1504" t="s">
        <v>2165</v>
      </c>
      <c r="D1504" t="s">
        <v>226</v>
      </c>
      <c r="E1504" t="s">
        <v>659</v>
      </c>
      <c r="F1504">
        <v>21.5</v>
      </c>
      <c r="G1504">
        <v>22.42</v>
      </c>
    </row>
    <row r="1505" spans="1:7" hidden="1" x14ac:dyDescent="0.25">
      <c r="A1505" t="s">
        <v>660</v>
      </c>
      <c r="B1505">
        <v>1651</v>
      </c>
      <c r="C1505" t="s">
        <v>2166</v>
      </c>
      <c r="D1505" t="s">
        <v>226</v>
      </c>
      <c r="E1505" t="s">
        <v>659</v>
      </c>
      <c r="F1505">
        <v>191.5</v>
      </c>
      <c r="G1505">
        <v>199.73</v>
      </c>
    </row>
    <row r="1506" spans="1:7" hidden="1" x14ac:dyDescent="0.25">
      <c r="A1506" t="s">
        <v>660</v>
      </c>
      <c r="B1506">
        <v>1650</v>
      </c>
      <c r="C1506" t="s">
        <v>2167</v>
      </c>
      <c r="D1506" t="s">
        <v>226</v>
      </c>
      <c r="E1506" t="s">
        <v>659</v>
      </c>
      <c r="F1506">
        <v>105.85</v>
      </c>
      <c r="G1506">
        <v>110.4</v>
      </c>
    </row>
    <row r="1507" spans="1:7" hidden="1" x14ac:dyDescent="0.25">
      <c r="A1507" t="s">
        <v>660</v>
      </c>
      <c r="B1507">
        <v>1652</v>
      </c>
      <c r="C1507" t="s">
        <v>2168</v>
      </c>
      <c r="D1507" t="s">
        <v>226</v>
      </c>
      <c r="E1507" t="s">
        <v>659</v>
      </c>
      <c r="F1507">
        <v>274.85000000000002</v>
      </c>
      <c r="G1507">
        <v>286.67</v>
      </c>
    </row>
    <row r="1508" spans="1:7" hidden="1" x14ac:dyDescent="0.25">
      <c r="A1508" t="s">
        <v>660</v>
      </c>
      <c r="B1508">
        <v>1654</v>
      </c>
      <c r="C1508" t="s">
        <v>2169</v>
      </c>
      <c r="D1508" t="s">
        <v>226</v>
      </c>
      <c r="E1508" t="s">
        <v>659</v>
      </c>
      <c r="F1508">
        <v>29.51</v>
      </c>
      <c r="G1508">
        <v>30.78</v>
      </c>
    </row>
    <row r="1509" spans="1:7" x14ac:dyDescent="0.25">
      <c r="A1509" t="s">
        <v>660</v>
      </c>
      <c r="B1509">
        <v>10510</v>
      </c>
      <c r="C1509" t="s">
        <v>2170</v>
      </c>
      <c r="D1509" t="s">
        <v>226</v>
      </c>
      <c r="E1509" t="s">
        <v>659</v>
      </c>
      <c r="F1509">
        <v>126.22</v>
      </c>
      <c r="G1509">
        <v>155.08000000000001</v>
      </c>
    </row>
    <row r="1510" spans="1:7" hidden="1" x14ac:dyDescent="0.25">
      <c r="A1510" t="s">
        <v>660</v>
      </c>
      <c r="B1510">
        <v>1744</v>
      </c>
      <c r="C1510" t="s">
        <v>2171</v>
      </c>
      <c r="D1510" t="s">
        <v>226</v>
      </c>
      <c r="E1510" t="s">
        <v>659</v>
      </c>
      <c r="F1510">
        <v>153.29</v>
      </c>
      <c r="G1510">
        <v>140.82</v>
      </c>
    </row>
    <row r="1511" spans="1:7" hidden="1" x14ac:dyDescent="0.25">
      <c r="A1511" t="s">
        <v>660</v>
      </c>
      <c r="B1511">
        <v>1743</v>
      </c>
      <c r="C1511" t="s">
        <v>2172</v>
      </c>
      <c r="D1511" t="s">
        <v>226</v>
      </c>
      <c r="E1511" t="s">
        <v>659</v>
      </c>
      <c r="F1511">
        <v>201.3</v>
      </c>
      <c r="G1511">
        <v>184.92</v>
      </c>
    </row>
    <row r="1512" spans="1:7" hidden="1" x14ac:dyDescent="0.25">
      <c r="A1512" t="s">
        <v>660</v>
      </c>
      <c r="B1512">
        <v>1747</v>
      </c>
      <c r="C1512" t="s">
        <v>2173</v>
      </c>
      <c r="D1512" t="s">
        <v>226</v>
      </c>
      <c r="E1512" t="s">
        <v>659</v>
      </c>
      <c r="F1512">
        <v>221.31</v>
      </c>
      <c r="G1512">
        <v>203.3</v>
      </c>
    </row>
    <row r="1513" spans="1:7" hidden="1" x14ac:dyDescent="0.25">
      <c r="A1513" t="s">
        <v>660</v>
      </c>
      <c r="B1513">
        <v>39640</v>
      </c>
      <c r="C1513" t="s">
        <v>2174</v>
      </c>
      <c r="D1513" t="s">
        <v>226</v>
      </c>
      <c r="E1513" t="s">
        <v>659</v>
      </c>
      <c r="F1513">
        <v>10.98</v>
      </c>
      <c r="G1513">
        <v>11.29</v>
      </c>
    </row>
    <row r="1514" spans="1:7" hidden="1" x14ac:dyDescent="0.25">
      <c r="A1514" t="s">
        <v>660</v>
      </c>
      <c r="B1514">
        <v>7216</v>
      </c>
      <c r="C1514" t="s">
        <v>2175</v>
      </c>
      <c r="D1514" t="s">
        <v>226</v>
      </c>
      <c r="E1514" t="s">
        <v>659</v>
      </c>
      <c r="F1514">
        <v>58.99</v>
      </c>
      <c r="G1514">
        <v>60.67</v>
      </c>
    </row>
    <row r="1515" spans="1:7" hidden="1" x14ac:dyDescent="0.25">
      <c r="A1515" t="s">
        <v>660</v>
      </c>
      <c r="B1515">
        <v>20235</v>
      </c>
      <c r="C1515" t="s">
        <v>2176</v>
      </c>
      <c r="D1515" t="s">
        <v>226</v>
      </c>
      <c r="E1515" t="s">
        <v>659</v>
      </c>
      <c r="F1515">
        <v>47.43</v>
      </c>
      <c r="G1515">
        <v>48.78</v>
      </c>
    </row>
    <row r="1516" spans="1:7" hidden="1" x14ac:dyDescent="0.25">
      <c r="A1516" t="s">
        <v>660</v>
      </c>
      <c r="B1516">
        <v>7181</v>
      </c>
      <c r="C1516" t="s">
        <v>2177</v>
      </c>
      <c r="D1516" t="s">
        <v>226</v>
      </c>
      <c r="E1516" t="s">
        <v>659</v>
      </c>
      <c r="F1516">
        <v>6.83</v>
      </c>
      <c r="G1516">
        <v>7.11</v>
      </c>
    </row>
    <row r="1517" spans="1:7" hidden="1" x14ac:dyDescent="0.25">
      <c r="A1517" t="s">
        <v>660</v>
      </c>
      <c r="B1517">
        <v>40742</v>
      </c>
      <c r="C1517" t="s">
        <v>2178</v>
      </c>
      <c r="D1517" t="s">
        <v>226</v>
      </c>
      <c r="E1517" t="s">
        <v>659</v>
      </c>
      <c r="F1517">
        <v>12.64</v>
      </c>
      <c r="G1517">
        <v>11.26</v>
      </c>
    </row>
    <row r="1518" spans="1:7" hidden="1" x14ac:dyDescent="0.25">
      <c r="A1518" t="s">
        <v>660</v>
      </c>
      <c r="B1518">
        <v>7214</v>
      </c>
      <c r="C1518" t="s">
        <v>2179</v>
      </c>
      <c r="D1518" t="s">
        <v>226</v>
      </c>
      <c r="E1518" t="s">
        <v>659</v>
      </c>
      <c r="F1518">
        <v>57.61</v>
      </c>
      <c r="G1518">
        <v>59.25</v>
      </c>
    </row>
    <row r="1519" spans="1:7" hidden="1" x14ac:dyDescent="0.25">
      <c r="A1519" t="s">
        <v>660</v>
      </c>
      <c r="B1519">
        <v>7219</v>
      </c>
      <c r="C1519" t="s">
        <v>2180</v>
      </c>
      <c r="D1519" t="s">
        <v>226</v>
      </c>
      <c r="E1519" t="s">
        <v>659</v>
      </c>
      <c r="F1519">
        <v>51.1</v>
      </c>
      <c r="G1519">
        <v>52.55</v>
      </c>
    </row>
    <row r="1520" spans="1:7" hidden="1" x14ac:dyDescent="0.25">
      <c r="A1520" t="s">
        <v>660</v>
      </c>
      <c r="B1520">
        <v>2628</v>
      </c>
      <c r="C1520" t="s">
        <v>2181</v>
      </c>
      <c r="D1520" t="s">
        <v>226</v>
      </c>
      <c r="E1520" t="s">
        <v>659</v>
      </c>
      <c r="F1520">
        <v>273.51</v>
      </c>
      <c r="G1520">
        <v>178.88</v>
      </c>
    </row>
    <row r="1521" spans="1:7" hidden="1" x14ac:dyDescent="0.25">
      <c r="A1521" t="s">
        <v>660</v>
      </c>
      <c r="B1521">
        <v>2622</v>
      </c>
      <c r="C1521" t="s">
        <v>2182</v>
      </c>
      <c r="D1521" t="s">
        <v>226</v>
      </c>
      <c r="E1521" t="s">
        <v>659</v>
      </c>
      <c r="F1521">
        <v>6.49</v>
      </c>
      <c r="G1521">
        <v>4.25</v>
      </c>
    </row>
    <row r="1522" spans="1:7" hidden="1" x14ac:dyDescent="0.25">
      <c r="A1522" t="s">
        <v>660</v>
      </c>
      <c r="B1522">
        <v>2623</v>
      </c>
      <c r="C1522" t="s">
        <v>2183</v>
      </c>
      <c r="D1522" t="s">
        <v>226</v>
      </c>
      <c r="E1522" t="s">
        <v>659</v>
      </c>
      <c r="F1522">
        <v>7.82</v>
      </c>
      <c r="G1522">
        <v>5.1100000000000003</v>
      </c>
    </row>
    <row r="1523" spans="1:7" hidden="1" x14ac:dyDescent="0.25">
      <c r="A1523" t="s">
        <v>660</v>
      </c>
      <c r="B1523">
        <v>2624</v>
      </c>
      <c r="C1523" t="s">
        <v>2184</v>
      </c>
      <c r="D1523" t="s">
        <v>226</v>
      </c>
      <c r="E1523" t="s">
        <v>659</v>
      </c>
      <c r="F1523">
        <v>12.43</v>
      </c>
      <c r="G1523">
        <v>8.1300000000000008</v>
      </c>
    </row>
    <row r="1524" spans="1:7" hidden="1" x14ac:dyDescent="0.25">
      <c r="A1524" t="s">
        <v>660</v>
      </c>
      <c r="B1524">
        <v>2625</v>
      </c>
      <c r="C1524" t="s">
        <v>2185</v>
      </c>
      <c r="D1524" t="s">
        <v>226</v>
      </c>
      <c r="E1524" t="s">
        <v>659</v>
      </c>
      <c r="F1524">
        <v>26.24</v>
      </c>
      <c r="G1524">
        <v>17.16</v>
      </c>
    </row>
    <row r="1525" spans="1:7" hidden="1" x14ac:dyDescent="0.25">
      <c r="A1525" t="s">
        <v>660</v>
      </c>
      <c r="B1525">
        <v>2626</v>
      </c>
      <c r="C1525" t="s">
        <v>2186</v>
      </c>
      <c r="D1525" t="s">
        <v>226</v>
      </c>
      <c r="E1525" t="s">
        <v>659</v>
      </c>
      <c r="F1525">
        <v>38.450000000000003</v>
      </c>
      <c r="G1525">
        <v>25.15</v>
      </c>
    </row>
    <row r="1526" spans="1:7" hidden="1" x14ac:dyDescent="0.25">
      <c r="A1526" t="s">
        <v>660</v>
      </c>
      <c r="B1526">
        <v>2630</v>
      </c>
      <c r="C1526" t="s">
        <v>2187</v>
      </c>
      <c r="D1526" t="s">
        <v>226</v>
      </c>
      <c r="E1526" t="s">
        <v>659</v>
      </c>
      <c r="F1526">
        <v>58.48</v>
      </c>
      <c r="G1526">
        <v>38.25</v>
      </c>
    </row>
    <row r="1527" spans="1:7" hidden="1" x14ac:dyDescent="0.25">
      <c r="A1527" t="s">
        <v>660</v>
      </c>
      <c r="B1527">
        <v>2627</v>
      </c>
      <c r="C1527" t="s">
        <v>2188</v>
      </c>
      <c r="D1527" t="s">
        <v>226</v>
      </c>
      <c r="E1527" t="s">
        <v>659</v>
      </c>
      <c r="F1527">
        <v>103.02</v>
      </c>
      <c r="G1527">
        <v>67.38</v>
      </c>
    </row>
    <row r="1528" spans="1:7" hidden="1" x14ac:dyDescent="0.25">
      <c r="A1528" t="s">
        <v>660</v>
      </c>
      <c r="B1528">
        <v>2629</v>
      </c>
      <c r="C1528" t="s">
        <v>2189</v>
      </c>
      <c r="D1528" t="s">
        <v>226</v>
      </c>
      <c r="E1528" t="s">
        <v>659</v>
      </c>
      <c r="F1528">
        <v>139.34</v>
      </c>
      <c r="G1528">
        <v>91.13</v>
      </c>
    </row>
    <row r="1529" spans="1:7" hidden="1" x14ac:dyDescent="0.25">
      <c r="A1529" t="s">
        <v>660</v>
      </c>
      <c r="B1529">
        <v>1880</v>
      </c>
      <c r="C1529" t="s">
        <v>2190</v>
      </c>
      <c r="D1529" t="s">
        <v>226</v>
      </c>
      <c r="E1529" t="s">
        <v>659</v>
      </c>
      <c r="F1529">
        <v>3.98</v>
      </c>
      <c r="G1529">
        <v>2.58</v>
      </c>
    </row>
    <row r="1530" spans="1:7" hidden="1" x14ac:dyDescent="0.25">
      <c r="A1530" t="s">
        <v>660</v>
      </c>
      <c r="B1530">
        <v>39274</v>
      </c>
      <c r="C1530" t="s">
        <v>2191</v>
      </c>
      <c r="D1530" t="s">
        <v>226</v>
      </c>
      <c r="E1530" t="s">
        <v>659</v>
      </c>
      <c r="F1530">
        <v>3.08</v>
      </c>
      <c r="G1530">
        <v>2</v>
      </c>
    </row>
    <row r="1531" spans="1:7" hidden="1" x14ac:dyDescent="0.25">
      <c r="A1531" t="s">
        <v>660</v>
      </c>
      <c r="B1531">
        <v>12033</v>
      </c>
      <c r="C1531" t="s">
        <v>2192</v>
      </c>
      <c r="D1531" t="s">
        <v>226</v>
      </c>
      <c r="E1531" t="s">
        <v>659</v>
      </c>
      <c r="F1531">
        <v>12.7</v>
      </c>
      <c r="G1531">
        <v>8.25</v>
      </c>
    </row>
    <row r="1532" spans="1:7" hidden="1" x14ac:dyDescent="0.25">
      <c r="A1532" t="s">
        <v>660</v>
      </c>
      <c r="B1532">
        <v>40408</v>
      </c>
      <c r="C1532" t="s">
        <v>2193</v>
      </c>
      <c r="D1532" t="s">
        <v>226</v>
      </c>
      <c r="E1532" t="s">
        <v>659</v>
      </c>
      <c r="F1532">
        <v>8.34</v>
      </c>
      <c r="G1532">
        <v>5.42</v>
      </c>
    </row>
    <row r="1533" spans="1:7" hidden="1" x14ac:dyDescent="0.25">
      <c r="A1533" t="s">
        <v>660</v>
      </c>
      <c r="B1533">
        <v>39276</v>
      </c>
      <c r="C1533" t="s">
        <v>2194</v>
      </c>
      <c r="D1533" t="s">
        <v>226</v>
      </c>
      <c r="E1533" t="s">
        <v>659</v>
      </c>
      <c r="F1533">
        <v>7.52</v>
      </c>
      <c r="G1533">
        <v>4.88</v>
      </c>
    </row>
    <row r="1534" spans="1:7" hidden="1" x14ac:dyDescent="0.25">
      <c r="A1534" t="s">
        <v>660</v>
      </c>
      <c r="B1534">
        <v>40409</v>
      </c>
      <c r="C1534" t="s">
        <v>2195</v>
      </c>
      <c r="D1534" t="s">
        <v>226</v>
      </c>
      <c r="E1534" t="s">
        <v>659</v>
      </c>
      <c r="F1534">
        <v>2.95</v>
      </c>
      <c r="G1534">
        <v>1.91</v>
      </c>
    </row>
    <row r="1535" spans="1:7" hidden="1" x14ac:dyDescent="0.25">
      <c r="A1535" t="s">
        <v>660</v>
      </c>
      <c r="B1535">
        <v>39277</v>
      </c>
      <c r="C1535" t="s">
        <v>2196</v>
      </c>
      <c r="D1535" t="s">
        <v>226</v>
      </c>
      <c r="E1535" t="s">
        <v>659</v>
      </c>
      <c r="F1535">
        <v>20.3</v>
      </c>
      <c r="G1535">
        <v>13.18</v>
      </c>
    </row>
    <row r="1536" spans="1:7" hidden="1" x14ac:dyDescent="0.25">
      <c r="A1536" t="s">
        <v>660</v>
      </c>
      <c r="B1536">
        <v>12034</v>
      </c>
      <c r="C1536" t="s">
        <v>2197</v>
      </c>
      <c r="D1536" t="s">
        <v>226</v>
      </c>
      <c r="E1536" t="s">
        <v>659</v>
      </c>
      <c r="F1536">
        <v>5.75</v>
      </c>
      <c r="G1536">
        <v>3.73</v>
      </c>
    </row>
    <row r="1537" spans="1:7" hidden="1" x14ac:dyDescent="0.25">
      <c r="A1537" t="s">
        <v>660</v>
      </c>
      <c r="B1537">
        <v>39879</v>
      </c>
      <c r="C1537" t="s">
        <v>2198</v>
      </c>
      <c r="D1537" t="s">
        <v>226</v>
      </c>
      <c r="E1537" t="s">
        <v>659</v>
      </c>
      <c r="F1537">
        <f t="shared" ref="F1537:F1543" si="9">G1537</f>
        <v>5.45</v>
      </c>
      <c r="G1537">
        <v>5.45</v>
      </c>
    </row>
    <row r="1538" spans="1:7" hidden="1" x14ac:dyDescent="0.25">
      <c r="A1538" t="s">
        <v>660</v>
      </c>
      <c r="B1538">
        <v>39880</v>
      </c>
      <c r="C1538" t="s">
        <v>2199</v>
      </c>
      <c r="D1538" t="s">
        <v>226</v>
      </c>
      <c r="E1538" t="s">
        <v>659</v>
      </c>
      <c r="F1538">
        <f t="shared" si="9"/>
        <v>12.06</v>
      </c>
      <c r="G1538">
        <v>12.06</v>
      </c>
    </row>
    <row r="1539" spans="1:7" hidden="1" x14ac:dyDescent="0.25">
      <c r="A1539" t="s">
        <v>660</v>
      </c>
      <c r="B1539">
        <v>39881</v>
      </c>
      <c r="C1539" t="s">
        <v>2200</v>
      </c>
      <c r="D1539" t="s">
        <v>226</v>
      </c>
      <c r="E1539" t="s">
        <v>659</v>
      </c>
      <c r="F1539">
        <f t="shared" si="9"/>
        <v>19.37</v>
      </c>
      <c r="G1539">
        <v>19.37</v>
      </c>
    </row>
    <row r="1540" spans="1:7" hidden="1" x14ac:dyDescent="0.25">
      <c r="A1540" t="s">
        <v>660</v>
      </c>
      <c r="B1540">
        <v>39882</v>
      </c>
      <c r="C1540" t="s">
        <v>2201</v>
      </c>
      <c r="D1540" t="s">
        <v>226</v>
      </c>
      <c r="E1540" t="s">
        <v>659</v>
      </c>
      <c r="F1540">
        <f t="shared" si="9"/>
        <v>51.02</v>
      </c>
      <c r="G1540">
        <v>51.02</v>
      </c>
    </row>
    <row r="1541" spans="1:7" hidden="1" x14ac:dyDescent="0.25">
      <c r="A1541" t="s">
        <v>660</v>
      </c>
      <c r="B1541">
        <v>39883</v>
      </c>
      <c r="C1541" t="s">
        <v>2202</v>
      </c>
      <c r="D1541" t="s">
        <v>226</v>
      </c>
      <c r="E1541" t="s">
        <v>659</v>
      </c>
      <c r="F1541">
        <f t="shared" si="9"/>
        <v>81.47</v>
      </c>
      <c r="G1541">
        <v>81.47</v>
      </c>
    </row>
    <row r="1542" spans="1:7" hidden="1" x14ac:dyDescent="0.25">
      <c r="A1542" t="s">
        <v>660</v>
      </c>
      <c r="B1542">
        <v>39884</v>
      </c>
      <c r="C1542" t="s">
        <v>2203</v>
      </c>
      <c r="D1542" t="s">
        <v>226</v>
      </c>
      <c r="E1542" t="s">
        <v>659</v>
      </c>
      <c r="F1542">
        <f t="shared" si="9"/>
        <v>121</v>
      </c>
      <c r="G1542">
        <v>121</v>
      </c>
    </row>
    <row r="1543" spans="1:7" hidden="1" x14ac:dyDescent="0.25">
      <c r="A1543" t="s">
        <v>660</v>
      </c>
      <c r="B1543">
        <v>39885</v>
      </c>
      <c r="C1543" t="s">
        <v>2204</v>
      </c>
      <c r="D1543" t="s">
        <v>226</v>
      </c>
      <c r="E1543" t="s">
        <v>659</v>
      </c>
      <c r="F1543">
        <f t="shared" si="9"/>
        <v>287.58</v>
      </c>
      <c r="G1543">
        <v>287.58</v>
      </c>
    </row>
    <row r="1544" spans="1:7" hidden="1" x14ac:dyDescent="0.25">
      <c r="A1544" t="s">
        <v>660</v>
      </c>
      <c r="B1544">
        <v>1777</v>
      </c>
      <c r="C1544" t="s">
        <v>2205</v>
      </c>
      <c r="D1544" t="s">
        <v>226</v>
      </c>
      <c r="E1544" t="s">
        <v>659</v>
      </c>
      <c r="F1544">
        <v>82.64</v>
      </c>
      <c r="G1544">
        <v>86.19</v>
      </c>
    </row>
    <row r="1545" spans="1:7" hidden="1" x14ac:dyDescent="0.25">
      <c r="A1545" t="s">
        <v>660</v>
      </c>
      <c r="B1545">
        <v>1819</v>
      </c>
      <c r="C1545" t="s">
        <v>2206</v>
      </c>
      <c r="D1545" t="s">
        <v>226</v>
      </c>
      <c r="E1545" t="s">
        <v>659</v>
      </c>
      <c r="F1545">
        <v>60.12</v>
      </c>
      <c r="G1545">
        <v>62.71</v>
      </c>
    </row>
    <row r="1546" spans="1:7" hidden="1" x14ac:dyDescent="0.25">
      <c r="A1546" t="s">
        <v>660</v>
      </c>
      <c r="B1546">
        <v>1776</v>
      </c>
      <c r="C1546" t="s">
        <v>2207</v>
      </c>
      <c r="D1546" t="s">
        <v>226</v>
      </c>
      <c r="E1546" t="s">
        <v>659</v>
      </c>
      <c r="F1546">
        <v>48.92</v>
      </c>
      <c r="G1546">
        <v>51.02</v>
      </c>
    </row>
    <row r="1547" spans="1:7" hidden="1" x14ac:dyDescent="0.25">
      <c r="A1547" t="s">
        <v>660</v>
      </c>
      <c r="B1547">
        <v>1775</v>
      </c>
      <c r="C1547" t="s">
        <v>2208</v>
      </c>
      <c r="D1547" t="s">
        <v>226</v>
      </c>
      <c r="E1547" t="s">
        <v>659</v>
      </c>
      <c r="F1547">
        <v>17.98</v>
      </c>
      <c r="G1547">
        <v>18.75</v>
      </c>
    </row>
    <row r="1548" spans="1:7" hidden="1" x14ac:dyDescent="0.25">
      <c r="A1548" t="s">
        <v>660</v>
      </c>
      <c r="B1548">
        <v>1778</v>
      </c>
      <c r="C1548" t="s">
        <v>2209</v>
      </c>
      <c r="D1548" t="s">
        <v>226</v>
      </c>
      <c r="E1548" t="s">
        <v>659</v>
      </c>
      <c r="F1548">
        <v>200.03</v>
      </c>
      <c r="G1548">
        <v>208.64</v>
      </c>
    </row>
    <row r="1549" spans="1:7" hidden="1" x14ac:dyDescent="0.25">
      <c r="A1549" t="s">
        <v>660</v>
      </c>
      <c r="B1549">
        <v>1818</v>
      </c>
      <c r="C1549" t="s">
        <v>2210</v>
      </c>
      <c r="D1549" t="s">
        <v>226</v>
      </c>
      <c r="E1549" t="s">
        <v>659</v>
      </c>
      <c r="F1549">
        <v>132.78</v>
      </c>
      <c r="G1549">
        <v>138.49</v>
      </c>
    </row>
    <row r="1550" spans="1:7" hidden="1" x14ac:dyDescent="0.25">
      <c r="A1550" t="s">
        <v>660</v>
      </c>
      <c r="B1550">
        <v>1779</v>
      </c>
      <c r="C1550" t="s">
        <v>2211</v>
      </c>
      <c r="D1550" t="s">
        <v>226</v>
      </c>
      <c r="E1550" t="s">
        <v>659</v>
      </c>
      <c r="F1550">
        <v>290.92</v>
      </c>
      <c r="G1550">
        <v>303.43</v>
      </c>
    </row>
    <row r="1551" spans="1:7" hidden="1" x14ac:dyDescent="0.25">
      <c r="A1551" t="s">
        <v>660</v>
      </c>
      <c r="B1551">
        <v>1820</v>
      </c>
      <c r="C1551" t="s">
        <v>2212</v>
      </c>
      <c r="D1551" t="s">
        <v>226</v>
      </c>
      <c r="E1551" t="s">
        <v>659</v>
      </c>
      <c r="F1551">
        <v>25.96</v>
      </c>
      <c r="G1551">
        <v>27.08</v>
      </c>
    </row>
    <row r="1552" spans="1:7" hidden="1" x14ac:dyDescent="0.25">
      <c r="A1552" t="s">
        <v>660</v>
      </c>
      <c r="B1552">
        <v>1780</v>
      </c>
      <c r="C1552" t="s">
        <v>2213</v>
      </c>
      <c r="D1552" t="s">
        <v>226</v>
      </c>
      <c r="E1552" t="s">
        <v>659</v>
      </c>
      <c r="F1552">
        <v>599.74</v>
      </c>
      <c r="G1552">
        <v>625.53</v>
      </c>
    </row>
    <row r="1553" spans="1:7" hidden="1" x14ac:dyDescent="0.25">
      <c r="A1553" t="s">
        <v>660</v>
      </c>
      <c r="B1553">
        <v>1783</v>
      </c>
      <c r="C1553" t="s">
        <v>2214</v>
      </c>
      <c r="D1553" t="s">
        <v>226</v>
      </c>
      <c r="E1553" t="s">
        <v>659</v>
      </c>
      <c r="F1553">
        <v>63.41</v>
      </c>
      <c r="G1553">
        <v>66.14</v>
      </c>
    </row>
    <row r="1554" spans="1:7" hidden="1" x14ac:dyDescent="0.25">
      <c r="A1554" t="s">
        <v>660</v>
      </c>
      <c r="B1554">
        <v>1782</v>
      </c>
      <c r="C1554" t="s">
        <v>2215</v>
      </c>
      <c r="D1554" t="s">
        <v>226</v>
      </c>
      <c r="E1554" t="s">
        <v>659</v>
      </c>
      <c r="F1554">
        <v>50.14</v>
      </c>
      <c r="G1554">
        <v>52.29</v>
      </c>
    </row>
    <row r="1555" spans="1:7" hidden="1" x14ac:dyDescent="0.25">
      <c r="A1555" t="s">
        <v>660</v>
      </c>
      <c r="B1555">
        <v>1781</v>
      </c>
      <c r="C1555" t="s">
        <v>2216</v>
      </c>
      <c r="D1555" t="s">
        <v>226</v>
      </c>
      <c r="E1555" t="s">
        <v>659</v>
      </c>
      <c r="F1555">
        <v>32.67</v>
      </c>
      <c r="G1555">
        <v>34.07</v>
      </c>
    </row>
    <row r="1556" spans="1:7" hidden="1" x14ac:dyDescent="0.25">
      <c r="A1556" t="s">
        <v>660</v>
      </c>
      <c r="B1556">
        <v>1817</v>
      </c>
      <c r="C1556" t="s">
        <v>2217</v>
      </c>
      <c r="D1556" t="s">
        <v>226</v>
      </c>
      <c r="E1556" t="s">
        <v>659</v>
      </c>
      <c r="F1556">
        <v>14.94</v>
      </c>
      <c r="G1556">
        <v>15.58</v>
      </c>
    </row>
    <row r="1557" spans="1:7" hidden="1" x14ac:dyDescent="0.25">
      <c r="A1557" t="s">
        <v>660</v>
      </c>
      <c r="B1557">
        <v>1784</v>
      </c>
      <c r="C1557" t="s">
        <v>2218</v>
      </c>
      <c r="D1557" t="s">
        <v>226</v>
      </c>
      <c r="E1557" t="s">
        <v>659</v>
      </c>
      <c r="F1557">
        <v>179.06</v>
      </c>
      <c r="G1557">
        <v>186.76</v>
      </c>
    </row>
    <row r="1558" spans="1:7" hidden="1" x14ac:dyDescent="0.25">
      <c r="A1558" t="s">
        <v>660</v>
      </c>
      <c r="B1558">
        <v>1810</v>
      </c>
      <c r="C1558" t="s">
        <v>2219</v>
      </c>
      <c r="D1558" t="s">
        <v>226</v>
      </c>
      <c r="E1558" t="s">
        <v>659</v>
      </c>
      <c r="F1558">
        <v>99.31</v>
      </c>
      <c r="G1558">
        <v>103.59</v>
      </c>
    </row>
    <row r="1559" spans="1:7" hidden="1" x14ac:dyDescent="0.25">
      <c r="A1559" t="s">
        <v>660</v>
      </c>
      <c r="B1559">
        <v>1812</v>
      </c>
      <c r="C1559" t="s">
        <v>2220</v>
      </c>
      <c r="D1559" t="s">
        <v>226</v>
      </c>
      <c r="E1559" t="s">
        <v>659</v>
      </c>
      <c r="F1559">
        <v>250.71</v>
      </c>
      <c r="G1559">
        <v>261.49</v>
      </c>
    </row>
    <row r="1560" spans="1:7" hidden="1" x14ac:dyDescent="0.25">
      <c r="A1560" t="s">
        <v>660</v>
      </c>
      <c r="B1560">
        <v>1811</v>
      </c>
      <c r="C1560" t="s">
        <v>2221</v>
      </c>
      <c r="D1560" t="s">
        <v>226</v>
      </c>
      <c r="E1560" t="s">
        <v>659</v>
      </c>
      <c r="F1560">
        <v>21.48</v>
      </c>
      <c r="G1560">
        <v>22.41</v>
      </c>
    </row>
    <row r="1561" spans="1:7" hidden="1" x14ac:dyDescent="0.25">
      <c r="A1561" t="s">
        <v>660</v>
      </c>
      <c r="B1561">
        <v>40386</v>
      </c>
      <c r="C1561" t="s">
        <v>2222</v>
      </c>
      <c r="D1561" t="s">
        <v>226</v>
      </c>
      <c r="E1561" t="s">
        <v>659</v>
      </c>
      <c r="F1561">
        <f t="shared" ref="F1561:F1568" si="10">G1561</f>
        <v>89.73</v>
      </c>
      <c r="G1561">
        <v>89.73</v>
      </c>
    </row>
    <row r="1562" spans="1:7" hidden="1" x14ac:dyDescent="0.25">
      <c r="A1562" t="s">
        <v>660</v>
      </c>
      <c r="B1562">
        <v>40384</v>
      </c>
      <c r="C1562" t="s">
        <v>2223</v>
      </c>
      <c r="D1562" t="s">
        <v>226</v>
      </c>
      <c r="E1562" t="s">
        <v>659</v>
      </c>
      <c r="F1562">
        <f t="shared" si="10"/>
        <v>61.43</v>
      </c>
      <c r="G1562">
        <v>61.43</v>
      </c>
    </row>
    <row r="1563" spans="1:7" hidden="1" x14ac:dyDescent="0.25">
      <c r="A1563" t="s">
        <v>660</v>
      </c>
      <c r="B1563">
        <v>40423</v>
      </c>
      <c r="C1563" t="s">
        <v>2224</v>
      </c>
      <c r="D1563" t="s">
        <v>226</v>
      </c>
      <c r="E1563" t="s">
        <v>659</v>
      </c>
      <c r="F1563">
        <f t="shared" si="10"/>
        <v>40.19</v>
      </c>
      <c r="G1563">
        <v>40.19</v>
      </c>
    </row>
    <row r="1564" spans="1:7" hidden="1" x14ac:dyDescent="0.25">
      <c r="A1564" t="s">
        <v>660</v>
      </c>
      <c r="B1564">
        <v>40379</v>
      </c>
      <c r="C1564" t="s">
        <v>2225</v>
      </c>
      <c r="D1564" t="s">
        <v>226</v>
      </c>
      <c r="E1564" t="s">
        <v>659</v>
      </c>
      <c r="F1564">
        <f t="shared" si="10"/>
        <v>21.24</v>
      </c>
      <c r="G1564">
        <v>21.24</v>
      </c>
    </row>
    <row r="1565" spans="1:7" hidden="1" x14ac:dyDescent="0.25">
      <c r="A1565" t="s">
        <v>660</v>
      </c>
      <c r="B1565">
        <v>40389</v>
      </c>
      <c r="C1565" t="s">
        <v>2226</v>
      </c>
      <c r="D1565" t="s">
        <v>226</v>
      </c>
      <c r="E1565" t="s">
        <v>659</v>
      </c>
      <c r="F1565">
        <f t="shared" si="10"/>
        <v>254.88</v>
      </c>
      <c r="G1565">
        <v>254.88</v>
      </c>
    </row>
    <row r="1566" spans="1:7" hidden="1" x14ac:dyDescent="0.25">
      <c r="A1566" t="s">
        <v>660</v>
      </c>
      <c r="B1566">
        <v>40388</v>
      </c>
      <c r="C1566" t="s">
        <v>2227</v>
      </c>
      <c r="D1566" t="s">
        <v>226</v>
      </c>
      <c r="E1566" t="s">
        <v>659</v>
      </c>
      <c r="F1566">
        <f t="shared" si="10"/>
        <v>127.58</v>
      </c>
      <c r="G1566">
        <v>127.58</v>
      </c>
    </row>
    <row r="1567" spans="1:7" hidden="1" x14ac:dyDescent="0.25">
      <c r="A1567" t="s">
        <v>660</v>
      </c>
      <c r="B1567">
        <v>40391</v>
      </c>
      <c r="C1567" t="s">
        <v>2228</v>
      </c>
      <c r="D1567" t="s">
        <v>226</v>
      </c>
      <c r="E1567" t="s">
        <v>659</v>
      </c>
      <c r="F1567">
        <f t="shared" si="10"/>
        <v>661.54</v>
      </c>
      <c r="G1567">
        <v>661.54</v>
      </c>
    </row>
    <row r="1568" spans="1:7" hidden="1" x14ac:dyDescent="0.25">
      <c r="A1568" t="s">
        <v>660</v>
      </c>
      <c r="B1568">
        <v>40381</v>
      </c>
      <c r="C1568" t="s">
        <v>2229</v>
      </c>
      <c r="D1568" t="s">
        <v>226</v>
      </c>
      <c r="E1568" t="s">
        <v>659</v>
      </c>
      <c r="F1568">
        <f t="shared" si="10"/>
        <v>28.32</v>
      </c>
      <c r="G1568">
        <v>28.32</v>
      </c>
    </row>
    <row r="1569" spans="1:7" hidden="1" x14ac:dyDescent="0.25">
      <c r="A1569" t="s">
        <v>660</v>
      </c>
      <c r="B1569">
        <v>2609</v>
      </c>
      <c r="C1569" t="s">
        <v>2230</v>
      </c>
      <c r="D1569" t="s">
        <v>226</v>
      </c>
      <c r="E1569" t="s">
        <v>659</v>
      </c>
      <c r="F1569">
        <v>6.1</v>
      </c>
      <c r="G1569">
        <v>3.99</v>
      </c>
    </row>
    <row r="1570" spans="1:7" hidden="1" x14ac:dyDescent="0.25">
      <c r="A1570" t="s">
        <v>660</v>
      </c>
      <c r="B1570">
        <v>2634</v>
      </c>
      <c r="C1570" t="s">
        <v>2231</v>
      </c>
      <c r="D1570" t="s">
        <v>226</v>
      </c>
      <c r="E1570" t="s">
        <v>659</v>
      </c>
      <c r="F1570">
        <v>8.01</v>
      </c>
      <c r="G1570">
        <v>5.24</v>
      </c>
    </row>
    <row r="1571" spans="1:7" hidden="1" x14ac:dyDescent="0.25">
      <c r="A1571" t="s">
        <v>660</v>
      </c>
      <c r="B1571">
        <v>2611</v>
      </c>
      <c r="C1571" t="s">
        <v>2232</v>
      </c>
      <c r="D1571" t="s">
        <v>226</v>
      </c>
      <c r="E1571" t="s">
        <v>659</v>
      </c>
      <c r="F1571">
        <v>22.59</v>
      </c>
      <c r="G1571">
        <v>14.77</v>
      </c>
    </row>
    <row r="1572" spans="1:7" hidden="1" x14ac:dyDescent="0.25">
      <c r="A1572" t="s">
        <v>660</v>
      </c>
      <c r="B1572">
        <v>40414</v>
      </c>
      <c r="C1572" t="s">
        <v>2233</v>
      </c>
      <c r="D1572" t="s">
        <v>226</v>
      </c>
      <c r="E1572" t="s">
        <v>659</v>
      </c>
      <c r="F1572">
        <f>G1572</f>
        <v>17.940000000000001</v>
      </c>
      <c r="G1572">
        <v>17.940000000000001</v>
      </c>
    </row>
    <row r="1573" spans="1:7" hidden="1" x14ac:dyDescent="0.25">
      <c r="A1573" t="s">
        <v>660</v>
      </c>
      <c r="B1573">
        <v>40416</v>
      </c>
      <c r="C1573" t="s">
        <v>2234</v>
      </c>
      <c r="D1573" t="s">
        <v>226</v>
      </c>
      <c r="E1573" t="s">
        <v>659</v>
      </c>
      <c r="F1573">
        <f>G1573</f>
        <v>24.79</v>
      </c>
      <c r="G1573">
        <v>24.79</v>
      </c>
    </row>
    <row r="1574" spans="1:7" hidden="1" x14ac:dyDescent="0.25">
      <c r="A1574" t="s">
        <v>660</v>
      </c>
      <c r="B1574">
        <v>40418</v>
      </c>
      <c r="C1574" t="s">
        <v>2235</v>
      </c>
      <c r="D1574" t="s">
        <v>226</v>
      </c>
      <c r="E1574" t="s">
        <v>659</v>
      </c>
      <c r="F1574">
        <f>G1574</f>
        <v>29.57</v>
      </c>
      <c r="G1574">
        <v>29.57</v>
      </c>
    </row>
    <row r="1575" spans="1:7" hidden="1" x14ac:dyDescent="0.25">
      <c r="A1575" t="s">
        <v>660</v>
      </c>
      <c r="B1575">
        <v>34359</v>
      </c>
      <c r="C1575" t="s">
        <v>2236</v>
      </c>
      <c r="D1575" t="s">
        <v>226</v>
      </c>
      <c r="E1575" t="s">
        <v>659</v>
      </c>
      <c r="F1575">
        <v>17.07</v>
      </c>
      <c r="G1575">
        <v>10.94</v>
      </c>
    </row>
    <row r="1576" spans="1:7" hidden="1" x14ac:dyDescent="0.25">
      <c r="A1576" t="s">
        <v>660</v>
      </c>
      <c r="B1576">
        <v>1789</v>
      </c>
      <c r="C1576" t="s">
        <v>2237</v>
      </c>
      <c r="D1576" t="s">
        <v>226</v>
      </c>
      <c r="E1576" t="s">
        <v>659</v>
      </c>
      <c r="F1576">
        <v>79.31</v>
      </c>
      <c r="G1576">
        <v>82.73</v>
      </c>
    </row>
    <row r="1577" spans="1:7" hidden="1" x14ac:dyDescent="0.25">
      <c r="A1577" t="s">
        <v>660</v>
      </c>
      <c r="B1577">
        <v>1788</v>
      </c>
      <c r="C1577" t="s">
        <v>2238</v>
      </c>
      <c r="D1577" t="s">
        <v>226</v>
      </c>
      <c r="E1577" t="s">
        <v>659</v>
      </c>
      <c r="F1577">
        <v>63.58</v>
      </c>
      <c r="G1577">
        <v>66.31</v>
      </c>
    </row>
    <row r="1578" spans="1:7" hidden="1" x14ac:dyDescent="0.25">
      <c r="A1578" t="s">
        <v>660</v>
      </c>
      <c r="B1578">
        <v>1787</v>
      </c>
      <c r="C1578" t="s">
        <v>2239</v>
      </c>
      <c r="D1578" t="s">
        <v>226</v>
      </c>
      <c r="E1578" t="s">
        <v>659</v>
      </c>
      <c r="F1578">
        <v>37.799999999999997</v>
      </c>
      <c r="G1578">
        <v>39.43</v>
      </c>
    </row>
    <row r="1579" spans="1:7" hidden="1" x14ac:dyDescent="0.25">
      <c r="A1579" t="s">
        <v>660</v>
      </c>
      <c r="B1579">
        <v>1786</v>
      </c>
      <c r="C1579" t="s">
        <v>2240</v>
      </c>
      <c r="D1579" t="s">
        <v>226</v>
      </c>
      <c r="E1579" t="s">
        <v>659</v>
      </c>
      <c r="F1579">
        <v>15.78</v>
      </c>
      <c r="G1579">
        <v>16.46</v>
      </c>
    </row>
    <row r="1580" spans="1:7" hidden="1" x14ac:dyDescent="0.25">
      <c r="A1580" t="s">
        <v>660</v>
      </c>
      <c r="B1580">
        <v>1791</v>
      </c>
      <c r="C1580" t="s">
        <v>2241</v>
      </c>
      <c r="D1580" t="s">
        <v>226</v>
      </c>
      <c r="E1580" t="s">
        <v>659</v>
      </c>
      <c r="F1580">
        <v>229.22</v>
      </c>
      <c r="G1580">
        <v>239.08</v>
      </c>
    </row>
    <row r="1581" spans="1:7" hidden="1" x14ac:dyDescent="0.25">
      <c r="A1581" t="s">
        <v>660</v>
      </c>
      <c r="B1581">
        <v>1790</v>
      </c>
      <c r="C1581" t="s">
        <v>2242</v>
      </c>
      <c r="D1581" t="s">
        <v>226</v>
      </c>
      <c r="E1581" t="s">
        <v>659</v>
      </c>
      <c r="F1581">
        <v>132.09</v>
      </c>
      <c r="G1581">
        <v>137.77000000000001</v>
      </c>
    </row>
    <row r="1582" spans="1:7" hidden="1" x14ac:dyDescent="0.25">
      <c r="A1582" t="s">
        <v>660</v>
      </c>
      <c r="B1582">
        <v>1792</v>
      </c>
      <c r="C1582" t="s">
        <v>2243</v>
      </c>
      <c r="D1582" t="s">
        <v>226</v>
      </c>
      <c r="E1582" t="s">
        <v>659</v>
      </c>
      <c r="F1582">
        <v>309.42</v>
      </c>
      <c r="G1582">
        <v>322.72000000000003</v>
      </c>
    </row>
    <row r="1583" spans="1:7" hidden="1" x14ac:dyDescent="0.25">
      <c r="A1583" t="s">
        <v>660</v>
      </c>
      <c r="B1583">
        <v>1813</v>
      </c>
      <c r="C1583" t="s">
        <v>2244</v>
      </c>
      <c r="D1583" t="s">
        <v>226</v>
      </c>
      <c r="E1583" t="s">
        <v>659</v>
      </c>
      <c r="F1583">
        <v>25.05</v>
      </c>
      <c r="G1583">
        <v>26.13</v>
      </c>
    </row>
    <row r="1584" spans="1:7" hidden="1" x14ac:dyDescent="0.25">
      <c r="A1584" t="s">
        <v>660</v>
      </c>
      <c r="B1584">
        <v>1793</v>
      </c>
      <c r="C1584" t="s">
        <v>2245</v>
      </c>
      <c r="D1584" t="s">
        <v>226</v>
      </c>
      <c r="E1584" t="s">
        <v>659</v>
      </c>
      <c r="F1584">
        <v>625.23</v>
      </c>
      <c r="G1584">
        <v>652.12</v>
      </c>
    </row>
    <row r="1585" spans="1:7" hidden="1" x14ac:dyDescent="0.25">
      <c r="A1585" t="s">
        <v>660</v>
      </c>
      <c r="B1585">
        <v>1797</v>
      </c>
      <c r="C1585" t="s">
        <v>2246</v>
      </c>
      <c r="D1585" t="s">
        <v>226</v>
      </c>
      <c r="E1585" t="s">
        <v>659</v>
      </c>
      <c r="F1585">
        <v>90.06</v>
      </c>
      <c r="G1585">
        <v>93.93</v>
      </c>
    </row>
    <row r="1586" spans="1:7" hidden="1" x14ac:dyDescent="0.25">
      <c r="A1586" t="s">
        <v>660</v>
      </c>
      <c r="B1586">
        <v>1796</v>
      </c>
      <c r="C1586" t="s">
        <v>2247</v>
      </c>
      <c r="D1586" t="s">
        <v>226</v>
      </c>
      <c r="E1586" t="s">
        <v>659</v>
      </c>
      <c r="F1586">
        <v>69.08</v>
      </c>
      <c r="G1586">
        <v>72.05</v>
      </c>
    </row>
    <row r="1587" spans="1:7" hidden="1" x14ac:dyDescent="0.25">
      <c r="A1587" t="s">
        <v>660</v>
      </c>
      <c r="B1587">
        <v>1816</v>
      </c>
      <c r="C1587" t="s">
        <v>2248</v>
      </c>
      <c r="D1587" t="s">
        <v>226</v>
      </c>
      <c r="E1587" t="s">
        <v>659</v>
      </c>
      <c r="F1587">
        <v>37.18</v>
      </c>
      <c r="G1587">
        <v>38.78</v>
      </c>
    </row>
    <row r="1588" spans="1:7" hidden="1" x14ac:dyDescent="0.25">
      <c r="A1588" t="s">
        <v>660</v>
      </c>
      <c r="B1588">
        <v>1794</v>
      </c>
      <c r="C1588" t="s">
        <v>2249</v>
      </c>
      <c r="D1588" t="s">
        <v>226</v>
      </c>
      <c r="E1588" t="s">
        <v>659</v>
      </c>
      <c r="F1588">
        <v>16.489999999999998</v>
      </c>
      <c r="G1588">
        <v>17.2</v>
      </c>
    </row>
    <row r="1589" spans="1:7" hidden="1" x14ac:dyDescent="0.25">
      <c r="A1589" t="s">
        <v>660</v>
      </c>
      <c r="B1589">
        <v>1815</v>
      </c>
      <c r="C1589" t="s">
        <v>2250</v>
      </c>
      <c r="D1589" t="s">
        <v>226</v>
      </c>
      <c r="E1589" t="s">
        <v>659</v>
      </c>
      <c r="F1589">
        <v>285.55</v>
      </c>
      <c r="G1589">
        <v>297.83</v>
      </c>
    </row>
    <row r="1590" spans="1:7" hidden="1" x14ac:dyDescent="0.25">
      <c r="A1590" t="s">
        <v>660</v>
      </c>
      <c r="B1590">
        <v>1798</v>
      </c>
      <c r="C1590" t="s">
        <v>2251</v>
      </c>
      <c r="D1590" t="s">
        <v>226</v>
      </c>
      <c r="E1590" t="s">
        <v>659</v>
      </c>
      <c r="F1590">
        <v>127.77</v>
      </c>
      <c r="G1590">
        <v>133.27000000000001</v>
      </c>
    </row>
    <row r="1591" spans="1:7" hidden="1" x14ac:dyDescent="0.25">
      <c r="A1591" t="s">
        <v>660</v>
      </c>
      <c r="B1591">
        <v>1799</v>
      </c>
      <c r="C1591" t="s">
        <v>2252</v>
      </c>
      <c r="D1591" t="s">
        <v>226</v>
      </c>
      <c r="E1591" t="s">
        <v>659</v>
      </c>
      <c r="F1591">
        <v>371.91</v>
      </c>
      <c r="G1591">
        <v>387.9</v>
      </c>
    </row>
    <row r="1592" spans="1:7" hidden="1" x14ac:dyDescent="0.25">
      <c r="A1592" t="s">
        <v>660</v>
      </c>
      <c r="B1592">
        <v>1795</v>
      </c>
      <c r="C1592" t="s">
        <v>2253</v>
      </c>
      <c r="D1592" t="s">
        <v>226</v>
      </c>
      <c r="E1592" t="s">
        <v>659</v>
      </c>
      <c r="F1592">
        <v>22.84</v>
      </c>
      <c r="G1592">
        <v>23.83</v>
      </c>
    </row>
    <row r="1593" spans="1:7" hidden="1" x14ac:dyDescent="0.25">
      <c r="A1593" t="s">
        <v>660</v>
      </c>
      <c r="B1593">
        <v>1800</v>
      </c>
      <c r="C1593" t="s">
        <v>2254</v>
      </c>
      <c r="D1593" t="s">
        <v>226</v>
      </c>
      <c r="E1593" t="s">
        <v>659</v>
      </c>
      <c r="F1593">
        <v>710.03</v>
      </c>
      <c r="G1593">
        <v>740.57</v>
      </c>
    </row>
    <row r="1594" spans="1:7" hidden="1" x14ac:dyDescent="0.25">
      <c r="A1594" t="s">
        <v>660</v>
      </c>
      <c r="B1594">
        <v>1802</v>
      </c>
      <c r="C1594" t="s">
        <v>2255</v>
      </c>
      <c r="D1594" t="s">
        <v>226</v>
      </c>
      <c r="E1594" t="s">
        <v>659</v>
      </c>
      <c r="F1594" s="538">
        <v>1776.08</v>
      </c>
      <c r="G1594" s="538">
        <v>1852.45</v>
      </c>
    </row>
    <row r="1595" spans="1:7" hidden="1" x14ac:dyDescent="0.25">
      <c r="A1595" t="s">
        <v>660</v>
      </c>
      <c r="B1595">
        <v>1809</v>
      </c>
      <c r="C1595" t="s">
        <v>2256</v>
      </c>
      <c r="D1595" t="s">
        <v>226</v>
      </c>
      <c r="E1595" t="s">
        <v>659</v>
      </c>
      <c r="F1595">
        <v>74.36</v>
      </c>
      <c r="G1595">
        <v>77.56</v>
      </c>
    </row>
    <row r="1596" spans="1:7" hidden="1" x14ac:dyDescent="0.25">
      <c r="A1596" t="s">
        <v>660</v>
      </c>
      <c r="B1596">
        <v>1814</v>
      </c>
      <c r="C1596" t="s">
        <v>2257</v>
      </c>
      <c r="D1596" t="s">
        <v>226</v>
      </c>
      <c r="E1596" t="s">
        <v>659</v>
      </c>
      <c r="F1596">
        <v>61.09</v>
      </c>
      <c r="G1596">
        <v>63.71</v>
      </c>
    </row>
    <row r="1597" spans="1:7" hidden="1" x14ac:dyDescent="0.25">
      <c r="A1597" t="s">
        <v>660</v>
      </c>
      <c r="B1597">
        <v>1805</v>
      </c>
      <c r="C1597" t="s">
        <v>2258</v>
      </c>
      <c r="D1597" t="s">
        <v>226</v>
      </c>
      <c r="E1597" t="s">
        <v>659</v>
      </c>
      <c r="F1597">
        <v>35.450000000000003</v>
      </c>
      <c r="G1597">
        <v>36.979999999999997</v>
      </c>
    </row>
    <row r="1598" spans="1:7" hidden="1" x14ac:dyDescent="0.25">
      <c r="A1598" t="s">
        <v>660</v>
      </c>
      <c r="B1598">
        <v>1803</v>
      </c>
      <c r="C1598" t="s">
        <v>2259</v>
      </c>
      <c r="D1598" t="s">
        <v>226</v>
      </c>
      <c r="E1598" t="s">
        <v>659</v>
      </c>
      <c r="F1598">
        <v>15.44</v>
      </c>
      <c r="G1598">
        <v>16.100000000000001</v>
      </c>
    </row>
    <row r="1599" spans="1:7" hidden="1" x14ac:dyDescent="0.25">
      <c r="A1599" t="s">
        <v>660</v>
      </c>
      <c r="B1599">
        <v>1821</v>
      </c>
      <c r="C1599" t="s">
        <v>2260</v>
      </c>
      <c r="D1599" t="s">
        <v>226</v>
      </c>
      <c r="E1599" t="s">
        <v>659</v>
      </c>
      <c r="F1599">
        <v>209.43</v>
      </c>
      <c r="G1599">
        <v>218.44</v>
      </c>
    </row>
    <row r="1600" spans="1:7" hidden="1" x14ac:dyDescent="0.25">
      <c r="A1600" t="s">
        <v>660</v>
      </c>
      <c r="B1600">
        <v>1806</v>
      </c>
      <c r="C1600" t="s">
        <v>2261</v>
      </c>
      <c r="D1600" t="s">
        <v>226</v>
      </c>
      <c r="E1600" t="s">
        <v>659</v>
      </c>
      <c r="F1600">
        <v>124.65</v>
      </c>
      <c r="G1600">
        <v>130.02000000000001</v>
      </c>
    </row>
    <row r="1601" spans="1:7" hidden="1" x14ac:dyDescent="0.25">
      <c r="A1601" t="s">
        <v>660</v>
      </c>
      <c r="B1601">
        <v>1807</v>
      </c>
      <c r="C1601" t="s">
        <v>2262</v>
      </c>
      <c r="D1601" t="s">
        <v>226</v>
      </c>
      <c r="E1601" t="s">
        <v>659</v>
      </c>
      <c r="F1601">
        <v>299.52</v>
      </c>
      <c r="G1601">
        <v>312.39999999999998</v>
      </c>
    </row>
    <row r="1602" spans="1:7" hidden="1" x14ac:dyDescent="0.25">
      <c r="A1602" t="s">
        <v>660</v>
      </c>
      <c r="B1602">
        <v>1804</v>
      </c>
      <c r="C1602" t="s">
        <v>2263</v>
      </c>
      <c r="D1602" t="s">
        <v>226</v>
      </c>
      <c r="E1602" t="s">
        <v>659</v>
      </c>
      <c r="F1602">
        <v>21.97</v>
      </c>
      <c r="G1602">
        <v>22.92</v>
      </c>
    </row>
    <row r="1603" spans="1:7" hidden="1" x14ac:dyDescent="0.25">
      <c r="A1603" t="s">
        <v>660</v>
      </c>
      <c r="B1603">
        <v>1808</v>
      </c>
      <c r="C1603" t="s">
        <v>2264</v>
      </c>
      <c r="D1603" t="s">
        <v>226</v>
      </c>
      <c r="E1603" t="s">
        <v>659</v>
      </c>
      <c r="F1603">
        <v>600.48</v>
      </c>
      <c r="G1603">
        <v>626.29999999999995</v>
      </c>
    </row>
    <row r="1604" spans="1:7" hidden="1" x14ac:dyDescent="0.25">
      <c r="A1604" t="s">
        <v>660</v>
      </c>
      <c r="B1604">
        <v>40385</v>
      </c>
      <c r="C1604" t="s">
        <v>2265</v>
      </c>
      <c r="D1604" t="s">
        <v>226</v>
      </c>
      <c r="E1604" t="s">
        <v>659</v>
      </c>
      <c r="F1604">
        <f t="shared" ref="F1604:F1611" si="11">G1604</f>
        <v>89.73</v>
      </c>
      <c r="G1604">
        <v>89.73</v>
      </c>
    </row>
    <row r="1605" spans="1:7" hidden="1" x14ac:dyDescent="0.25">
      <c r="A1605" t="s">
        <v>660</v>
      </c>
      <c r="B1605">
        <v>40383</v>
      </c>
      <c r="C1605" t="s">
        <v>2266</v>
      </c>
      <c r="D1605" t="s">
        <v>226</v>
      </c>
      <c r="E1605" t="s">
        <v>659</v>
      </c>
      <c r="F1605">
        <f t="shared" si="11"/>
        <v>61.43</v>
      </c>
      <c r="G1605">
        <v>61.43</v>
      </c>
    </row>
    <row r="1606" spans="1:7" hidden="1" x14ac:dyDescent="0.25">
      <c r="A1606" t="s">
        <v>660</v>
      </c>
      <c r="B1606">
        <v>40382</v>
      </c>
      <c r="C1606" t="s">
        <v>2267</v>
      </c>
      <c r="D1606" t="s">
        <v>226</v>
      </c>
      <c r="E1606" t="s">
        <v>659</v>
      </c>
      <c r="F1606">
        <f t="shared" si="11"/>
        <v>40.19</v>
      </c>
      <c r="G1606">
        <v>40.19</v>
      </c>
    </row>
    <row r="1607" spans="1:7" hidden="1" x14ac:dyDescent="0.25">
      <c r="A1607" t="s">
        <v>660</v>
      </c>
      <c r="B1607">
        <v>40378</v>
      </c>
      <c r="C1607" t="s">
        <v>2268</v>
      </c>
      <c r="D1607" t="s">
        <v>226</v>
      </c>
      <c r="E1607" t="s">
        <v>659</v>
      </c>
      <c r="F1607">
        <f t="shared" si="11"/>
        <v>21.24</v>
      </c>
      <c r="G1607">
        <v>21.24</v>
      </c>
    </row>
    <row r="1608" spans="1:7" hidden="1" x14ac:dyDescent="0.25">
      <c r="A1608" t="s">
        <v>660</v>
      </c>
      <c r="B1608">
        <v>40422</v>
      </c>
      <c r="C1608" t="s">
        <v>2269</v>
      </c>
      <c r="D1608" t="s">
        <v>226</v>
      </c>
      <c r="E1608" t="s">
        <v>659</v>
      </c>
      <c r="F1608">
        <f t="shared" si="11"/>
        <v>273.8</v>
      </c>
      <c r="G1608">
        <v>273.8</v>
      </c>
    </row>
    <row r="1609" spans="1:7" hidden="1" x14ac:dyDescent="0.25">
      <c r="A1609" t="s">
        <v>660</v>
      </c>
      <c r="B1609">
        <v>40387</v>
      </c>
      <c r="C1609" t="s">
        <v>2270</v>
      </c>
      <c r="D1609" t="s">
        <v>226</v>
      </c>
      <c r="E1609" t="s">
        <v>659</v>
      </c>
      <c r="F1609">
        <f t="shared" si="11"/>
        <v>139.41</v>
      </c>
      <c r="G1609">
        <v>139.41</v>
      </c>
    </row>
    <row r="1610" spans="1:7" hidden="1" x14ac:dyDescent="0.25">
      <c r="A1610" t="s">
        <v>660</v>
      </c>
      <c r="B1610">
        <v>40390</v>
      </c>
      <c r="C1610" t="s">
        <v>2271</v>
      </c>
      <c r="D1610" t="s">
        <v>226</v>
      </c>
      <c r="E1610" t="s">
        <v>659</v>
      </c>
      <c r="F1610">
        <f t="shared" si="11"/>
        <v>576.65</v>
      </c>
      <c r="G1610">
        <v>576.65</v>
      </c>
    </row>
    <row r="1611" spans="1:7" hidden="1" x14ac:dyDescent="0.25">
      <c r="A1611" t="s">
        <v>660</v>
      </c>
      <c r="B1611">
        <v>40380</v>
      </c>
      <c r="C1611" t="s">
        <v>2272</v>
      </c>
      <c r="D1611" t="s">
        <v>226</v>
      </c>
      <c r="E1611" t="s">
        <v>659</v>
      </c>
      <c r="F1611">
        <f t="shared" si="11"/>
        <v>28.32</v>
      </c>
      <c r="G1611">
        <v>28.32</v>
      </c>
    </row>
    <row r="1612" spans="1:7" hidden="1" x14ac:dyDescent="0.25">
      <c r="A1612" t="s">
        <v>660</v>
      </c>
      <c r="B1612">
        <v>2621</v>
      </c>
      <c r="C1612" t="s">
        <v>2273</v>
      </c>
      <c r="D1612" t="s">
        <v>226</v>
      </c>
      <c r="E1612" t="s">
        <v>659</v>
      </c>
      <c r="F1612">
        <v>193.24</v>
      </c>
      <c r="G1612">
        <v>126.39</v>
      </c>
    </row>
    <row r="1613" spans="1:7" hidden="1" x14ac:dyDescent="0.25">
      <c r="A1613" t="s">
        <v>660</v>
      </c>
      <c r="B1613">
        <v>2616</v>
      </c>
      <c r="C1613" t="s">
        <v>2274</v>
      </c>
      <c r="D1613" t="s">
        <v>226</v>
      </c>
      <c r="E1613" t="s">
        <v>659</v>
      </c>
      <c r="F1613">
        <v>5.47</v>
      </c>
      <c r="G1613">
        <v>3.57</v>
      </c>
    </row>
    <row r="1614" spans="1:7" hidden="1" x14ac:dyDescent="0.25">
      <c r="A1614" t="s">
        <v>660</v>
      </c>
      <c r="B1614">
        <v>2633</v>
      </c>
      <c r="C1614" t="s">
        <v>2275</v>
      </c>
      <c r="D1614" t="s">
        <v>226</v>
      </c>
      <c r="E1614" t="s">
        <v>659</v>
      </c>
      <c r="F1614">
        <v>6.18</v>
      </c>
      <c r="G1614">
        <v>4.04</v>
      </c>
    </row>
    <row r="1615" spans="1:7" hidden="1" x14ac:dyDescent="0.25">
      <c r="A1615" t="s">
        <v>660</v>
      </c>
      <c r="B1615">
        <v>2617</v>
      </c>
      <c r="C1615" t="s">
        <v>2276</v>
      </c>
      <c r="D1615" t="s">
        <v>226</v>
      </c>
      <c r="E1615" t="s">
        <v>659</v>
      </c>
      <c r="F1615">
        <v>8.41</v>
      </c>
      <c r="G1615">
        <v>5.5</v>
      </c>
    </row>
    <row r="1616" spans="1:7" hidden="1" x14ac:dyDescent="0.25">
      <c r="A1616" t="s">
        <v>660</v>
      </c>
      <c r="B1616">
        <v>2618</v>
      </c>
      <c r="C1616" t="s">
        <v>2277</v>
      </c>
      <c r="D1616" t="s">
        <v>226</v>
      </c>
      <c r="E1616" t="s">
        <v>659</v>
      </c>
      <c r="F1616">
        <v>19.14</v>
      </c>
      <c r="G1616">
        <v>12.52</v>
      </c>
    </row>
    <row r="1617" spans="1:7" hidden="1" x14ac:dyDescent="0.25">
      <c r="A1617" t="s">
        <v>660</v>
      </c>
      <c r="B1617">
        <v>2632</v>
      </c>
      <c r="C1617" t="s">
        <v>2278</v>
      </c>
      <c r="D1617" t="s">
        <v>226</v>
      </c>
      <c r="E1617" t="s">
        <v>659</v>
      </c>
      <c r="F1617">
        <v>23.35</v>
      </c>
      <c r="G1617">
        <v>15.27</v>
      </c>
    </row>
    <row r="1618" spans="1:7" hidden="1" x14ac:dyDescent="0.25">
      <c r="A1618" t="s">
        <v>660</v>
      </c>
      <c r="B1618">
        <v>2631</v>
      </c>
      <c r="C1618" t="s">
        <v>2279</v>
      </c>
      <c r="D1618" t="s">
        <v>226</v>
      </c>
      <c r="E1618" t="s">
        <v>659</v>
      </c>
      <c r="F1618">
        <v>34.28</v>
      </c>
      <c r="G1618">
        <v>22.42</v>
      </c>
    </row>
    <row r="1619" spans="1:7" hidden="1" x14ac:dyDescent="0.25">
      <c r="A1619" t="s">
        <v>660</v>
      </c>
      <c r="B1619">
        <v>2619</v>
      </c>
      <c r="C1619" t="s">
        <v>2280</v>
      </c>
      <c r="D1619" t="s">
        <v>226</v>
      </c>
      <c r="E1619" t="s">
        <v>659</v>
      </c>
      <c r="F1619">
        <v>86.79</v>
      </c>
      <c r="G1619">
        <v>56.76</v>
      </c>
    </row>
    <row r="1620" spans="1:7" hidden="1" x14ac:dyDescent="0.25">
      <c r="A1620" t="s">
        <v>660</v>
      </c>
      <c r="B1620">
        <v>2620</v>
      </c>
      <c r="C1620" t="s">
        <v>2281</v>
      </c>
      <c r="D1620" t="s">
        <v>226</v>
      </c>
      <c r="E1620" t="s">
        <v>659</v>
      </c>
      <c r="F1620">
        <v>113.94</v>
      </c>
      <c r="G1620">
        <v>74.52</v>
      </c>
    </row>
    <row r="1621" spans="1:7" hidden="1" x14ac:dyDescent="0.25">
      <c r="A1621" t="s">
        <v>660</v>
      </c>
      <c r="B1621">
        <v>40413</v>
      </c>
      <c r="C1621" t="s">
        <v>2282</v>
      </c>
      <c r="D1621" t="s">
        <v>226</v>
      </c>
      <c r="E1621" t="s">
        <v>659</v>
      </c>
      <c r="F1621">
        <f>G1621</f>
        <v>19.48</v>
      </c>
      <c r="G1621">
        <v>19.48</v>
      </c>
    </row>
    <row r="1622" spans="1:7" hidden="1" x14ac:dyDescent="0.25">
      <c r="A1622" t="s">
        <v>660</v>
      </c>
      <c r="B1622">
        <v>40415</v>
      </c>
      <c r="C1622" t="s">
        <v>2283</v>
      </c>
      <c r="D1622" t="s">
        <v>226</v>
      </c>
      <c r="E1622" t="s">
        <v>659</v>
      </c>
      <c r="F1622">
        <f>G1622</f>
        <v>27.77</v>
      </c>
      <c r="G1622">
        <v>27.77</v>
      </c>
    </row>
    <row r="1623" spans="1:7" hidden="1" x14ac:dyDescent="0.25">
      <c r="A1623" t="s">
        <v>660</v>
      </c>
      <c r="B1623">
        <v>40417</v>
      </c>
      <c r="C1623" t="s">
        <v>2284</v>
      </c>
      <c r="D1623" t="s">
        <v>226</v>
      </c>
      <c r="E1623" t="s">
        <v>659</v>
      </c>
      <c r="F1623">
        <f>G1623</f>
        <v>32.76</v>
      </c>
      <c r="G1623">
        <v>32.76</v>
      </c>
    </row>
    <row r="1624" spans="1:7" hidden="1" x14ac:dyDescent="0.25">
      <c r="A1624" t="s">
        <v>660</v>
      </c>
      <c r="B1624">
        <v>39273</v>
      </c>
      <c r="C1624" t="s">
        <v>2285</v>
      </c>
      <c r="D1624" t="s">
        <v>226</v>
      </c>
      <c r="E1624" t="s">
        <v>659</v>
      </c>
      <c r="F1624">
        <v>4.34</v>
      </c>
      <c r="G1624">
        <v>2.82</v>
      </c>
    </row>
    <row r="1625" spans="1:7" hidden="1" x14ac:dyDescent="0.25">
      <c r="A1625" t="s">
        <v>660</v>
      </c>
      <c r="B1625">
        <v>39271</v>
      </c>
      <c r="C1625" t="s">
        <v>2286</v>
      </c>
      <c r="D1625" t="s">
        <v>226</v>
      </c>
      <c r="E1625" t="s">
        <v>659</v>
      </c>
      <c r="F1625">
        <v>2.56</v>
      </c>
      <c r="G1625">
        <v>1.66</v>
      </c>
    </row>
    <row r="1626" spans="1:7" hidden="1" x14ac:dyDescent="0.25">
      <c r="A1626" t="s">
        <v>660</v>
      </c>
      <c r="B1626">
        <v>39272</v>
      </c>
      <c r="C1626" t="s">
        <v>2287</v>
      </c>
      <c r="D1626" t="s">
        <v>226</v>
      </c>
      <c r="E1626" t="s">
        <v>659</v>
      </c>
      <c r="F1626">
        <v>3.14</v>
      </c>
      <c r="G1626">
        <v>2.04</v>
      </c>
    </row>
    <row r="1627" spans="1:7" hidden="1" x14ac:dyDescent="0.25">
      <c r="A1627" t="s">
        <v>660</v>
      </c>
      <c r="B1627">
        <v>1875</v>
      </c>
      <c r="C1627" t="s">
        <v>2288</v>
      </c>
      <c r="D1627" t="s">
        <v>226</v>
      </c>
      <c r="E1627" t="s">
        <v>659</v>
      </c>
      <c r="F1627">
        <v>6.94</v>
      </c>
      <c r="G1627">
        <v>4.51</v>
      </c>
    </row>
    <row r="1628" spans="1:7" hidden="1" x14ac:dyDescent="0.25">
      <c r="A1628" t="s">
        <v>660</v>
      </c>
      <c r="B1628">
        <v>1874</v>
      </c>
      <c r="C1628" t="s">
        <v>2289</v>
      </c>
      <c r="D1628" t="s">
        <v>226</v>
      </c>
      <c r="E1628" t="s">
        <v>659</v>
      </c>
      <c r="F1628">
        <v>5.73</v>
      </c>
      <c r="G1628">
        <v>3.72</v>
      </c>
    </row>
    <row r="1629" spans="1:7" hidden="1" x14ac:dyDescent="0.25">
      <c r="A1629" t="s">
        <v>660</v>
      </c>
      <c r="B1629">
        <v>1884</v>
      </c>
      <c r="C1629" t="s">
        <v>2290</v>
      </c>
      <c r="D1629" t="s">
        <v>226</v>
      </c>
      <c r="E1629" t="s">
        <v>659</v>
      </c>
      <c r="F1629">
        <v>5.08</v>
      </c>
      <c r="G1629">
        <v>3.3</v>
      </c>
    </row>
    <row r="1630" spans="1:7" hidden="1" x14ac:dyDescent="0.25">
      <c r="A1630" t="s">
        <v>660</v>
      </c>
      <c r="B1630">
        <v>1870</v>
      </c>
      <c r="C1630" t="s">
        <v>2291</v>
      </c>
      <c r="D1630" t="s">
        <v>226</v>
      </c>
      <c r="E1630" t="s">
        <v>172</v>
      </c>
      <c r="F1630">
        <v>3.31</v>
      </c>
      <c r="G1630">
        <v>2.15</v>
      </c>
    </row>
    <row r="1631" spans="1:7" hidden="1" x14ac:dyDescent="0.25">
      <c r="A1631" t="s">
        <v>660</v>
      </c>
      <c r="B1631">
        <v>1887</v>
      </c>
      <c r="C1631" t="s">
        <v>2292</v>
      </c>
      <c r="D1631" t="s">
        <v>226</v>
      </c>
      <c r="E1631" t="s">
        <v>659</v>
      </c>
      <c r="F1631">
        <v>28.78</v>
      </c>
      <c r="G1631">
        <v>18.690000000000001</v>
      </c>
    </row>
    <row r="1632" spans="1:7" hidden="1" x14ac:dyDescent="0.25">
      <c r="A1632" t="s">
        <v>660</v>
      </c>
      <c r="B1632">
        <v>1876</v>
      </c>
      <c r="C1632" t="s">
        <v>2293</v>
      </c>
      <c r="D1632" t="s">
        <v>226</v>
      </c>
      <c r="E1632" t="s">
        <v>659</v>
      </c>
      <c r="F1632">
        <v>11.28</v>
      </c>
      <c r="G1632">
        <v>7.32</v>
      </c>
    </row>
    <row r="1633" spans="1:7" hidden="1" x14ac:dyDescent="0.25">
      <c r="A1633" t="s">
        <v>660</v>
      </c>
      <c r="B1633">
        <v>1877</v>
      </c>
      <c r="C1633" t="s">
        <v>2294</v>
      </c>
      <c r="D1633" t="s">
        <v>226</v>
      </c>
      <c r="E1633" t="s">
        <v>659</v>
      </c>
      <c r="F1633">
        <v>28.82</v>
      </c>
      <c r="G1633">
        <v>18.72</v>
      </c>
    </row>
    <row r="1634" spans="1:7" hidden="1" x14ac:dyDescent="0.25">
      <c r="A1634" t="s">
        <v>660</v>
      </c>
      <c r="B1634">
        <v>1879</v>
      </c>
      <c r="C1634" t="s">
        <v>2295</v>
      </c>
      <c r="D1634" t="s">
        <v>226</v>
      </c>
      <c r="E1634" t="s">
        <v>659</v>
      </c>
      <c r="F1634">
        <v>3.35</v>
      </c>
      <c r="G1634">
        <v>2.1800000000000002</v>
      </c>
    </row>
    <row r="1635" spans="1:7" hidden="1" x14ac:dyDescent="0.25">
      <c r="A1635" t="s">
        <v>660</v>
      </c>
      <c r="B1635">
        <v>1878</v>
      </c>
      <c r="C1635" t="s">
        <v>2296</v>
      </c>
      <c r="D1635" t="s">
        <v>226</v>
      </c>
      <c r="E1635" t="s">
        <v>659</v>
      </c>
      <c r="F1635">
        <v>57.9</v>
      </c>
      <c r="G1635">
        <v>37.6</v>
      </c>
    </row>
    <row r="1636" spans="1:7" hidden="1" x14ac:dyDescent="0.25">
      <c r="A1636" t="s">
        <v>660</v>
      </c>
      <c r="B1636">
        <v>37971</v>
      </c>
      <c r="C1636" t="s">
        <v>2297</v>
      </c>
      <c r="D1636" t="s">
        <v>226</v>
      </c>
      <c r="E1636" t="s">
        <v>659</v>
      </c>
      <c r="F1636">
        <v>5.58</v>
      </c>
      <c r="G1636">
        <v>5.33</v>
      </c>
    </row>
    <row r="1637" spans="1:7" hidden="1" x14ac:dyDescent="0.25">
      <c r="A1637" t="s">
        <v>660</v>
      </c>
      <c r="B1637">
        <v>37972</v>
      </c>
      <c r="C1637" t="s">
        <v>2298</v>
      </c>
      <c r="D1637" t="s">
        <v>226</v>
      </c>
      <c r="E1637" t="s">
        <v>659</v>
      </c>
      <c r="F1637">
        <v>7.92</v>
      </c>
      <c r="G1637">
        <v>7.56</v>
      </c>
    </row>
    <row r="1638" spans="1:7" hidden="1" x14ac:dyDescent="0.25">
      <c r="A1638" t="s">
        <v>660</v>
      </c>
      <c r="B1638">
        <v>37973</v>
      </c>
      <c r="C1638" t="s">
        <v>2299</v>
      </c>
      <c r="D1638" t="s">
        <v>226</v>
      </c>
      <c r="E1638" t="s">
        <v>659</v>
      </c>
      <c r="F1638">
        <v>14.88</v>
      </c>
      <c r="G1638">
        <v>14.21</v>
      </c>
    </row>
    <row r="1639" spans="1:7" hidden="1" x14ac:dyDescent="0.25">
      <c r="A1639" t="s">
        <v>660</v>
      </c>
      <c r="B1639">
        <v>1926</v>
      </c>
      <c r="C1639" t="s">
        <v>2300</v>
      </c>
      <c r="D1639" t="s">
        <v>226</v>
      </c>
      <c r="E1639" t="s">
        <v>659</v>
      </c>
      <c r="F1639">
        <v>2.2400000000000002</v>
      </c>
      <c r="G1639">
        <v>2.29</v>
      </c>
    </row>
    <row r="1640" spans="1:7" hidden="1" x14ac:dyDescent="0.25">
      <c r="A1640" t="s">
        <v>660</v>
      </c>
      <c r="B1640">
        <v>1927</v>
      </c>
      <c r="C1640" t="s">
        <v>2301</v>
      </c>
      <c r="D1640" t="s">
        <v>226</v>
      </c>
      <c r="E1640" t="s">
        <v>659</v>
      </c>
      <c r="F1640">
        <v>2.5099999999999998</v>
      </c>
      <c r="G1640">
        <v>2.57</v>
      </c>
    </row>
    <row r="1641" spans="1:7" hidden="1" x14ac:dyDescent="0.25">
      <c r="A1641" t="s">
        <v>660</v>
      </c>
      <c r="B1641">
        <v>1923</v>
      </c>
      <c r="C1641" t="s">
        <v>2302</v>
      </c>
      <c r="D1641" t="s">
        <v>226</v>
      </c>
      <c r="E1641" t="s">
        <v>659</v>
      </c>
      <c r="F1641">
        <v>4.57</v>
      </c>
      <c r="G1641">
        <v>4.68</v>
      </c>
    </row>
    <row r="1642" spans="1:7" hidden="1" x14ac:dyDescent="0.25">
      <c r="A1642" t="s">
        <v>660</v>
      </c>
      <c r="B1642">
        <v>1929</v>
      </c>
      <c r="C1642" t="s">
        <v>2303</v>
      </c>
      <c r="D1642" t="s">
        <v>226</v>
      </c>
      <c r="E1642" t="s">
        <v>659</v>
      </c>
      <c r="F1642">
        <v>5.55</v>
      </c>
      <c r="G1642">
        <v>5.68</v>
      </c>
    </row>
    <row r="1643" spans="1:7" hidden="1" x14ac:dyDescent="0.25">
      <c r="A1643" t="s">
        <v>660</v>
      </c>
      <c r="B1643">
        <v>1930</v>
      </c>
      <c r="C1643" t="s">
        <v>2304</v>
      </c>
      <c r="D1643" t="s">
        <v>226</v>
      </c>
      <c r="E1643" t="s">
        <v>659</v>
      </c>
      <c r="F1643">
        <v>9.49</v>
      </c>
      <c r="G1643">
        <v>9.7100000000000009</v>
      </c>
    </row>
    <row r="1644" spans="1:7" hidden="1" x14ac:dyDescent="0.25">
      <c r="A1644" t="s">
        <v>660</v>
      </c>
      <c r="B1644">
        <v>1924</v>
      </c>
      <c r="C1644" t="s">
        <v>2305</v>
      </c>
      <c r="D1644" t="s">
        <v>226</v>
      </c>
      <c r="E1644" t="s">
        <v>659</v>
      </c>
      <c r="F1644">
        <v>15.32</v>
      </c>
      <c r="G1644">
        <v>15.68</v>
      </c>
    </row>
    <row r="1645" spans="1:7" hidden="1" x14ac:dyDescent="0.25">
      <c r="A1645" t="s">
        <v>660</v>
      </c>
      <c r="B1645">
        <v>1922</v>
      </c>
      <c r="C1645" t="s">
        <v>2306</v>
      </c>
      <c r="D1645" t="s">
        <v>226</v>
      </c>
      <c r="E1645" t="s">
        <v>659</v>
      </c>
      <c r="F1645">
        <v>31.68</v>
      </c>
      <c r="G1645">
        <v>32.42</v>
      </c>
    </row>
    <row r="1646" spans="1:7" hidden="1" x14ac:dyDescent="0.25">
      <c r="A1646" t="s">
        <v>660</v>
      </c>
      <c r="B1646">
        <v>1953</v>
      </c>
      <c r="C1646" t="s">
        <v>2307</v>
      </c>
      <c r="D1646" t="s">
        <v>226</v>
      </c>
      <c r="E1646" t="s">
        <v>659</v>
      </c>
      <c r="F1646">
        <v>38.67</v>
      </c>
      <c r="G1646">
        <v>39.58</v>
      </c>
    </row>
    <row r="1647" spans="1:7" hidden="1" x14ac:dyDescent="0.25">
      <c r="A1647" t="s">
        <v>660</v>
      </c>
      <c r="B1647">
        <v>1962</v>
      </c>
      <c r="C1647" t="s">
        <v>2308</v>
      </c>
      <c r="D1647" t="s">
        <v>226</v>
      </c>
      <c r="E1647" t="s">
        <v>659</v>
      </c>
      <c r="F1647">
        <v>187.87</v>
      </c>
      <c r="G1647">
        <v>192.29</v>
      </c>
    </row>
    <row r="1648" spans="1:7" hidden="1" x14ac:dyDescent="0.25">
      <c r="A1648" t="s">
        <v>660</v>
      </c>
      <c r="B1648">
        <v>1955</v>
      </c>
      <c r="C1648" t="s">
        <v>2309</v>
      </c>
      <c r="D1648" t="s">
        <v>226</v>
      </c>
      <c r="E1648" t="s">
        <v>659</v>
      </c>
      <c r="F1648">
        <v>2.16</v>
      </c>
      <c r="G1648">
        <v>2.21</v>
      </c>
    </row>
    <row r="1649" spans="1:7" hidden="1" x14ac:dyDescent="0.25">
      <c r="A1649" t="s">
        <v>660</v>
      </c>
      <c r="B1649">
        <v>1956</v>
      </c>
      <c r="C1649" t="s">
        <v>2310</v>
      </c>
      <c r="D1649" t="s">
        <v>226</v>
      </c>
      <c r="E1649" t="s">
        <v>659</v>
      </c>
      <c r="F1649">
        <v>3.05</v>
      </c>
      <c r="G1649">
        <v>3.13</v>
      </c>
    </row>
    <row r="1650" spans="1:7" hidden="1" x14ac:dyDescent="0.25">
      <c r="A1650" t="s">
        <v>660</v>
      </c>
      <c r="B1650">
        <v>1957</v>
      </c>
      <c r="C1650" t="s">
        <v>2311</v>
      </c>
      <c r="D1650" t="s">
        <v>226</v>
      </c>
      <c r="E1650" t="s">
        <v>659</v>
      </c>
      <c r="F1650">
        <v>6.61</v>
      </c>
      <c r="G1650">
        <v>6.76</v>
      </c>
    </row>
    <row r="1651" spans="1:7" hidden="1" x14ac:dyDescent="0.25">
      <c r="A1651" t="s">
        <v>660</v>
      </c>
      <c r="B1651">
        <v>1958</v>
      </c>
      <c r="C1651" t="s">
        <v>2312</v>
      </c>
      <c r="D1651" t="s">
        <v>226</v>
      </c>
      <c r="E1651" t="s">
        <v>659</v>
      </c>
      <c r="F1651">
        <v>12.3</v>
      </c>
      <c r="G1651">
        <v>12.59</v>
      </c>
    </row>
    <row r="1652" spans="1:7" hidden="1" x14ac:dyDescent="0.25">
      <c r="A1652" t="s">
        <v>660</v>
      </c>
      <c r="B1652">
        <v>1959</v>
      </c>
      <c r="C1652" t="s">
        <v>2313</v>
      </c>
      <c r="D1652" t="s">
        <v>226</v>
      </c>
      <c r="E1652" t="s">
        <v>659</v>
      </c>
      <c r="F1652">
        <v>13.35</v>
      </c>
      <c r="G1652">
        <v>13.66</v>
      </c>
    </row>
    <row r="1653" spans="1:7" hidden="1" x14ac:dyDescent="0.25">
      <c r="A1653" t="s">
        <v>660</v>
      </c>
      <c r="B1653">
        <v>1925</v>
      </c>
      <c r="C1653" t="s">
        <v>2314</v>
      </c>
      <c r="D1653" t="s">
        <v>226</v>
      </c>
      <c r="E1653" t="s">
        <v>659</v>
      </c>
      <c r="F1653">
        <v>34.89</v>
      </c>
      <c r="G1653">
        <v>35.71</v>
      </c>
    </row>
    <row r="1654" spans="1:7" hidden="1" x14ac:dyDescent="0.25">
      <c r="A1654" t="s">
        <v>660</v>
      </c>
      <c r="B1654">
        <v>1960</v>
      </c>
      <c r="C1654" t="s">
        <v>2315</v>
      </c>
      <c r="D1654" t="s">
        <v>226</v>
      </c>
      <c r="E1654" t="s">
        <v>659</v>
      </c>
      <c r="F1654">
        <v>53.57</v>
      </c>
      <c r="G1654">
        <v>54.83</v>
      </c>
    </row>
    <row r="1655" spans="1:7" hidden="1" x14ac:dyDescent="0.25">
      <c r="A1655" t="s">
        <v>660</v>
      </c>
      <c r="B1655">
        <v>1961</v>
      </c>
      <c r="C1655" t="s">
        <v>2316</v>
      </c>
      <c r="D1655" t="s">
        <v>226</v>
      </c>
      <c r="E1655" t="s">
        <v>659</v>
      </c>
      <c r="F1655">
        <v>68.63</v>
      </c>
      <c r="G1655">
        <v>70.25</v>
      </c>
    </row>
    <row r="1656" spans="1:7" hidden="1" x14ac:dyDescent="0.25">
      <c r="A1656" t="s">
        <v>660</v>
      </c>
      <c r="B1656">
        <v>38423</v>
      </c>
      <c r="C1656" t="s">
        <v>2317</v>
      </c>
      <c r="D1656" t="s">
        <v>226</v>
      </c>
      <c r="E1656" t="s">
        <v>659</v>
      </c>
      <c r="F1656">
        <v>37.24</v>
      </c>
      <c r="G1656">
        <v>38.5</v>
      </c>
    </row>
    <row r="1657" spans="1:7" hidden="1" x14ac:dyDescent="0.25">
      <c r="A1657" t="s">
        <v>660</v>
      </c>
      <c r="B1657">
        <v>39866</v>
      </c>
      <c r="C1657" t="s">
        <v>2318</v>
      </c>
      <c r="D1657" t="s">
        <v>226</v>
      </c>
      <c r="E1657" t="s">
        <v>659</v>
      </c>
      <c r="F1657">
        <f>G1657</f>
        <v>19.39</v>
      </c>
      <c r="G1657">
        <v>19.39</v>
      </c>
    </row>
    <row r="1658" spans="1:7" hidden="1" x14ac:dyDescent="0.25">
      <c r="A1658" t="s">
        <v>660</v>
      </c>
      <c r="B1658">
        <v>39867</v>
      </c>
      <c r="C1658" t="s">
        <v>2319</v>
      </c>
      <c r="D1658" t="s">
        <v>226</v>
      </c>
      <c r="E1658" t="s">
        <v>659</v>
      </c>
      <c r="F1658">
        <f>G1658</f>
        <v>43.1</v>
      </c>
      <c r="G1658">
        <v>43.1</v>
      </c>
    </row>
    <row r="1659" spans="1:7" hidden="1" x14ac:dyDescent="0.25">
      <c r="A1659" t="s">
        <v>660</v>
      </c>
      <c r="B1659">
        <v>39868</v>
      </c>
      <c r="C1659" t="s">
        <v>2320</v>
      </c>
      <c r="D1659" t="s">
        <v>226</v>
      </c>
      <c r="E1659" t="s">
        <v>659</v>
      </c>
      <c r="F1659">
        <f>G1659</f>
        <v>77.64</v>
      </c>
      <c r="G1659">
        <v>77.64</v>
      </c>
    </row>
    <row r="1660" spans="1:7" hidden="1" x14ac:dyDescent="0.25">
      <c r="A1660" t="s">
        <v>660</v>
      </c>
      <c r="B1660">
        <v>37999</v>
      </c>
      <c r="C1660" t="s">
        <v>2321</v>
      </c>
      <c r="D1660" t="s">
        <v>226</v>
      </c>
      <c r="E1660" t="s">
        <v>659</v>
      </c>
      <c r="F1660">
        <v>9.41</v>
      </c>
      <c r="G1660">
        <v>8.98</v>
      </c>
    </row>
    <row r="1661" spans="1:7" hidden="1" x14ac:dyDescent="0.25">
      <c r="A1661" t="s">
        <v>660</v>
      </c>
      <c r="B1661">
        <v>38000</v>
      </c>
      <c r="C1661" t="s">
        <v>2322</v>
      </c>
      <c r="D1661" t="s">
        <v>226</v>
      </c>
      <c r="E1661" t="s">
        <v>659</v>
      </c>
      <c r="F1661">
        <v>10.99</v>
      </c>
      <c r="G1661">
        <v>10.49</v>
      </c>
    </row>
    <row r="1662" spans="1:7" hidden="1" x14ac:dyDescent="0.25">
      <c r="A1662" t="s">
        <v>660</v>
      </c>
      <c r="B1662">
        <v>38129</v>
      </c>
      <c r="C1662" t="s">
        <v>2323</v>
      </c>
      <c r="D1662" t="s">
        <v>226</v>
      </c>
      <c r="E1662" t="s">
        <v>659</v>
      </c>
      <c r="F1662">
        <v>5.04</v>
      </c>
      <c r="G1662">
        <v>5.16</v>
      </c>
    </row>
    <row r="1663" spans="1:7" hidden="1" x14ac:dyDescent="0.25">
      <c r="A1663" t="s">
        <v>660</v>
      </c>
      <c r="B1663">
        <v>38025</v>
      </c>
      <c r="C1663" t="s">
        <v>2324</v>
      </c>
      <c r="D1663" t="s">
        <v>226</v>
      </c>
      <c r="E1663" t="s">
        <v>659</v>
      </c>
      <c r="F1663">
        <v>6.84</v>
      </c>
      <c r="G1663">
        <v>7</v>
      </c>
    </row>
    <row r="1664" spans="1:7" hidden="1" x14ac:dyDescent="0.25">
      <c r="A1664" t="s">
        <v>660</v>
      </c>
      <c r="B1664">
        <v>38026</v>
      </c>
      <c r="C1664" t="s">
        <v>2325</v>
      </c>
      <c r="D1664" t="s">
        <v>226</v>
      </c>
      <c r="E1664" t="s">
        <v>659</v>
      </c>
      <c r="F1664">
        <v>16.88</v>
      </c>
      <c r="G1664">
        <v>17.28</v>
      </c>
    </row>
    <row r="1665" spans="1:7" hidden="1" x14ac:dyDescent="0.25">
      <c r="A1665" t="s">
        <v>660</v>
      </c>
      <c r="B1665">
        <v>1858</v>
      </c>
      <c r="C1665" t="s">
        <v>2326</v>
      </c>
      <c r="D1665" t="s">
        <v>226</v>
      </c>
      <c r="E1665" t="s">
        <v>659</v>
      </c>
      <c r="F1665">
        <v>57.7</v>
      </c>
      <c r="G1665">
        <v>59.66</v>
      </c>
    </row>
    <row r="1666" spans="1:7" hidden="1" x14ac:dyDescent="0.25">
      <c r="A1666" t="s">
        <v>660</v>
      </c>
      <c r="B1666">
        <v>1844</v>
      </c>
      <c r="C1666" t="s">
        <v>2327</v>
      </c>
      <c r="D1666" t="s">
        <v>226</v>
      </c>
      <c r="E1666" t="s">
        <v>659</v>
      </c>
      <c r="F1666">
        <v>132.15</v>
      </c>
      <c r="G1666">
        <v>136.62</v>
      </c>
    </row>
    <row r="1667" spans="1:7" hidden="1" x14ac:dyDescent="0.25">
      <c r="A1667" t="s">
        <v>660</v>
      </c>
      <c r="B1667">
        <v>1863</v>
      </c>
      <c r="C1667" t="s">
        <v>2328</v>
      </c>
      <c r="D1667" t="s">
        <v>226</v>
      </c>
      <c r="E1667" t="s">
        <v>659</v>
      </c>
      <c r="F1667">
        <v>61.4</v>
      </c>
      <c r="G1667">
        <v>63.48</v>
      </c>
    </row>
    <row r="1668" spans="1:7" hidden="1" x14ac:dyDescent="0.25">
      <c r="A1668" t="s">
        <v>660</v>
      </c>
      <c r="B1668">
        <v>1865</v>
      </c>
      <c r="C1668" t="s">
        <v>2329</v>
      </c>
      <c r="D1668" t="s">
        <v>226</v>
      </c>
      <c r="E1668" t="s">
        <v>659</v>
      </c>
      <c r="F1668">
        <v>159.99</v>
      </c>
      <c r="G1668">
        <v>165.41</v>
      </c>
    </row>
    <row r="1669" spans="1:7" hidden="1" x14ac:dyDescent="0.25">
      <c r="A1669" t="s">
        <v>660</v>
      </c>
      <c r="B1669">
        <v>36355</v>
      </c>
      <c r="C1669" t="s">
        <v>2330</v>
      </c>
      <c r="D1669" t="s">
        <v>226</v>
      </c>
      <c r="E1669" t="s">
        <v>659</v>
      </c>
      <c r="F1669">
        <f>G1669</f>
        <v>10.78</v>
      </c>
      <c r="G1669">
        <v>10.78</v>
      </c>
    </row>
    <row r="1670" spans="1:7" hidden="1" x14ac:dyDescent="0.25">
      <c r="A1670" t="s">
        <v>660</v>
      </c>
      <c r="B1670">
        <v>36356</v>
      </c>
      <c r="C1670" t="s">
        <v>2331</v>
      </c>
      <c r="D1670" t="s">
        <v>226</v>
      </c>
      <c r="E1670" t="s">
        <v>659</v>
      </c>
      <c r="F1670">
        <f>G1670</f>
        <v>17.350000000000001</v>
      </c>
      <c r="G1670">
        <v>17.350000000000001</v>
      </c>
    </row>
    <row r="1671" spans="1:7" hidden="1" x14ac:dyDescent="0.25">
      <c r="A1671" t="s">
        <v>660</v>
      </c>
      <c r="B1671">
        <v>1940</v>
      </c>
      <c r="C1671" t="s">
        <v>2332</v>
      </c>
      <c r="D1671" t="s">
        <v>226</v>
      </c>
      <c r="E1671" t="s">
        <v>659</v>
      </c>
      <c r="F1671">
        <v>34.090000000000003</v>
      </c>
      <c r="G1671">
        <v>34.89</v>
      </c>
    </row>
    <row r="1672" spans="1:7" hidden="1" x14ac:dyDescent="0.25">
      <c r="A1672" t="s">
        <v>660</v>
      </c>
      <c r="B1672">
        <v>1939</v>
      </c>
      <c r="C1672" t="s">
        <v>2333</v>
      </c>
      <c r="D1672" t="s">
        <v>226</v>
      </c>
      <c r="E1672" t="s">
        <v>659</v>
      </c>
      <c r="F1672">
        <v>9.35</v>
      </c>
      <c r="G1672">
        <v>9.57</v>
      </c>
    </row>
    <row r="1673" spans="1:7" hidden="1" x14ac:dyDescent="0.25">
      <c r="A1673" t="s">
        <v>660</v>
      </c>
      <c r="B1673">
        <v>1937</v>
      </c>
      <c r="C1673" t="s">
        <v>2334</v>
      </c>
      <c r="D1673" t="s">
        <v>226</v>
      </c>
      <c r="E1673" t="s">
        <v>659</v>
      </c>
      <c r="F1673">
        <v>5.75</v>
      </c>
      <c r="G1673">
        <v>5.89</v>
      </c>
    </row>
    <row r="1674" spans="1:7" hidden="1" x14ac:dyDescent="0.25">
      <c r="A1674" t="s">
        <v>660</v>
      </c>
      <c r="B1674">
        <v>1938</v>
      </c>
      <c r="C1674" t="s">
        <v>2335</v>
      </c>
      <c r="D1674" t="s">
        <v>226</v>
      </c>
      <c r="E1674" t="s">
        <v>659</v>
      </c>
      <c r="F1674">
        <v>6.54</v>
      </c>
      <c r="G1674">
        <v>6.69</v>
      </c>
    </row>
    <row r="1675" spans="1:7" hidden="1" x14ac:dyDescent="0.25">
      <c r="A1675" t="s">
        <v>660</v>
      </c>
      <c r="B1675">
        <v>1966</v>
      </c>
      <c r="C1675" t="s">
        <v>2336</v>
      </c>
      <c r="D1675" t="s">
        <v>226</v>
      </c>
      <c r="E1675" t="s">
        <v>659</v>
      </c>
      <c r="F1675">
        <v>24.49</v>
      </c>
      <c r="G1675">
        <v>25.31</v>
      </c>
    </row>
    <row r="1676" spans="1:7" hidden="1" x14ac:dyDescent="0.25">
      <c r="A1676" t="s">
        <v>660</v>
      </c>
      <c r="B1676">
        <v>1933</v>
      </c>
      <c r="C1676" t="s">
        <v>2337</v>
      </c>
      <c r="D1676" t="s">
        <v>226</v>
      </c>
      <c r="E1676" t="s">
        <v>659</v>
      </c>
      <c r="F1676">
        <v>5.28</v>
      </c>
      <c r="G1676">
        <v>5.45</v>
      </c>
    </row>
    <row r="1677" spans="1:7" hidden="1" x14ac:dyDescent="0.25">
      <c r="A1677" t="s">
        <v>660</v>
      </c>
      <c r="B1677">
        <v>1932</v>
      </c>
      <c r="C1677" t="s">
        <v>2338</v>
      </c>
      <c r="D1677" t="s">
        <v>226</v>
      </c>
      <c r="E1677" t="s">
        <v>659</v>
      </c>
      <c r="F1677">
        <v>12.08</v>
      </c>
      <c r="G1677">
        <v>12.48</v>
      </c>
    </row>
    <row r="1678" spans="1:7" hidden="1" x14ac:dyDescent="0.25">
      <c r="A1678" t="s">
        <v>660</v>
      </c>
      <c r="B1678">
        <v>1951</v>
      </c>
      <c r="C1678" t="s">
        <v>2339</v>
      </c>
      <c r="D1678" t="s">
        <v>226</v>
      </c>
      <c r="E1678" t="s">
        <v>659</v>
      </c>
      <c r="F1678">
        <v>25.19</v>
      </c>
      <c r="G1678">
        <v>26.05</v>
      </c>
    </row>
    <row r="1679" spans="1:7" hidden="1" x14ac:dyDescent="0.25">
      <c r="A1679" t="s">
        <v>660</v>
      </c>
      <c r="B1679">
        <v>1970</v>
      </c>
      <c r="C1679" t="s">
        <v>2340</v>
      </c>
      <c r="D1679" t="s">
        <v>226</v>
      </c>
      <c r="E1679" t="s">
        <v>659</v>
      </c>
      <c r="F1679">
        <v>61.21</v>
      </c>
      <c r="G1679">
        <v>63.28</v>
      </c>
    </row>
    <row r="1680" spans="1:7" hidden="1" x14ac:dyDescent="0.25">
      <c r="A1680" t="s">
        <v>660</v>
      </c>
      <c r="B1680">
        <v>1967</v>
      </c>
      <c r="C1680" t="s">
        <v>2341</v>
      </c>
      <c r="D1680" t="s">
        <v>226</v>
      </c>
      <c r="E1680" t="s">
        <v>659</v>
      </c>
      <c r="F1680">
        <v>7.27</v>
      </c>
      <c r="G1680">
        <v>7.51</v>
      </c>
    </row>
    <row r="1681" spans="1:7" hidden="1" x14ac:dyDescent="0.25">
      <c r="A1681" t="s">
        <v>660</v>
      </c>
      <c r="B1681">
        <v>1968</v>
      </c>
      <c r="C1681" t="s">
        <v>2342</v>
      </c>
      <c r="D1681" t="s">
        <v>226</v>
      </c>
      <c r="E1681" t="s">
        <v>659</v>
      </c>
      <c r="F1681">
        <v>14.36</v>
      </c>
      <c r="G1681">
        <v>14.85</v>
      </c>
    </row>
    <row r="1682" spans="1:7" hidden="1" x14ac:dyDescent="0.25">
      <c r="A1682" t="s">
        <v>660</v>
      </c>
      <c r="B1682">
        <v>1969</v>
      </c>
      <c r="C1682" t="s">
        <v>2343</v>
      </c>
      <c r="D1682" t="s">
        <v>226</v>
      </c>
      <c r="E1682" t="s">
        <v>659</v>
      </c>
      <c r="F1682">
        <v>46.76</v>
      </c>
      <c r="G1682">
        <v>48.35</v>
      </c>
    </row>
    <row r="1683" spans="1:7" hidden="1" x14ac:dyDescent="0.25">
      <c r="A1683" t="s">
        <v>660</v>
      </c>
      <c r="B1683">
        <v>1827</v>
      </c>
      <c r="C1683" t="s">
        <v>2344</v>
      </c>
      <c r="D1683" t="s">
        <v>226</v>
      </c>
      <c r="E1683" t="s">
        <v>659</v>
      </c>
      <c r="F1683">
        <v>162.22999999999999</v>
      </c>
      <c r="G1683">
        <v>167.2</v>
      </c>
    </row>
    <row r="1684" spans="1:7" hidden="1" x14ac:dyDescent="0.25">
      <c r="A1684" t="s">
        <v>660</v>
      </c>
      <c r="B1684">
        <v>1831</v>
      </c>
      <c r="C1684" t="s">
        <v>2345</v>
      </c>
      <c r="D1684" t="s">
        <v>226</v>
      </c>
      <c r="E1684" t="s">
        <v>659</v>
      </c>
      <c r="F1684">
        <v>35.409999999999997</v>
      </c>
      <c r="G1684">
        <v>36.5</v>
      </c>
    </row>
    <row r="1685" spans="1:7" hidden="1" x14ac:dyDescent="0.25">
      <c r="A1685" t="s">
        <v>660</v>
      </c>
      <c r="B1685">
        <v>1825</v>
      </c>
      <c r="C1685" t="s">
        <v>2346</v>
      </c>
      <c r="D1685" t="s">
        <v>226</v>
      </c>
      <c r="E1685" t="s">
        <v>659</v>
      </c>
      <c r="F1685">
        <v>87.4</v>
      </c>
      <c r="G1685">
        <v>90.08</v>
      </c>
    </row>
    <row r="1686" spans="1:7" hidden="1" x14ac:dyDescent="0.25">
      <c r="A1686" t="s">
        <v>660</v>
      </c>
      <c r="B1686">
        <v>1828</v>
      </c>
      <c r="C1686" t="s">
        <v>2347</v>
      </c>
      <c r="D1686" t="s">
        <v>226</v>
      </c>
      <c r="E1686" t="s">
        <v>659</v>
      </c>
      <c r="F1686">
        <v>197.97</v>
      </c>
      <c r="G1686">
        <v>204.04</v>
      </c>
    </row>
    <row r="1687" spans="1:7" hidden="1" x14ac:dyDescent="0.25">
      <c r="A1687" t="s">
        <v>660</v>
      </c>
      <c r="B1687">
        <v>1845</v>
      </c>
      <c r="C1687" t="s">
        <v>2348</v>
      </c>
      <c r="D1687" t="s">
        <v>226</v>
      </c>
      <c r="E1687" t="s">
        <v>659</v>
      </c>
      <c r="F1687">
        <v>44.38</v>
      </c>
      <c r="G1687">
        <v>45.74</v>
      </c>
    </row>
    <row r="1688" spans="1:7" hidden="1" x14ac:dyDescent="0.25">
      <c r="A1688" t="s">
        <v>660</v>
      </c>
      <c r="B1688">
        <v>1824</v>
      </c>
      <c r="C1688" t="s">
        <v>2349</v>
      </c>
      <c r="D1688" t="s">
        <v>226</v>
      </c>
      <c r="E1688" t="s">
        <v>659</v>
      </c>
      <c r="F1688">
        <v>104.78</v>
      </c>
      <c r="G1688">
        <v>107.99</v>
      </c>
    </row>
    <row r="1689" spans="1:7" hidden="1" x14ac:dyDescent="0.25">
      <c r="A1689" t="s">
        <v>660</v>
      </c>
      <c r="B1689">
        <v>42693</v>
      </c>
      <c r="C1689" t="s">
        <v>2350</v>
      </c>
      <c r="D1689" t="s">
        <v>226</v>
      </c>
      <c r="E1689" t="s">
        <v>659</v>
      </c>
      <c r="F1689">
        <v>449.44</v>
      </c>
      <c r="G1689">
        <v>464.66</v>
      </c>
    </row>
    <row r="1690" spans="1:7" hidden="1" x14ac:dyDescent="0.25">
      <c r="A1690" t="s">
        <v>660</v>
      </c>
      <c r="B1690">
        <v>42695</v>
      </c>
      <c r="C1690" t="s">
        <v>2351</v>
      </c>
      <c r="D1690" t="s">
        <v>226</v>
      </c>
      <c r="E1690" t="s">
        <v>659</v>
      </c>
      <c r="F1690">
        <v>314</v>
      </c>
      <c r="G1690">
        <v>324.63</v>
      </c>
    </row>
    <row r="1691" spans="1:7" hidden="1" x14ac:dyDescent="0.25">
      <c r="A1691" t="s">
        <v>660</v>
      </c>
      <c r="B1691">
        <v>42694</v>
      </c>
      <c r="C1691" t="s">
        <v>2352</v>
      </c>
      <c r="D1691" t="s">
        <v>226</v>
      </c>
      <c r="E1691" t="s">
        <v>659</v>
      </c>
      <c r="F1691">
        <v>601.44000000000005</v>
      </c>
      <c r="G1691">
        <v>621.80999999999995</v>
      </c>
    </row>
    <row r="1692" spans="1:7" hidden="1" x14ac:dyDescent="0.25">
      <c r="A1692" t="s">
        <v>660</v>
      </c>
      <c r="B1692">
        <v>20097</v>
      </c>
      <c r="C1692" t="s">
        <v>2353</v>
      </c>
      <c r="D1692" t="s">
        <v>226</v>
      </c>
      <c r="E1692" t="s">
        <v>659</v>
      </c>
      <c r="F1692">
        <v>26.08</v>
      </c>
      <c r="G1692">
        <v>26.96</v>
      </c>
    </row>
    <row r="1693" spans="1:7" hidden="1" x14ac:dyDescent="0.25">
      <c r="A1693" t="s">
        <v>660</v>
      </c>
      <c r="B1693">
        <v>20098</v>
      </c>
      <c r="C1693" t="s">
        <v>2354</v>
      </c>
      <c r="D1693" t="s">
        <v>226</v>
      </c>
      <c r="E1693" t="s">
        <v>659</v>
      </c>
      <c r="F1693">
        <v>106.58</v>
      </c>
      <c r="G1693">
        <v>110.19</v>
      </c>
    </row>
    <row r="1694" spans="1:7" hidden="1" x14ac:dyDescent="0.25">
      <c r="A1694" t="s">
        <v>660</v>
      </c>
      <c r="B1694">
        <v>20096</v>
      </c>
      <c r="C1694" t="s">
        <v>2355</v>
      </c>
      <c r="D1694" t="s">
        <v>226</v>
      </c>
      <c r="E1694" t="s">
        <v>659</v>
      </c>
      <c r="F1694">
        <v>26.99</v>
      </c>
      <c r="G1694">
        <v>27.91</v>
      </c>
    </row>
    <row r="1695" spans="1:7" hidden="1" x14ac:dyDescent="0.25">
      <c r="A1695" t="s">
        <v>842</v>
      </c>
      <c r="B1695">
        <v>44472</v>
      </c>
      <c r="C1695" t="s">
        <v>2356</v>
      </c>
      <c r="D1695" t="s">
        <v>226</v>
      </c>
      <c r="E1695" t="s">
        <v>659</v>
      </c>
      <c r="F1695">
        <f>G1695</f>
        <v>50.25</v>
      </c>
      <c r="G1695">
        <v>50.25</v>
      </c>
    </row>
    <row r="1696" spans="1:7" hidden="1" x14ac:dyDescent="0.25">
      <c r="A1696" t="s">
        <v>660</v>
      </c>
      <c r="B1696">
        <v>38369</v>
      </c>
      <c r="C1696" t="s">
        <v>2357</v>
      </c>
      <c r="D1696" t="s">
        <v>226</v>
      </c>
      <c r="E1696" t="s">
        <v>659</v>
      </c>
      <c r="F1696">
        <v>23.1</v>
      </c>
      <c r="G1696">
        <v>19.97</v>
      </c>
    </row>
    <row r="1697" spans="1:7" hidden="1" x14ac:dyDescent="0.25">
      <c r="A1697" t="s">
        <v>660</v>
      </c>
      <c r="B1697">
        <v>38370</v>
      </c>
      <c r="C1697" t="s">
        <v>2358</v>
      </c>
      <c r="D1697" t="s">
        <v>226</v>
      </c>
      <c r="E1697" t="s">
        <v>659</v>
      </c>
      <c r="F1697">
        <v>15.58</v>
      </c>
      <c r="G1697">
        <v>13.47</v>
      </c>
    </row>
    <row r="1698" spans="1:7" hidden="1" x14ac:dyDescent="0.25">
      <c r="A1698" t="s">
        <v>660</v>
      </c>
      <c r="B1698">
        <v>45199</v>
      </c>
      <c r="C1698" t="s">
        <v>2359</v>
      </c>
      <c r="D1698" t="s">
        <v>226</v>
      </c>
      <c r="E1698" t="s">
        <v>659</v>
      </c>
      <c r="F1698">
        <v>35.74</v>
      </c>
      <c r="G1698">
        <v>34.1</v>
      </c>
    </row>
    <row r="1699" spans="1:7" hidden="1" x14ac:dyDescent="0.25">
      <c r="A1699" t="s">
        <v>660</v>
      </c>
      <c r="B1699">
        <v>38372</v>
      </c>
      <c r="C1699" t="s">
        <v>2360</v>
      </c>
      <c r="D1699" t="s">
        <v>226</v>
      </c>
      <c r="E1699" t="s">
        <v>659</v>
      </c>
      <c r="F1699">
        <v>13.24</v>
      </c>
      <c r="G1699">
        <v>13.37</v>
      </c>
    </row>
    <row r="1700" spans="1:7" hidden="1" x14ac:dyDescent="0.25">
      <c r="A1700" t="s">
        <v>807</v>
      </c>
      <c r="B1700">
        <v>2358</v>
      </c>
      <c r="C1700" t="s">
        <v>2361</v>
      </c>
      <c r="D1700" t="s">
        <v>809</v>
      </c>
      <c r="E1700" t="s">
        <v>659</v>
      </c>
      <c r="F1700">
        <v>21.08</v>
      </c>
      <c r="G1700">
        <v>28.81</v>
      </c>
    </row>
    <row r="1701" spans="1:7" hidden="1" x14ac:dyDescent="0.25">
      <c r="A1701" t="s">
        <v>807</v>
      </c>
      <c r="B1701">
        <v>40807</v>
      </c>
      <c r="C1701" t="s">
        <v>2362</v>
      </c>
      <c r="D1701" t="s">
        <v>811</v>
      </c>
      <c r="E1701" t="s">
        <v>659</v>
      </c>
      <c r="F1701" s="538">
        <v>4639.3100000000004</v>
      </c>
      <c r="G1701" s="538">
        <v>6338.87</v>
      </c>
    </row>
    <row r="1702" spans="1:7" hidden="1" x14ac:dyDescent="0.25">
      <c r="A1702" t="s">
        <v>660</v>
      </c>
      <c r="B1702">
        <v>44330</v>
      </c>
      <c r="C1702" t="s">
        <v>2363</v>
      </c>
      <c r="D1702" t="s">
        <v>710</v>
      </c>
      <c r="E1702" t="s">
        <v>659</v>
      </c>
      <c r="F1702">
        <v>13.04</v>
      </c>
      <c r="G1702">
        <v>10.66</v>
      </c>
    </row>
    <row r="1703" spans="1:7" hidden="1" x14ac:dyDescent="0.25">
      <c r="A1703" t="s">
        <v>660</v>
      </c>
      <c r="B1703">
        <v>43144</v>
      </c>
      <c r="C1703" t="s">
        <v>2364</v>
      </c>
      <c r="D1703" t="s">
        <v>708</v>
      </c>
      <c r="E1703" t="s">
        <v>659</v>
      </c>
      <c r="F1703">
        <v>33.65</v>
      </c>
      <c r="G1703">
        <v>38.299999999999997</v>
      </c>
    </row>
    <row r="1704" spans="1:7" hidden="1" x14ac:dyDescent="0.25">
      <c r="A1704" t="s">
        <v>660</v>
      </c>
      <c r="B1704">
        <v>39397</v>
      </c>
      <c r="C1704" t="s">
        <v>2365</v>
      </c>
      <c r="D1704" t="s">
        <v>710</v>
      </c>
      <c r="E1704" t="s">
        <v>659</v>
      </c>
      <c r="F1704">
        <v>15.34</v>
      </c>
      <c r="G1704">
        <v>17.46</v>
      </c>
    </row>
    <row r="1705" spans="1:7" hidden="1" x14ac:dyDescent="0.25">
      <c r="A1705" t="s">
        <v>660</v>
      </c>
      <c r="B1705">
        <v>2692</v>
      </c>
      <c r="C1705" t="s">
        <v>2366</v>
      </c>
      <c r="D1705" t="s">
        <v>710</v>
      </c>
      <c r="E1705" t="s">
        <v>659</v>
      </c>
      <c r="F1705">
        <v>6.19</v>
      </c>
      <c r="G1705">
        <v>7.04</v>
      </c>
    </row>
    <row r="1706" spans="1:7" hidden="1" x14ac:dyDescent="0.25">
      <c r="A1706" t="s">
        <v>842</v>
      </c>
      <c r="B1706">
        <v>45299</v>
      </c>
      <c r="C1706" t="s">
        <v>2367</v>
      </c>
      <c r="D1706" t="s">
        <v>226</v>
      </c>
      <c r="E1706" t="s">
        <v>659</v>
      </c>
      <c r="F1706">
        <v>89.13</v>
      </c>
      <c r="G1706">
        <v>74.56</v>
      </c>
    </row>
    <row r="1707" spans="1:7" hidden="1" x14ac:dyDescent="0.25">
      <c r="A1707" t="s">
        <v>660</v>
      </c>
      <c r="B1707">
        <v>44329</v>
      </c>
      <c r="C1707" t="s">
        <v>2368</v>
      </c>
      <c r="D1707" t="s">
        <v>710</v>
      </c>
      <c r="E1707" t="s">
        <v>659</v>
      </c>
      <c r="F1707">
        <v>17.09</v>
      </c>
      <c r="G1707">
        <v>13.98</v>
      </c>
    </row>
    <row r="1708" spans="1:7" hidden="1" x14ac:dyDescent="0.25">
      <c r="A1708" t="s">
        <v>660</v>
      </c>
      <c r="B1708">
        <v>5318</v>
      </c>
      <c r="C1708" t="s">
        <v>2369</v>
      </c>
      <c r="D1708" t="s">
        <v>710</v>
      </c>
      <c r="E1708" t="s">
        <v>172</v>
      </c>
      <c r="F1708">
        <v>27.64</v>
      </c>
      <c r="G1708">
        <v>22.6</v>
      </c>
    </row>
    <row r="1709" spans="1:7" hidden="1" x14ac:dyDescent="0.25">
      <c r="A1709" t="s">
        <v>660</v>
      </c>
      <c r="B1709">
        <v>5330</v>
      </c>
      <c r="C1709" t="s">
        <v>2370</v>
      </c>
      <c r="D1709" t="s">
        <v>710</v>
      </c>
      <c r="E1709" t="s">
        <v>659</v>
      </c>
      <c r="F1709">
        <v>63</v>
      </c>
      <c r="G1709">
        <v>51.51</v>
      </c>
    </row>
    <row r="1710" spans="1:7" hidden="1" x14ac:dyDescent="0.25">
      <c r="A1710" t="s">
        <v>660</v>
      </c>
      <c r="B1710">
        <v>44532</v>
      </c>
      <c r="C1710" t="s">
        <v>2371</v>
      </c>
      <c r="D1710" t="s">
        <v>226</v>
      </c>
      <c r="E1710" t="s">
        <v>659</v>
      </c>
      <c r="F1710">
        <v>23.69</v>
      </c>
      <c r="G1710">
        <v>20.48</v>
      </c>
    </row>
    <row r="1711" spans="1:7" hidden="1" x14ac:dyDescent="0.25">
      <c r="A1711" t="s">
        <v>660</v>
      </c>
      <c r="B1711">
        <v>44531</v>
      </c>
      <c r="C1711" t="s">
        <v>2372</v>
      </c>
      <c r="D1711" t="s">
        <v>226</v>
      </c>
      <c r="E1711" t="s">
        <v>659</v>
      </c>
      <c r="F1711">
        <v>81.23</v>
      </c>
      <c r="G1711">
        <v>70.209999999999994</v>
      </c>
    </row>
    <row r="1712" spans="1:7" hidden="1" x14ac:dyDescent="0.25">
      <c r="A1712" t="s">
        <v>660</v>
      </c>
      <c r="B1712">
        <v>13887</v>
      </c>
      <c r="C1712" t="s">
        <v>2373</v>
      </c>
      <c r="D1712" t="s">
        <v>226</v>
      </c>
      <c r="E1712" t="s">
        <v>659</v>
      </c>
      <c r="F1712">
        <v>353.85</v>
      </c>
      <c r="G1712">
        <v>305.88</v>
      </c>
    </row>
    <row r="1713" spans="1:7" hidden="1" x14ac:dyDescent="0.25">
      <c r="A1713" t="s">
        <v>660</v>
      </c>
      <c r="B1713">
        <v>38140</v>
      </c>
      <c r="C1713" t="s">
        <v>2374</v>
      </c>
      <c r="D1713" t="s">
        <v>226</v>
      </c>
      <c r="E1713" t="s">
        <v>659</v>
      </c>
      <c r="F1713">
        <v>28.98</v>
      </c>
      <c r="G1713">
        <v>25.05</v>
      </c>
    </row>
    <row r="1714" spans="1:7" hidden="1" x14ac:dyDescent="0.25">
      <c r="A1714" t="s">
        <v>660</v>
      </c>
      <c r="B1714">
        <v>44495</v>
      </c>
      <c r="C1714" t="s">
        <v>2375</v>
      </c>
      <c r="D1714" t="s">
        <v>226</v>
      </c>
      <c r="E1714" t="s">
        <v>659</v>
      </c>
      <c r="F1714">
        <v>30.64</v>
      </c>
      <c r="G1714">
        <v>26.49</v>
      </c>
    </row>
    <row r="1715" spans="1:7" hidden="1" x14ac:dyDescent="0.25">
      <c r="A1715" t="s">
        <v>660</v>
      </c>
      <c r="B1715">
        <v>44533</v>
      </c>
      <c r="C1715" t="s">
        <v>2376</v>
      </c>
      <c r="D1715" t="s">
        <v>226</v>
      </c>
      <c r="E1715" t="s">
        <v>659</v>
      </c>
      <c r="F1715">
        <v>31.09</v>
      </c>
      <c r="G1715">
        <v>26.87</v>
      </c>
    </row>
    <row r="1716" spans="1:7" hidden="1" x14ac:dyDescent="0.25">
      <c r="A1716" t="s">
        <v>660</v>
      </c>
      <c r="B1716">
        <v>44534</v>
      </c>
      <c r="C1716" t="s">
        <v>2377</v>
      </c>
      <c r="D1716" t="s">
        <v>226</v>
      </c>
      <c r="E1716" t="s">
        <v>659</v>
      </c>
      <c r="F1716">
        <v>6.1</v>
      </c>
      <c r="G1716">
        <v>5.27</v>
      </c>
    </row>
    <row r="1717" spans="1:7" hidden="1" x14ac:dyDescent="0.25">
      <c r="A1717" t="s">
        <v>660</v>
      </c>
      <c r="B1717">
        <v>34729</v>
      </c>
      <c r="C1717" t="s">
        <v>2378</v>
      </c>
      <c r="D1717" t="s">
        <v>226</v>
      </c>
      <c r="E1717" t="s">
        <v>659</v>
      </c>
      <c r="F1717" s="538">
        <v>1457.72</v>
      </c>
      <c r="G1717" s="538">
        <v>1066.6500000000001</v>
      </c>
    </row>
    <row r="1718" spans="1:7" hidden="1" x14ac:dyDescent="0.25">
      <c r="A1718" t="s">
        <v>660</v>
      </c>
      <c r="B1718">
        <v>34734</v>
      </c>
      <c r="C1718" t="s">
        <v>2379</v>
      </c>
      <c r="D1718" t="s">
        <v>226</v>
      </c>
      <c r="E1718" t="s">
        <v>659</v>
      </c>
      <c r="F1718" s="538">
        <v>2257.0100000000002</v>
      </c>
      <c r="G1718" s="538">
        <v>1651.51</v>
      </c>
    </row>
    <row r="1719" spans="1:7" hidden="1" x14ac:dyDescent="0.25">
      <c r="A1719" t="s">
        <v>660</v>
      </c>
      <c r="B1719">
        <v>34738</v>
      </c>
      <c r="C1719" t="s">
        <v>2380</v>
      </c>
      <c r="D1719" t="s">
        <v>226</v>
      </c>
      <c r="E1719" t="s">
        <v>659</v>
      </c>
      <c r="F1719" s="538">
        <v>5273.09</v>
      </c>
      <c r="G1719" s="538">
        <v>3858.45</v>
      </c>
    </row>
    <row r="1720" spans="1:7" hidden="1" x14ac:dyDescent="0.25">
      <c r="A1720" t="s">
        <v>660</v>
      </c>
      <c r="B1720">
        <v>34623</v>
      </c>
      <c r="C1720" t="s">
        <v>2381</v>
      </c>
      <c r="D1720" t="s">
        <v>226</v>
      </c>
      <c r="E1720" t="s">
        <v>659</v>
      </c>
      <c r="F1720">
        <v>63.19</v>
      </c>
      <c r="G1720">
        <v>46.24</v>
      </c>
    </row>
    <row r="1721" spans="1:7" hidden="1" x14ac:dyDescent="0.25">
      <c r="A1721" t="s">
        <v>660</v>
      </c>
      <c r="B1721">
        <v>34616</v>
      </c>
      <c r="C1721" t="s">
        <v>2382</v>
      </c>
      <c r="D1721" t="s">
        <v>226</v>
      </c>
      <c r="E1721" t="s">
        <v>659</v>
      </c>
      <c r="F1721">
        <v>64.17</v>
      </c>
      <c r="G1721">
        <v>46.96</v>
      </c>
    </row>
    <row r="1722" spans="1:7" hidden="1" x14ac:dyDescent="0.25">
      <c r="A1722" t="s">
        <v>660</v>
      </c>
      <c r="B1722">
        <v>34628</v>
      </c>
      <c r="C1722" t="s">
        <v>2383</v>
      </c>
      <c r="D1722" t="s">
        <v>226</v>
      </c>
      <c r="E1722" t="s">
        <v>659</v>
      </c>
      <c r="F1722">
        <v>90.51</v>
      </c>
      <c r="G1722">
        <v>66.23</v>
      </c>
    </row>
    <row r="1723" spans="1:7" hidden="1" x14ac:dyDescent="0.25">
      <c r="A1723" t="s">
        <v>660</v>
      </c>
      <c r="B1723">
        <v>34686</v>
      </c>
      <c r="C1723" t="s">
        <v>2384</v>
      </c>
      <c r="D1723" t="s">
        <v>226</v>
      </c>
      <c r="E1723" t="s">
        <v>659</v>
      </c>
      <c r="F1723">
        <v>16.600000000000001</v>
      </c>
      <c r="G1723">
        <v>12.14</v>
      </c>
    </row>
    <row r="1724" spans="1:7" hidden="1" x14ac:dyDescent="0.25">
      <c r="A1724" t="s">
        <v>660</v>
      </c>
      <c r="B1724">
        <v>34653</v>
      </c>
      <c r="C1724" t="s">
        <v>2385</v>
      </c>
      <c r="D1724" t="s">
        <v>226</v>
      </c>
      <c r="E1724" t="s">
        <v>659</v>
      </c>
      <c r="F1724">
        <v>11.19</v>
      </c>
      <c r="G1724">
        <v>8.19</v>
      </c>
    </row>
    <row r="1725" spans="1:7" hidden="1" x14ac:dyDescent="0.25">
      <c r="A1725" t="s">
        <v>660</v>
      </c>
      <c r="B1725">
        <v>34688</v>
      </c>
      <c r="C1725" t="s">
        <v>2386</v>
      </c>
      <c r="D1725" t="s">
        <v>226</v>
      </c>
      <c r="E1725" t="s">
        <v>659</v>
      </c>
      <c r="F1725">
        <v>20.29</v>
      </c>
      <c r="G1725">
        <v>14.84</v>
      </c>
    </row>
    <row r="1726" spans="1:7" hidden="1" x14ac:dyDescent="0.25">
      <c r="A1726" t="s">
        <v>660</v>
      </c>
      <c r="B1726">
        <v>34709</v>
      </c>
      <c r="C1726" t="s">
        <v>2387</v>
      </c>
      <c r="D1726" t="s">
        <v>226</v>
      </c>
      <c r="E1726" t="s">
        <v>659</v>
      </c>
      <c r="F1726">
        <v>78.63</v>
      </c>
      <c r="G1726">
        <v>57.53</v>
      </c>
    </row>
    <row r="1727" spans="1:7" hidden="1" x14ac:dyDescent="0.25">
      <c r="A1727" t="s">
        <v>660</v>
      </c>
      <c r="B1727">
        <v>34714</v>
      </c>
      <c r="C1727" t="s">
        <v>2388</v>
      </c>
      <c r="D1727" t="s">
        <v>226</v>
      </c>
      <c r="E1727" t="s">
        <v>659</v>
      </c>
      <c r="F1727">
        <v>93.91</v>
      </c>
      <c r="G1727">
        <v>68.709999999999994</v>
      </c>
    </row>
    <row r="1728" spans="1:7" hidden="1" x14ac:dyDescent="0.25">
      <c r="A1728" t="s">
        <v>660</v>
      </c>
      <c r="B1728">
        <v>2391</v>
      </c>
      <c r="C1728" t="s">
        <v>2389</v>
      </c>
      <c r="D1728" t="s">
        <v>226</v>
      </c>
      <c r="E1728" t="s">
        <v>659</v>
      </c>
      <c r="F1728">
        <v>428.87</v>
      </c>
      <c r="G1728">
        <v>313.82</v>
      </c>
    </row>
    <row r="1729" spans="1:7" hidden="1" x14ac:dyDescent="0.25">
      <c r="A1729" t="s">
        <v>660</v>
      </c>
      <c r="B1729">
        <v>2374</v>
      </c>
      <c r="C1729" t="s">
        <v>2390</v>
      </c>
      <c r="D1729" t="s">
        <v>226</v>
      </c>
      <c r="E1729" t="s">
        <v>659</v>
      </c>
      <c r="F1729">
        <v>486.55</v>
      </c>
      <c r="G1729">
        <v>356.02</v>
      </c>
    </row>
    <row r="1730" spans="1:7" hidden="1" x14ac:dyDescent="0.25">
      <c r="A1730" t="s">
        <v>660</v>
      </c>
      <c r="B1730">
        <v>2377</v>
      </c>
      <c r="C1730" t="s">
        <v>2391</v>
      </c>
      <c r="D1730" t="s">
        <v>226</v>
      </c>
      <c r="E1730" t="s">
        <v>659</v>
      </c>
      <c r="F1730">
        <v>682.82</v>
      </c>
      <c r="G1730">
        <v>499.63</v>
      </c>
    </row>
    <row r="1731" spans="1:7" hidden="1" x14ac:dyDescent="0.25">
      <c r="A1731" t="s">
        <v>660</v>
      </c>
      <c r="B1731">
        <v>2393</v>
      </c>
      <c r="C1731" t="s">
        <v>2392</v>
      </c>
      <c r="D1731" t="s">
        <v>226</v>
      </c>
      <c r="E1731" t="s">
        <v>659</v>
      </c>
      <c r="F1731" s="538">
        <v>1143.47</v>
      </c>
      <c r="G1731">
        <v>836.7</v>
      </c>
    </row>
    <row r="1732" spans="1:7" hidden="1" x14ac:dyDescent="0.25">
      <c r="A1732" t="s">
        <v>660</v>
      </c>
      <c r="B1732">
        <v>34705</v>
      </c>
      <c r="C1732" t="s">
        <v>2393</v>
      </c>
      <c r="D1732" t="s">
        <v>226</v>
      </c>
      <c r="E1732" t="s">
        <v>659</v>
      </c>
      <c r="F1732" s="538">
        <v>1000.13</v>
      </c>
      <c r="G1732">
        <v>731.82</v>
      </c>
    </row>
    <row r="1733" spans="1:7" hidden="1" x14ac:dyDescent="0.25">
      <c r="A1733" t="s">
        <v>660</v>
      </c>
      <c r="B1733">
        <v>34707</v>
      </c>
      <c r="C1733" t="s">
        <v>2394</v>
      </c>
      <c r="D1733" t="s">
        <v>226</v>
      </c>
      <c r="E1733" t="s">
        <v>659</v>
      </c>
      <c r="F1733" s="538">
        <v>1853.25</v>
      </c>
      <c r="G1733" s="538">
        <v>1356.07</v>
      </c>
    </row>
    <row r="1734" spans="1:7" hidden="1" x14ac:dyDescent="0.25">
      <c r="A1734" t="s">
        <v>660</v>
      </c>
      <c r="B1734">
        <v>34544</v>
      </c>
      <c r="C1734" t="s">
        <v>2395</v>
      </c>
      <c r="D1734" t="s">
        <v>226</v>
      </c>
      <c r="E1734" t="s">
        <v>659</v>
      </c>
      <c r="F1734" s="538">
        <v>1853.06</v>
      </c>
      <c r="G1734" s="538">
        <v>1355.93</v>
      </c>
    </row>
    <row r="1735" spans="1:7" hidden="1" x14ac:dyDescent="0.25">
      <c r="A1735" t="s">
        <v>660</v>
      </c>
      <c r="B1735">
        <v>2378</v>
      </c>
      <c r="C1735" t="s">
        <v>2396</v>
      </c>
      <c r="D1735" t="s">
        <v>226</v>
      </c>
      <c r="E1735" t="s">
        <v>659</v>
      </c>
      <c r="F1735" s="538">
        <v>1570.71</v>
      </c>
      <c r="G1735" s="538">
        <v>1149.32</v>
      </c>
    </row>
    <row r="1736" spans="1:7" hidden="1" x14ac:dyDescent="0.25">
      <c r="A1736" t="s">
        <v>660</v>
      </c>
      <c r="B1736">
        <v>2379</v>
      </c>
      <c r="C1736" t="s">
        <v>2397</v>
      </c>
      <c r="D1736" t="s">
        <v>226</v>
      </c>
      <c r="E1736" t="s">
        <v>659</v>
      </c>
      <c r="F1736" s="538">
        <v>1570.71</v>
      </c>
      <c r="G1736" s="538">
        <v>1149.32</v>
      </c>
    </row>
    <row r="1737" spans="1:7" hidden="1" x14ac:dyDescent="0.25">
      <c r="A1737" t="s">
        <v>660</v>
      </c>
      <c r="B1737">
        <v>2376</v>
      </c>
      <c r="C1737" t="s">
        <v>2398</v>
      </c>
      <c r="D1737" t="s">
        <v>226</v>
      </c>
      <c r="E1737" t="s">
        <v>659</v>
      </c>
      <c r="F1737" s="538">
        <v>2586.94</v>
      </c>
      <c r="G1737" s="538">
        <v>1892.93</v>
      </c>
    </row>
    <row r="1738" spans="1:7" hidden="1" x14ac:dyDescent="0.25">
      <c r="A1738" t="s">
        <v>660</v>
      </c>
      <c r="B1738">
        <v>2394</v>
      </c>
      <c r="C1738" t="s">
        <v>2399</v>
      </c>
      <c r="D1738" t="s">
        <v>226</v>
      </c>
      <c r="E1738" t="s">
        <v>659</v>
      </c>
      <c r="F1738" s="538">
        <v>5530.41</v>
      </c>
      <c r="G1738" s="538">
        <v>4046.74</v>
      </c>
    </row>
    <row r="1739" spans="1:7" hidden="1" x14ac:dyDescent="0.25">
      <c r="A1739" t="s">
        <v>660</v>
      </c>
      <c r="B1739">
        <v>2388</v>
      </c>
      <c r="C1739" t="s">
        <v>2400</v>
      </c>
      <c r="D1739" t="s">
        <v>226</v>
      </c>
      <c r="E1739" t="s">
        <v>659</v>
      </c>
      <c r="F1739">
        <v>78.040000000000006</v>
      </c>
      <c r="G1739">
        <v>57.1</v>
      </c>
    </row>
    <row r="1740" spans="1:7" hidden="1" x14ac:dyDescent="0.25">
      <c r="A1740" t="s">
        <v>660</v>
      </c>
      <c r="B1740">
        <v>34606</v>
      </c>
      <c r="C1740" t="s">
        <v>2401</v>
      </c>
      <c r="D1740" t="s">
        <v>226</v>
      </c>
      <c r="E1740" t="s">
        <v>659</v>
      </c>
      <c r="F1740">
        <v>119.7</v>
      </c>
      <c r="G1740">
        <v>87.59</v>
      </c>
    </row>
    <row r="1741" spans="1:7" hidden="1" x14ac:dyDescent="0.25">
      <c r="A1741" t="s">
        <v>660</v>
      </c>
      <c r="B1741">
        <v>2370</v>
      </c>
      <c r="C1741" t="s">
        <v>2402</v>
      </c>
      <c r="D1741" t="s">
        <v>226</v>
      </c>
      <c r="E1741" t="s">
        <v>172</v>
      </c>
      <c r="F1741">
        <v>14.5</v>
      </c>
      <c r="G1741">
        <v>10.61</v>
      </c>
    </row>
    <row r="1742" spans="1:7" hidden="1" x14ac:dyDescent="0.25">
      <c r="A1742" t="s">
        <v>660</v>
      </c>
      <c r="B1742">
        <v>2386</v>
      </c>
      <c r="C1742" t="s">
        <v>2403</v>
      </c>
      <c r="D1742" t="s">
        <v>226</v>
      </c>
      <c r="E1742" t="s">
        <v>659</v>
      </c>
      <c r="F1742">
        <v>24.32</v>
      </c>
      <c r="G1742">
        <v>17.8</v>
      </c>
    </row>
    <row r="1743" spans="1:7" hidden="1" x14ac:dyDescent="0.25">
      <c r="A1743" t="s">
        <v>660</v>
      </c>
      <c r="B1743">
        <v>34689</v>
      </c>
      <c r="C1743" t="s">
        <v>2404</v>
      </c>
      <c r="D1743" t="s">
        <v>226</v>
      </c>
      <c r="E1743" t="s">
        <v>659</v>
      </c>
      <c r="F1743">
        <v>38.11</v>
      </c>
      <c r="G1743">
        <v>27.88</v>
      </c>
    </row>
    <row r="1744" spans="1:7" hidden="1" x14ac:dyDescent="0.25">
      <c r="A1744" t="s">
        <v>660</v>
      </c>
      <c r="B1744">
        <v>2392</v>
      </c>
      <c r="C1744" t="s">
        <v>2405</v>
      </c>
      <c r="D1744" t="s">
        <v>226</v>
      </c>
      <c r="E1744" t="s">
        <v>659</v>
      </c>
      <c r="F1744">
        <v>97.33</v>
      </c>
      <c r="G1744">
        <v>71.22</v>
      </c>
    </row>
    <row r="1745" spans="1:7" hidden="1" x14ac:dyDescent="0.25">
      <c r="A1745" t="s">
        <v>660</v>
      </c>
      <c r="B1745">
        <v>2373</v>
      </c>
      <c r="C1745" t="s">
        <v>2406</v>
      </c>
      <c r="D1745" t="s">
        <v>226</v>
      </c>
      <c r="E1745" t="s">
        <v>659</v>
      </c>
      <c r="F1745">
        <v>137.13999999999999</v>
      </c>
      <c r="G1745">
        <v>100.34</v>
      </c>
    </row>
    <row r="1746" spans="1:7" hidden="1" x14ac:dyDescent="0.25">
      <c r="A1746" t="s">
        <v>660</v>
      </c>
      <c r="B1746">
        <v>39465</v>
      </c>
      <c r="C1746" t="s">
        <v>2407</v>
      </c>
      <c r="D1746" t="s">
        <v>226</v>
      </c>
      <c r="E1746" t="s">
        <v>659</v>
      </c>
      <c r="F1746">
        <v>83.77</v>
      </c>
      <c r="G1746">
        <v>61.3</v>
      </c>
    </row>
    <row r="1747" spans="1:7" hidden="1" x14ac:dyDescent="0.25">
      <c r="A1747" t="s">
        <v>660</v>
      </c>
      <c r="B1747">
        <v>39466</v>
      </c>
      <c r="C1747" t="s">
        <v>2408</v>
      </c>
      <c r="D1747" t="s">
        <v>226</v>
      </c>
      <c r="E1747" t="s">
        <v>659</v>
      </c>
      <c r="F1747">
        <v>94.25</v>
      </c>
      <c r="G1747">
        <v>68.959999999999994</v>
      </c>
    </row>
    <row r="1748" spans="1:7" hidden="1" x14ac:dyDescent="0.25">
      <c r="A1748" t="s">
        <v>660</v>
      </c>
      <c r="B1748">
        <v>39467</v>
      </c>
      <c r="C1748" t="s">
        <v>2409</v>
      </c>
      <c r="D1748" t="s">
        <v>226</v>
      </c>
      <c r="E1748" t="s">
        <v>659</v>
      </c>
      <c r="F1748">
        <v>120.55</v>
      </c>
      <c r="G1748">
        <v>88.21</v>
      </c>
    </row>
    <row r="1749" spans="1:7" hidden="1" x14ac:dyDescent="0.25">
      <c r="A1749" t="s">
        <v>660</v>
      </c>
      <c r="B1749">
        <v>39468</v>
      </c>
      <c r="C1749" t="s">
        <v>2410</v>
      </c>
      <c r="D1749" t="s">
        <v>226</v>
      </c>
      <c r="E1749" t="s">
        <v>659</v>
      </c>
      <c r="F1749">
        <v>214.28</v>
      </c>
      <c r="G1749">
        <v>156.79</v>
      </c>
    </row>
    <row r="1750" spans="1:7" hidden="1" x14ac:dyDescent="0.25">
      <c r="A1750" t="s">
        <v>660</v>
      </c>
      <c r="B1750">
        <v>39469</v>
      </c>
      <c r="C1750" t="s">
        <v>2411</v>
      </c>
      <c r="D1750" t="s">
        <v>226</v>
      </c>
      <c r="E1750" t="s">
        <v>659</v>
      </c>
      <c r="F1750">
        <v>87.29</v>
      </c>
      <c r="G1750">
        <v>63.87</v>
      </c>
    </row>
    <row r="1751" spans="1:7" hidden="1" x14ac:dyDescent="0.25">
      <c r="A1751" t="s">
        <v>660</v>
      </c>
      <c r="B1751">
        <v>39470</v>
      </c>
      <c r="C1751" t="s">
        <v>2412</v>
      </c>
      <c r="D1751" t="s">
        <v>226</v>
      </c>
      <c r="E1751" t="s">
        <v>659</v>
      </c>
      <c r="F1751">
        <v>107.25</v>
      </c>
      <c r="G1751">
        <v>78.47</v>
      </c>
    </row>
    <row r="1752" spans="1:7" hidden="1" x14ac:dyDescent="0.25">
      <c r="A1752" t="s">
        <v>660</v>
      </c>
      <c r="B1752">
        <v>39471</v>
      </c>
      <c r="C1752" t="s">
        <v>2413</v>
      </c>
      <c r="D1752" t="s">
        <v>226</v>
      </c>
      <c r="E1752" t="s">
        <v>659</v>
      </c>
      <c r="F1752">
        <v>128.88</v>
      </c>
      <c r="G1752">
        <v>94.31</v>
      </c>
    </row>
    <row r="1753" spans="1:7" hidden="1" x14ac:dyDescent="0.25">
      <c r="A1753" t="s">
        <v>660</v>
      </c>
      <c r="B1753">
        <v>39472</v>
      </c>
      <c r="C1753" t="s">
        <v>2414</v>
      </c>
      <c r="D1753" t="s">
        <v>226</v>
      </c>
      <c r="E1753" t="s">
        <v>659</v>
      </c>
      <c r="F1753">
        <v>223.94</v>
      </c>
      <c r="G1753">
        <v>163.86</v>
      </c>
    </row>
    <row r="1754" spans="1:7" hidden="1" x14ac:dyDescent="0.25">
      <c r="A1754" t="s">
        <v>660</v>
      </c>
      <c r="B1754">
        <v>39473</v>
      </c>
      <c r="C1754" t="s">
        <v>2415</v>
      </c>
      <c r="D1754" t="s">
        <v>226</v>
      </c>
      <c r="E1754" t="s">
        <v>659</v>
      </c>
      <c r="F1754">
        <v>144.66</v>
      </c>
      <c r="G1754">
        <v>105.85</v>
      </c>
    </row>
    <row r="1755" spans="1:7" hidden="1" x14ac:dyDescent="0.25">
      <c r="A1755" t="s">
        <v>660</v>
      </c>
      <c r="B1755">
        <v>39474</v>
      </c>
      <c r="C1755" t="s">
        <v>2416</v>
      </c>
      <c r="D1755" t="s">
        <v>226</v>
      </c>
      <c r="E1755" t="s">
        <v>659</v>
      </c>
      <c r="F1755">
        <v>154.22</v>
      </c>
      <c r="G1755">
        <v>112.84</v>
      </c>
    </row>
    <row r="1756" spans="1:7" hidden="1" x14ac:dyDescent="0.25">
      <c r="A1756" t="s">
        <v>660</v>
      </c>
      <c r="B1756">
        <v>39475</v>
      </c>
      <c r="C1756" t="s">
        <v>2417</v>
      </c>
      <c r="D1756" t="s">
        <v>226</v>
      </c>
      <c r="E1756" t="s">
        <v>659</v>
      </c>
      <c r="F1756">
        <v>174.98</v>
      </c>
      <c r="G1756">
        <v>128.03</v>
      </c>
    </row>
    <row r="1757" spans="1:7" hidden="1" x14ac:dyDescent="0.25">
      <c r="A1757" t="s">
        <v>660</v>
      </c>
      <c r="B1757">
        <v>39476</v>
      </c>
      <c r="C1757" t="s">
        <v>2418</v>
      </c>
      <c r="D1757" t="s">
        <v>226</v>
      </c>
      <c r="E1757" t="s">
        <v>659</v>
      </c>
      <c r="F1757">
        <v>329.39</v>
      </c>
      <c r="G1757">
        <v>241.02</v>
      </c>
    </row>
    <row r="1758" spans="1:7" hidden="1" x14ac:dyDescent="0.25">
      <c r="A1758" t="s">
        <v>660</v>
      </c>
      <c r="B1758">
        <v>39477</v>
      </c>
      <c r="C1758" t="s">
        <v>2419</v>
      </c>
      <c r="D1758" t="s">
        <v>226</v>
      </c>
      <c r="E1758" t="s">
        <v>659</v>
      </c>
      <c r="F1758">
        <v>161.38999999999999</v>
      </c>
      <c r="G1758">
        <v>118.09</v>
      </c>
    </row>
    <row r="1759" spans="1:7" hidden="1" x14ac:dyDescent="0.25">
      <c r="A1759" t="s">
        <v>660</v>
      </c>
      <c r="B1759">
        <v>39478</v>
      </c>
      <c r="C1759" t="s">
        <v>2420</v>
      </c>
      <c r="D1759" t="s">
        <v>226</v>
      </c>
      <c r="E1759" t="s">
        <v>659</v>
      </c>
      <c r="F1759">
        <v>166.38</v>
      </c>
      <c r="G1759">
        <v>121.74</v>
      </c>
    </row>
    <row r="1760" spans="1:7" hidden="1" x14ac:dyDescent="0.25">
      <c r="A1760" t="s">
        <v>660</v>
      </c>
      <c r="B1760">
        <v>39479</v>
      </c>
      <c r="C1760" t="s">
        <v>2421</v>
      </c>
      <c r="D1760" t="s">
        <v>226</v>
      </c>
      <c r="E1760" t="s">
        <v>659</v>
      </c>
      <c r="F1760">
        <v>196.04</v>
      </c>
      <c r="G1760">
        <v>143.44</v>
      </c>
    </row>
    <row r="1761" spans="1:7" hidden="1" x14ac:dyDescent="0.25">
      <c r="A1761" t="s">
        <v>660</v>
      </c>
      <c r="B1761">
        <v>39480</v>
      </c>
      <c r="C1761" t="s">
        <v>2422</v>
      </c>
      <c r="D1761" t="s">
        <v>226</v>
      </c>
      <c r="E1761" t="s">
        <v>659</v>
      </c>
      <c r="F1761">
        <v>404.51</v>
      </c>
      <c r="G1761">
        <v>295.99</v>
      </c>
    </row>
    <row r="1762" spans="1:7" hidden="1" x14ac:dyDescent="0.25">
      <c r="A1762" t="s">
        <v>660</v>
      </c>
      <c r="B1762">
        <v>39459</v>
      </c>
      <c r="C1762" t="s">
        <v>2423</v>
      </c>
      <c r="D1762" t="s">
        <v>226</v>
      </c>
      <c r="E1762" t="s">
        <v>659</v>
      </c>
      <c r="F1762">
        <v>343.33</v>
      </c>
      <c r="G1762">
        <v>251.22</v>
      </c>
    </row>
    <row r="1763" spans="1:7" hidden="1" x14ac:dyDescent="0.25">
      <c r="A1763" t="s">
        <v>660</v>
      </c>
      <c r="B1763">
        <v>39445</v>
      </c>
      <c r="C1763" t="s">
        <v>2424</v>
      </c>
      <c r="D1763" t="s">
        <v>226</v>
      </c>
      <c r="E1763" t="s">
        <v>659</v>
      </c>
      <c r="F1763">
        <v>172.38</v>
      </c>
      <c r="G1763">
        <v>126.14</v>
      </c>
    </row>
    <row r="1764" spans="1:7" hidden="1" x14ac:dyDescent="0.25">
      <c r="A1764" t="s">
        <v>660</v>
      </c>
      <c r="B1764">
        <v>39446</v>
      </c>
      <c r="C1764" t="s">
        <v>2425</v>
      </c>
      <c r="D1764" t="s">
        <v>226</v>
      </c>
      <c r="E1764" t="s">
        <v>659</v>
      </c>
      <c r="F1764">
        <v>175.45</v>
      </c>
      <c r="G1764">
        <v>128.38</v>
      </c>
    </row>
    <row r="1765" spans="1:7" hidden="1" x14ac:dyDescent="0.25">
      <c r="A1765" t="s">
        <v>660</v>
      </c>
      <c r="B1765">
        <v>39447</v>
      </c>
      <c r="C1765" t="s">
        <v>2426</v>
      </c>
      <c r="D1765" t="s">
        <v>226</v>
      </c>
      <c r="E1765" t="s">
        <v>659</v>
      </c>
      <c r="F1765">
        <v>187.63</v>
      </c>
      <c r="G1765">
        <v>137.29</v>
      </c>
    </row>
    <row r="1766" spans="1:7" hidden="1" x14ac:dyDescent="0.25">
      <c r="A1766" t="s">
        <v>660</v>
      </c>
      <c r="B1766">
        <v>39448</v>
      </c>
      <c r="C1766" t="s">
        <v>2427</v>
      </c>
      <c r="D1766" t="s">
        <v>226</v>
      </c>
      <c r="E1766" t="s">
        <v>659</v>
      </c>
      <c r="F1766">
        <v>319.94</v>
      </c>
      <c r="G1766">
        <v>234.1</v>
      </c>
    </row>
    <row r="1767" spans="1:7" hidden="1" x14ac:dyDescent="0.25">
      <c r="A1767" t="s">
        <v>660</v>
      </c>
      <c r="B1767">
        <v>39450</v>
      </c>
      <c r="C1767" t="s">
        <v>2428</v>
      </c>
      <c r="D1767" t="s">
        <v>226</v>
      </c>
      <c r="E1767" t="s">
        <v>659</v>
      </c>
      <c r="F1767">
        <v>195.2</v>
      </c>
      <c r="G1767">
        <v>142.83000000000001</v>
      </c>
    </row>
    <row r="1768" spans="1:7" hidden="1" x14ac:dyDescent="0.25">
      <c r="A1768" t="s">
        <v>660</v>
      </c>
      <c r="B1768">
        <v>39451</v>
      </c>
      <c r="C1768" t="s">
        <v>2429</v>
      </c>
      <c r="D1768" t="s">
        <v>226</v>
      </c>
      <c r="E1768" t="s">
        <v>659</v>
      </c>
      <c r="F1768">
        <v>212.9</v>
      </c>
      <c r="G1768">
        <v>155.79</v>
      </c>
    </row>
    <row r="1769" spans="1:7" hidden="1" x14ac:dyDescent="0.25">
      <c r="A1769" t="s">
        <v>660</v>
      </c>
      <c r="B1769">
        <v>39452</v>
      </c>
      <c r="C1769" t="s">
        <v>2430</v>
      </c>
      <c r="D1769" t="s">
        <v>226</v>
      </c>
      <c r="E1769" t="s">
        <v>659</v>
      </c>
      <c r="F1769">
        <v>214.18</v>
      </c>
      <c r="G1769">
        <v>156.72</v>
      </c>
    </row>
    <row r="1770" spans="1:7" hidden="1" x14ac:dyDescent="0.25">
      <c r="A1770" t="s">
        <v>660</v>
      </c>
      <c r="B1770">
        <v>39523</v>
      </c>
      <c r="C1770" t="s">
        <v>2431</v>
      </c>
      <c r="D1770" t="s">
        <v>226</v>
      </c>
      <c r="E1770" t="s">
        <v>659</v>
      </c>
      <c r="F1770">
        <v>358.42</v>
      </c>
      <c r="G1770">
        <v>262.26</v>
      </c>
    </row>
    <row r="1771" spans="1:7" hidden="1" x14ac:dyDescent="0.25">
      <c r="A1771" t="s">
        <v>660</v>
      </c>
      <c r="B1771">
        <v>39449</v>
      </c>
      <c r="C1771" t="s">
        <v>2432</v>
      </c>
      <c r="D1771" t="s">
        <v>226</v>
      </c>
      <c r="E1771" t="s">
        <v>659</v>
      </c>
      <c r="F1771">
        <v>396.92</v>
      </c>
      <c r="G1771">
        <v>290.44</v>
      </c>
    </row>
    <row r="1772" spans="1:7" hidden="1" x14ac:dyDescent="0.25">
      <c r="A1772" t="s">
        <v>660</v>
      </c>
      <c r="B1772">
        <v>39455</v>
      </c>
      <c r="C1772" t="s">
        <v>2433</v>
      </c>
      <c r="D1772" t="s">
        <v>226</v>
      </c>
      <c r="E1772" t="s">
        <v>659</v>
      </c>
      <c r="F1772">
        <v>196.41</v>
      </c>
      <c r="G1772">
        <v>143.71</v>
      </c>
    </row>
    <row r="1773" spans="1:7" hidden="1" x14ac:dyDescent="0.25">
      <c r="A1773" t="s">
        <v>660</v>
      </c>
      <c r="B1773">
        <v>39456</v>
      </c>
      <c r="C1773" t="s">
        <v>2434</v>
      </c>
      <c r="D1773" t="s">
        <v>226</v>
      </c>
      <c r="E1773" t="s">
        <v>659</v>
      </c>
      <c r="F1773">
        <v>196.55</v>
      </c>
      <c r="G1773">
        <v>143.82</v>
      </c>
    </row>
    <row r="1774" spans="1:7" hidden="1" x14ac:dyDescent="0.25">
      <c r="A1774" t="s">
        <v>660</v>
      </c>
      <c r="B1774">
        <v>39457</v>
      </c>
      <c r="C1774" t="s">
        <v>2435</v>
      </c>
      <c r="D1774" t="s">
        <v>226</v>
      </c>
      <c r="E1774" t="s">
        <v>659</v>
      </c>
      <c r="F1774">
        <v>214.27</v>
      </c>
      <c r="G1774">
        <v>156.79</v>
      </c>
    </row>
    <row r="1775" spans="1:7" hidden="1" x14ac:dyDescent="0.25">
      <c r="A1775" t="s">
        <v>660</v>
      </c>
      <c r="B1775">
        <v>39458</v>
      </c>
      <c r="C1775" t="s">
        <v>2436</v>
      </c>
      <c r="D1775" t="s">
        <v>226</v>
      </c>
      <c r="E1775" t="s">
        <v>659</v>
      </c>
      <c r="F1775">
        <v>399.85</v>
      </c>
      <c r="G1775">
        <v>292.58</v>
      </c>
    </row>
    <row r="1776" spans="1:7" hidden="1" x14ac:dyDescent="0.25">
      <c r="A1776" t="s">
        <v>660</v>
      </c>
      <c r="B1776">
        <v>39464</v>
      </c>
      <c r="C1776" t="s">
        <v>2437</v>
      </c>
      <c r="D1776" t="s">
        <v>226</v>
      </c>
      <c r="E1776" t="s">
        <v>659</v>
      </c>
      <c r="F1776">
        <v>642.99</v>
      </c>
      <c r="G1776">
        <v>470.49</v>
      </c>
    </row>
    <row r="1777" spans="1:7" hidden="1" x14ac:dyDescent="0.25">
      <c r="A1777" t="s">
        <v>660</v>
      </c>
      <c r="B1777">
        <v>39460</v>
      </c>
      <c r="C1777" t="s">
        <v>2438</v>
      </c>
      <c r="D1777" t="s">
        <v>226</v>
      </c>
      <c r="E1777" t="s">
        <v>659</v>
      </c>
      <c r="F1777">
        <v>243.87</v>
      </c>
      <c r="G1777">
        <v>178.44</v>
      </c>
    </row>
    <row r="1778" spans="1:7" hidden="1" x14ac:dyDescent="0.25">
      <c r="A1778" t="s">
        <v>660</v>
      </c>
      <c r="B1778">
        <v>39461</v>
      </c>
      <c r="C1778" t="s">
        <v>2439</v>
      </c>
      <c r="D1778" t="s">
        <v>226</v>
      </c>
      <c r="E1778" t="s">
        <v>659</v>
      </c>
      <c r="F1778">
        <v>285.76</v>
      </c>
      <c r="G1778">
        <v>209.09</v>
      </c>
    </row>
    <row r="1779" spans="1:7" hidden="1" x14ac:dyDescent="0.25">
      <c r="A1779" t="s">
        <v>660</v>
      </c>
      <c r="B1779">
        <v>39462</v>
      </c>
      <c r="C1779" t="s">
        <v>2440</v>
      </c>
      <c r="D1779" t="s">
        <v>226</v>
      </c>
      <c r="E1779" t="s">
        <v>659</v>
      </c>
      <c r="F1779">
        <v>275.39999999999998</v>
      </c>
      <c r="G1779">
        <v>201.51</v>
      </c>
    </row>
    <row r="1780" spans="1:7" hidden="1" x14ac:dyDescent="0.25">
      <c r="A1780" t="s">
        <v>660</v>
      </c>
      <c r="B1780">
        <v>39463</v>
      </c>
      <c r="C1780" t="s">
        <v>2441</v>
      </c>
      <c r="D1780" t="s">
        <v>226</v>
      </c>
      <c r="E1780" t="s">
        <v>659</v>
      </c>
      <c r="F1780">
        <v>638</v>
      </c>
      <c r="G1780">
        <v>466.84</v>
      </c>
    </row>
    <row r="1781" spans="1:7" hidden="1" x14ac:dyDescent="0.25">
      <c r="A1781" t="s">
        <v>842</v>
      </c>
      <c r="B1781">
        <v>26039</v>
      </c>
      <c r="C1781" t="s">
        <v>2442</v>
      </c>
      <c r="D1781" t="s">
        <v>226</v>
      </c>
      <c r="E1781" t="s">
        <v>659</v>
      </c>
      <c r="F1781">
        <f t="shared" ref="F1781:F1790" si="12">G1781</f>
        <v>473543.63</v>
      </c>
      <c r="G1781" s="538">
        <v>473543.63</v>
      </c>
    </row>
    <row r="1782" spans="1:7" hidden="1" x14ac:dyDescent="0.25">
      <c r="A1782" t="s">
        <v>842</v>
      </c>
      <c r="B1782">
        <v>2401</v>
      </c>
      <c r="C1782" t="s">
        <v>2443</v>
      </c>
      <c r="D1782" t="s">
        <v>226</v>
      </c>
      <c r="E1782" t="s">
        <v>659</v>
      </c>
      <c r="F1782">
        <f t="shared" si="12"/>
        <v>108920.28</v>
      </c>
      <c r="G1782" s="538">
        <v>108920.28</v>
      </c>
    </row>
    <row r="1783" spans="1:7" hidden="1" x14ac:dyDescent="0.25">
      <c r="A1783" t="s">
        <v>660</v>
      </c>
      <c r="B1783">
        <v>38870</v>
      </c>
      <c r="C1783" t="s">
        <v>2444</v>
      </c>
      <c r="D1783" t="s">
        <v>226</v>
      </c>
      <c r="E1783" t="s">
        <v>659</v>
      </c>
      <c r="F1783">
        <f t="shared" si="12"/>
        <v>34.49</v>
      </c>
      <c r="G1783">
        <v>34.49</v>
      </c>
    </row>
    <row r="1784" spans="1:7" hidden="1" x14ac:dyDescent="0.25">
      <c r="A1784" t="s">
        <v>660</v>
      </c>
      <c r="B1784">
        <v>38869</v>
      </c>
      <c r="C1784" t="s">
        <v>2445</v>
      </c>
      <c r="D1784" t="s">
        <v>226</v>
      </c>
      <c r="E1784" t="s">
        <v>659</v>
      </c>
      <c r="F1784">
        <f t="shared" si="12"/>
        <v>23.28</v>
      </c>
      <c r="G1784">
        <v>23.28</v>
      </c>
    </row>
    <row r="1785" spans="1:7" hidden="1" x14ac:dyDescent="0.25">
      <c r="A1785" t="s">
        <v>660</v>
      </c>
      <c r="B1785">
        <v>38872</v>
      </c>
      <c r="C1785" t="s">
        <v>2446</v>
      </c>
      <c r="D1785" t="s">
        <v>226</v>
      </c>
      <c r="E1785" t="s">
        <v>659</v>
      </c>
      <c r="F1785">
        <f t="shared" si="12"/>
        <v>43.94</v>
      </c>
      <c r="G1785">
        <v>43.94</v>
      </c>
    </row>
    <row r="1786" spans="1:7" hidden="1" x14ac:dyDescent="0.25">
      <c r="A1786" t="s">
        <v>660</v>
      </c>
      <c r="B1786">
        <v>38871</v>
      </c>
      <c r="C1786" t="s">
        <v>2447</v>
      </c>
      <c r="D1786" t="s">
        <v>226</v>
      </c>
      <c r="E1786" t="s">
        <v>659</v>
      </c>
      <c r="F1786">
        <f t="shared" si="12"/>
        <v>30.37</v>
      </c>
      <c r="G1786">
        <v>30.37</v>
      </c>
    </row>
    <row r="1787" spans="1:7" hidden="1" x14ac:dyDescent="0.25">
      <c r="A1787" t="s">
        <v>660</v>
      </c>
      <c r="B1787">
        <v>39283</v>
      </c>
      <c r="C1787" t="s">
        <v>2448</v>
      </c>
      <c r="D1787" t="s">
        <v>226</v>
      </c>
      <c r="E1787" t="s">
        <v>659</v>
      </c>
      <c r="F1787">
        <f t="shared" si="12"/>
        <v>142.32</v>
      </c>
      <c r="G1787">
        <v>142.32</v>
      </c>
    </row>
    <row r="1788" spans="1:7" hidden="1" x14ac:dyDescent="0.25">
      <c r="A1788" t="s">
        <v>660</v>
      </c>
      <c r="B1788">
        <v>39285</v>
      </c>
      <c r="C1788" t="s">
        <v>2449</v>
      </c>
      <c r="D1788" t="s">
        <v>226</v>
      </c>
      <c r="E1788" t="s">
        <v>659</v>
      </c>
      <c r="F1788">
        <f t="shared" si="12"/>
        <v>162.66</v>
      </c>
      <c r="G1788">
        <v>162.66</v>
      </c>
    </row>
    <row r="1789" spans="1:7" hidden="1" x14ac:dyDescent="0.25">
      <c r="A1789" t="s">
        <v>660</v>
      </c>
      <c r="B1789">
        <v>39286</v>
      </c>
      <c r="C1789" t="s">
        <v>2450</v>
      </c>
      <c r="D1789" t="s">
        <v>226</v>
      </c>
      <c r="E1789" t="s">
        <v>659</v>
      </c>
      <c r="F1789">
        <f t="shared" si="12"/>
        <v>155.88999999999999</v>
      </c>
      <c r="G1789">
        <v>155.88999999999999</v>
      </c>
    </row>
    <row r="1790" spans="1:7" hidden="1" x14ac:dyDescent="0.25">
      <c r="A1790" t="s">
        <v>660</v>
      </c>
      <c r="B1790">
        <v>39288</v>
      </c>
      <c r="C1790" t="s">
        <v>2451</v>
      </c>
      <c r="D1790" t="s">
        <v>226</v>
      </c>
      <c r="E1790" t="s">
        <v>659</v>
      </c>
      <c r="F1790">
        <f t="shared" si="12"/>
        <v>189.75</v>
      </c>
      <c r="G1790">
        <v>189.75</v>
      </c>
    </row>
    <row r="1791" spans="1:7" hidden="1" x14ac:dyDescent="0.25">
      <c r="A1791" t="s">
        <v>660</v>
      </c>
      <c r="B1791">
        <v>44476</v>
      </c>
      <c r="C1791" t="s">
        <v>2452</v>
      </c>
      <c r="D1791" t="s">
        <v>498</v>
      </c>
      <c r="E1791" t="s">
        <v>659</v>
      </c>
      <c r="F1791">
        <v>521.41</v>
      </c>
      <c r="G1791">
        <v>752.83</v>
      </c>
    </row>
    <row r="1792" spans="1:7" hidden="1" x14ac:dyDescent="0.25">
      <c r="A1792" t="s">
        <v>660</v>
      </c>
      <c r="B1792">
        <v>10629</v>
      </c>
      <c r="C1792" t="s">
        <v>2453</v>
      </c>
      <c r="D1792" t="s">
        <v>498</v>
      </c>
      <c r="E1792" t="s">
        <v>659</v>
      </c>
      <c r="F1792">
        <v>495.36</v>
      </c>
      <c r="G1792">
        <v>814.47</v>
      </c>
    </row>
    <row r="1793" spans="1:7" hidden="1" x14ac:dyDescent="0.25">
      <c r="A1793" t="s">
        <v>660</v>
      </c>
      <c r="B1793">
        <v>10698</v>
      </c>
      <c r="C1793" t="s">
        <v>2454</v>
      </c>
      <c r="D1793" t="s">
        <v>498</v>
      </c>
      <c r="E1793" t="s">
        <v>659</v>
      </c>
      <c r="F1793">
        <v>286.76</v>
      </c>
      <c r="G1793">
        <v>226.69</v>
      </c>
    </row>
    <row r="1794" spans="1:7" hidden="1" x14ac:dyDescent="0.25">
      <c r="A1794" t="s">
        <v>842</v>
      </c>
      <c r="B1794">
        <v>40521</v>
      </c>
      <c r="C1794" t="s">
        <v>2455</v>
      </c>
      <c r="D1794" t="s">
        <v>226</v>
      </c>
      <c r="E1794" t="s">
        <v>659</v>
      </c>
      <c r="F1794" s="538">
        <v>170953.73</v>
      </c>
      <c r="G1794" s="538">
        <v>143009.21</v>
      </c>
    </row>
    <row r="1795" spans="1:7" hidden="1" x14ac:dyDescent="0.25">
      <c r="A1795" t="s">
        <v>660</v>
      </c>
      <c r="B1795">
        <v>2432</v>
      </c>
      <c r="C1795" t="s">
        <v>2456</v>
      </c>
      <c r="D1795" t="s">
        <v>226</v>
      </c>
      <c r="E1795" t="s">
        <v>659</v>
      </c>
      <c r="F1795">
        <v>22.55</v>
      </c>
      <c r="G1795">
        <v>35.85</v>
      </c>
    </row>
    <row r="1796" spans="1:7" hidden="1" x14ac:dyDescent="0.25">
      <c r="A1796" t="s">
        <v>660</v>
      </c>
      <c r="B1796">
        <v>2418</v>
      </c>
      <c r="C1796" t="s">
        <v>2457</v>
      </c>
      <c r="D1796" t="s">
        <v>226</v>
      </c>
      <c r="E1796" t="s">
        <v>172</v>
      </c>
      <c r="F1796">
        <v>10.46</v>
      </c>
      <c r="G1796">
        <v>16.63</v>
      </c>
    </row>
    <row r="1797" spans="1:7" hidden="1" x14ac:dyDescent="0.25">
      <c r="A1797" t="s">
        <v>660</v>
      </c>
      <c r="B1797">
        <v>2433</v>
      </c>
      <c r="C1797" t="s">
        <v>2458</v>
      </c>
      <c r="D1797" t="s">
        <v>226</v>
      </c>
      <c r="E1797" t="s">
        <v>659</v>
      </c>
      <c r="F1797">
        <v>7.64</v>
      </c>
      <c r="G1797">
        <v>12.14</v>
      </c>
    </row>
    <row r="1798" spans="1:7" hidden="1" x14ac:dyDescent="0.25">
      <c r="A1798" t="s">
        <v>660</v>
      </c>
      <c r="B1798">
        <v>2420</v>
      </c>
      <c r="C1798" t="s">
        <v>2459</v>
      </c>
      <c r="D1798" t="s">
        <v>226</v>
      </c>
      <c r="E1798" t="s">
        <v>659</v>
      </c>
      <c r="F1798">
        <v>13.12</v>
      </c>
      <c r="G1798">
        <v>20.86</v>
      </c>
    </row>
    <row r="1799" spans="1:7" hidden="1" x14ac:dyDescent="0.25">
      <c r="A1799" t="s">
        <v>660</v>
      </c>
      <c r="B1799">
        <v>11447</v>
      </c>
      <c r="C1799" t="s">
        <v>2460</v>
      </c>
      <c r="D1799" t="s">
        <v>226</v>
      </c>
      <c r="E1799" t="s">
        <v>659</v>
      </c>
      <c r="F1799">
        <v>25.92</v>
      </c>
      <c r="G1799">
        <v>41.22</v>
      </c>
    </row>
    <row r="1800" spans="1:7" hidden="1" x14ac:dyDescent="0.25">
      <c r="A1800" t="s">
        <v>660</v>
      </c>
      <c r="B1800">
        <v>11451</v>
      </c>
      <c r="C1800" t="s">
        <v>2461</v>
      </c>
      <c r="D1800" t="s">
        <v>226</v>
      </c>
      <c r="E1800" t="s">
        <v>659</v>
      </c>
      <c r="F1800">
        <v>69.5</v>
      </c>
      <c r="G1800">
        <v>110.5</v>
      </c>
    </row>
    <row r="1801" spans="1:7" hidden="1" x14ac:dyDescent="0.25">
      <c r="A1801" t="s">
        <v>660</v>
      </c>
      <c r="B1801">
        <v>11116</v>
      </c>
      <c r="C1801" t="s">
        <v>2462</v>
      </c>
      <c r="D1801" t="s">
        <v>226</v>
      </c>
      <c r="E1801" t="s">
        <v>659</v>
      </c>
      <c r="F1801">
        <v>745.61</v>
      </c>
      <c r="G1801">
        <v>653.72</v>
      </c>
    </row>
    <row r="1802" spans="1:7" hidden="1" x14ac:dyDescent="0.25">
      <c r="A1802" t="s">
        <v>842</v>
      </c>
      <c r="B1802">
        <v>38411</v>
      </c>
      <c r="C1802" t="s">
        <v>2463</v>
      </c>
      <c r="D1802" t="s">
        <v>226</v>
      </c>
      <c r="E1802" t="s">
        <v>659</v>
      </c>
      <c r="F1802" s="538">
        <v>2032.58</v>
      </c>
      <c r="G1802" s="538">
        <v>1628.08</v>
      </c>
    </row>
    <row r="1803" spans="1:7" hidden="1" x14ac:dyDescent="0.25">
      <c r="A1803" t="s">
        <v>660</v>
      </c>
      <c r="B1803">
        <v>38189</v>
      </c>
      <c r="C1803" t="s">
        <v>2464</v>
      </c>
      <c r="D1803" t="s">
        <v>226</v>
      </c>
      <c r="E1803" t="s">
        <v>659</v>
      </c>
      <c r="F1803">
        <v>167.78</v>
      </c>
      <c r="G1803">
        <v>150.80000000000001</v>
      </c>
    </row>
    <row r="1804" spans="1:7" hidden="1" x14ac:dyDescent="0.25">
      <c r="A1804" t="s">
        <v>660</v>
      </c>
      <c r="B1804">
        <v>38190</v>
      </c>
      <c r="C1804" t="s">
        <v>2465</v>
      </c>
      <c r="D1804" t="s">
        <v>226</v>
      </c>
      <c r="E1804" t="s">
        <v>659</v>
      </c>
      <c r="F1804">
        <v>353.47</v>
      </c>
      <c r="G1804">
        <v>317.7</v>
      </c>
    </row>
    <row r="1805" spans="1:7" hidden="1" x14ac:dyDescent="0.25">
      <c r="A1805" t="s">
        <v>660</v>
      </c>
      <c r="B1805">
        <v>7608</v>
      </c>
      <c r="C1805" t="s">
        <v>2466</v>
      </c>
      <c r="D1805" t="s">
        <v>226</v>
      </c>
      <c r="E1805" t="s">
        <v>659</v>
      </c>
      <c r="F1805">
        <v>11.76</v>
      </c>
      <c r="G1805">
        <v>11.73</v>
      </c>
    </row>
    <row r="1806" spans="1:7" hidden="1" x14ac:dyDescent="0.25">
      <c r="A1806" t="s">
        <v>660</v>
      </c>
      <c r="B1806">
        <v>1370</v>
      </c>
      <c r="C1806" t="s">
        <v>2467</v>
      </c>
      <c r="D1806" t="s">
        <v>226</v>
      </c>
      <c r="E1806" t="s">
        <v>659</v>
      </c>
      <c r="F1806">
        <v>129.37</v>
      </c>
      <c r="G1806">
        <v>136.04</v>
      </c>
    </row>
    <row r="1807" spans="1:7" hidden="1" x14ac:dyDescent="0.25">
      <c r="A1807" t="s">
        <v>842</v>
      </c>
      <c r="B1807">
        <v>36516</v>
      </c>
      <c r="C1807" t="s">
        <v>2468</v>
      </c>
      <c r="D1807" t="s">
        <v>226</v>
      </c>
      <c r="E1807" t="s">
        <v>659</v>
      </c>
      <c r="F1807" s="538">
        <v>158411.19</v>
      </c>
      <c r="G1807" s="538">
        <v>139929.88</v>
      </c>
    </row>
    <row r="1808" spans="1:7" hidden="1" x14ac:dyDescent="0.25">
      <c r="A1808" t="s">
        <v>660</v>
      </c>
      <c r="B1808">
        <v>11649</v>
      </c>
      <c r="C1808" t="s">
        <v>2469</v>
      </c>
      <c r="D1808" t="s">
        <v>226</v>
      </c>
      <c r="E1808" t="s">
        <v>659</v>
      </c>
      <c r="F1808">
        <v>530.85</v>
      </c>
      <c r="G1808">
        <v>407.09</v>
      </c>
    </row>
    <row r="1809" spans="1:7" hidden="1" x14ac:dyDescent="0.25">
      <c r="A1809" t="s">
        <v>660</v>
      </c>
      <c r="B1809">
        <v>11650</v>
      </c>
      <c r="C1809" t="s">
        <v>2470</v>
      </c>
      <c r="D1809" t="s">
        <v>226</v>
      </c>
      <c r="E1809" t="s">
        <v>659</v>
      </c>
      <c r="F1809">
        <v>904.8</v>
      </c>
      <c r="G1809">
        <v>693.87</v>
      </c>
    </row>
    <row r="1810" spans="1:7" hidden="1" x14ac:dyDescent="0.25">
      <c r="A1810" t="s">
        <v>660</v>
      </c>
      <c r="B1810">
        <v>34777</v>
      </c>
      <c r="C1810" t="s">
        <v>2471</v>
      </c>
      <c r="D1810" t="s">
        <v>226</v>
      </c>
      <c r="E1810" t="s">
        <v>659</v>
      </c>
      <c r="F1810">
        <v>3.14</v>
      </c>
      <c r="G1810">
        <v>2.99</v>
      </c>
    </row>
    <row r="1811" spans="1:7" hidden="1" x14ac:dyDescent="0.25">
      <c r="A1811" t="s">
        <v>660</v>
      </c>
      <c r="B1811">
        <v>7272</v>
      </c>
      <c r="C1811" t="s">
        <v>2472</v>
      </c>
      <c r="D1811" t="s">
        <v>226</v>
      </c>
      <c r="E1811" t="s">
        <v>659</v>
      </c>
      <c r="F1811">
        <v>2.36</v>
      </c>
      <c r="G1811">
        <v>2.25</v>
      </c>
    </row>
    <row r="1812" spans="1:7" hidden="1" x14ac:dyDescent="0.25">
      <c r="A1812" t="s">
        <v>660</v>
      </c>
      <c r="B1812">
        <v>10605</v>
      </c>
      <c r="C1812" t="s">
        <v>2473</v>
      </c>
      <c r="D1812" t="s">
        <v>226</v>
      </c>
      <c r="E1812" t="s">
        <v>659</v>
      </c>
      <c r="F1812">
        <v>5.92</v>
      </c>
      <c r="G1812">
        <v>5.27</v>
      </c>
    </row>
    <row r="1813" spans="1:7" hidden="1" x14ac:dyDescent="0.25">
      <c r="A1813" t="s">
        <v>660</v>
      </c>
      <c r="B1813">
        <v>10604</v>
      </c>
      <c r="C1813" t="s">
        <v>2474</v>
      </c>
      <c r="D1813" t="s">
        <v>226</v>
      </c>
      <c r="E1813" t="s">
        <v>659</v>
      </c>
      <c r="F1813">
        <v>13.79</v>
      </c>
      <c r="G1813">
        <v>12.28</v>
      </c>
    </row>
    <row r="1814" spans="1:7" hidden="1" x14ac:dyDescent="0.25">
      <c r="A1814" t="s">
        <v>660</v>
      </c>
      <c r="B1814">
        <v>672</v>
      </c>
      <c r="C1814" t="s">
        <v>2475</v>
      </c>
      <c r="D1814" t="s">
        <v>226</v>
      </c>
      <c r="E1814" t="s">
        <v>659</v>
      </c>
      <c r="F1814">
        <v>18.96</v>
      </c>
      <c r="G1814">
        <v>16.89</v>
      </c>
    </row>
    <row r="1815" spans="1:7" hidden="1" x14ac:dyDescent="0.25">
      <c r="A1815" t="s">
        <v>660</v>
      </c>
      <c r="B1815">
        <v>668</v>
      </c>
      <c r="C1815" t="s">
        <v>2476</v>
      </c>
      <c r="D1815" t="s">
        <v>226</v>
      </c>
      <c r="E1815" t="s">
        <v>659</v>
      </c>
      <c r="F1815">
        <v>22.9</v>
      </c>
      <c r="G1815">
        <v>20.39</v>
      </c>
    </row>
    <row r="1816" spans="1:7" hidden="1" x14ac:dyDescent="0.25">
      <c r="A1816" t="s">
        <v>660</v>
      </c>
      <c r="B1816">
        <v>10578</v>
      </c>
      <c r="C1816" t="s">
        <v>2477</v>
      </c>
      <c r="D1816" t="s">
        <v>226</v>
      </c>
      <c r="E1816" t="s">
        <v>659</v>
      </c>
      <c r="F1816">
        <v>26.67</v>
      </c>
      <c r="G1816">
        <v>23.75</v>
      </c>
    </row>
    <row r="1817" spans="1:7" hidden="1" x14ac:dyDescent="0.25">
      <c r="A1817" t="s">
        <v>660</v>
      </c>
      <c r="B1817">
        <v>666</v>
      </c>
      <c r="C1817" t="s">
        <v>2478</v>
      </c>
      <c r="D1817" t="s">
        <v>226</v>
      </c>
      <c r="E1817" t="s">
        <v>659</v>
      </c>
      <c r="F1817">
        <v>29.66</v>
      </c>
      <c r="G1817">
        <v>26.41</v>
      </c>
    </row>
    <row r="1818" spans="1:7" hidden="1" x14ac:dyDescent="0.25">
      <c r="A1818" t="s">
        <v>660</v>
      </c>
      <c r="B1818">
        <v>665</v>
      </c>
      <c r="C1818" t="s">
        <v>2479</v>
      </c>
      <c r="D1818" t="s">
        <v>226</v>
      </c>
      <c r="E1818" t="s">
        <v>659</v>
      </c>
      <c r="F1818">
        <v>39.659999999999997</v>
      </c>
      <c r="G1818">
        <v>35.32</v>
      </c>
    </row>
    <row r="1819" spans="1:7" hidden="1" x14ac:dyDescent="0.25">
      <c r="A1819" t="s">
        <v>660</v>
      </c>
      <c r="B1819">
        <v>10577</v>
      </c>
      <c r="C1819" t="s">
        <v>2480</v>
      </c>
      <c r="D1819" t="s">
        <v>226</v>
      </c>
      <c r="E1819" t="s">
        <v>659</v>
      </c>
      <c r="F1819">
        <v>35.17</v>
      </c>
      <c r="G1819">
        <v>31.32</v>
      </c>
    </row>
    <row r="1820" spans="1:7" hidden="1" x14ac:dyDescent="0.25">
      <c r="A1820" t="s">
        <v>660</v>
      </c>
      <c r="B1820">
        <v>10583</v>
      </c>
      <c r="C1820" t="s">
        <v>2481</v>
      </c>
      <c r="D1820" t="s">
        <v>226</v>
      </c>
      <c r="E1820" t="s">
        <v>659</v>
      </c>
      <c r="F1820">
        <v>18.27</v>
      </c>
      <c r="G1820">
        <v>16.27</v>
      </c>
    </row>
    <row r="1821" spans="1:7" hidden="1" x14ac:dyDescent="0.25">
      <c r="A1821" t="s">
        <v>660</v>
      </c>
      <c r="B1821">
        <v>10579</v>
      </c>
      <c r="C1821" t="s">
        <v>2482</v>
      </c>
      <c r="D1821" t="s">
        <v>226</v>
      </c>
      <c r="E1821" t="s">
        <v>659</v>
      </c>
      <c r="F1821">
        <v>31.85</v>
      </c>
      <c r="G1821">
        <v>28.36</v>
      </c>
    </row>
    <row r="1822" spans="1:7" hidden="1" x14ac:dyDescent="0.25">
      <c r="A1822" t="s">
        <v>660</v>
      </c>
      <c r="B1822">
        <v>10582</v>
      </c>
      <c r="C1822" t="s">
        <v>2483</v>
      </c>
      <c r="D1822" t="s">
        <v>226</v>
      </c>
      <c r="E1822" t="s">
        <v>659</v>
      </c>
      <c r="F1822">
        <v>16.09</v>
      </c>
      <c r="G1822">
        <v>14.33</v>
      </c>
    </row>
    <row r="1823" spans="1:7" hidden="1" x14ac:dyDescent="0.25">
      <c r="A1823" t="s">
        <v>807</v>
      </c>
      <c r="B1823">
        <v>2436</v>
      </c>
      <c r="C1823" t="s">
        <v>2484</v>
      </c>
      <c r="D1823" t="s">
        <v>809</v>
      </c>
      <c r="E1823" t="s">
        <v>172</v>
      </c>
      <c r="F1823">
        <v>11.13</v>
      </c>
      <c r="G1823">
        <v>15.76</v>
      </c>
    </row>
    <row r="1824" spans="1:7" hidden="1" x14ac:dyDescent="0.25">
      <c r="A1824" t="s">
        <v>807</v>
      </c>
      <c r="B1824">
        <v>40918</v>
      </c>
      <c r="C1824" t="s">
        <v>2485</v>
      </c>
      <c r="D1824" t="s">
        <v>811</v>
      </c>
      <c r="E1824" t="s">
        <v>659</v>
      </c>
      <c r="F1824" s="538">
        <v>2448.6</v>
      </c>
      <c r="G1824" s="538">
        <v>3467.2</v>
      </c>
    </row>
    <row r="1825" spans="1:7" hidden="1" x14ac:dyDescent="0.25">
      <c r="A1825" t="s">
        <v>660</v>
      </c>
      <c r="B1825">
        <v>10998</v>
      </c>
      <c r="C1825" t="s">
        <v>2486</v>
      </c>
      <c r="D1825" t="s">
        <v>708</v>
      </c>
      <c r="E1825" t="s">
        <v>659</v>
      </c>
      <c r="F1825">
        <v>65.84</v>
      </c>
      <c r="G1825">
        <v>54.34</v>
      </c>
    </row>
    <row r="1826" spans="1:7" hidden="1" x14ac:dyDescent="0.25">
      <c r="A1826" t="s">
        <v>660</v>
      </c>
      <c r="B1826">
        <v>11002</v>
      </c>
      <c r="C1826" t="s">
        <v>2487</v>
      </c>
      <c r="D1826" t="s">
        <v>708</v>
      </c>
      <c r="E1826" t="s">
        <v>659</v>
      </c>
      <c r="F1826">
        <v>60.32</v>
      </c>
      <c r="G1826">
        <v>49.78</v>
      </c>
    </row>
    <row r="1827" spans="1:7" hidden="1" x14ac:dyDescent="0.25">
      <c r="A1827" t="s">
        <v>660</v>
      </c>
      <c r="B1827">
        <v>10999</v>
      </c>
      <c r="C1827" t="s">
        <v>2488</v>
      </c>
      <c r="D1827" t="s">
        <v>708</v>
      </c>
      <c r="E1827" t="s">
        <v>659</v>
      </c>
      <c r="F1827">
        <v>57.95</v>
      </c>
      <c r="G1827">
        <v>47.83</v>
      </c>
    </row>
    <row r="1828" spans="1:7" hidden="1" x14ac:dyDescent="0.25">
      <c r="A1828" t="s">
        <v>660</v>
      </c>
      <c r="B1828">
        <v>10997</v>
      </c>
      <c r="C1828" t="s">
        <v>2489</v>
      </c>
      <c r="D1828" t="s">
        <v>708</v>
      </c>
      <c r="E1828" t="s">
        <v>172</v>
      </c>
      <c r="F1828">
        <v>62.81</v>
      </c>
      <c r="G1828">
        <v>51.84</v>
      </c>
    </row>
    <row r="1829" spans="1:7" hidden="1" x14ac:dyDescent="0.25">
      <c r="A1829" t="s">
        <v>660</v>
      </c>
      <c r="B1829">
        <v>2680</v>
      </c>
      <c r="C1829" t="s">
        <v>2490</v>
      </c>
      <c r="D1829" t="s">
        <v>704</v>
      </c>
      <c r="E1829" t="s">
        <v>659</v>
      </c>
      <c r="F1829">
        <v>12.44</v>
      </c>
      <c r="G1829">
        <v>9.7100000000000009</v>
      </c>
    </row>
    <row r="1830" spans="1:7" hidden="1" x14ac:dyDescent="0.25">
      <c r="A1830" t="s">
        <v>660</v>
      </c>
      <c r="B1830">
        <v>2684</v>
      </c>
      <c r="C1830" t="s">
        <v>2491</v>
      </c>
      <c r="D1830" t="s">
        <v>704</v>
      </c>
      <c r="E1830" t="s">
        <v>659</v>
      </c>
      <c r="F1830">
        <v>11.32</v>
      </c>
      <c r="G1830">
        <v>8.83</v>
      </c>
    </row>
    <row r="1831" spans="1:7" hidden="1" x14ac:dyDescent="0.25">
      <c r="A1831" t="s">
        <v>660</v>
      </c>
      <c r="B1831">
        <v>2685</v>
      </c>
      <c r="C1831" t="s">
        <v>2492</v>
      </c>
      <c r="D1831" t="s">
        <v>704</v>
      </c>
      <c r="E1831" t="s">
        <v>659</v>
      </c>
      <c r="F1831">
        <v>8.5</v>
      </c>
      <c r="G1831">
        <v>6.63</v>
      </c>
    </row>
    <row r="1832" spans="1:7" hidden="1" x14ac:dyDescent="0.25">
      <c r="A1832" t="s">
        <v>660</v>
      </c>
      <c r="B1832">
        <v>2673</v>
      </c>
      <c r="C1832" t="s">
        <v>2493</v>
      </c>
      <c r="D1832" t="s">
        <v>704</v>
      </c>
      <c r="E1832" t="s">
        <v>172</v>
      </c>
      <c r="F1832">
        <v>4.37</v>
      </c>
      <c r="G1832">
        <v>3.41</v>
      </c>
    </row>
    <row r="1833" spans="1:7" hidden="1" x14ac:dyDescent="0.25">
      <c r="A1833" t="s">
        <v>660</v>
      </c>
      <c r="B1833">
        <v>2682</v>
      </c>
      <c r="C1833" t="s">
        <v>2494</v>
      </c>
      <c r="D1833" t="s">
        <v>704</v>
      </c>
      <c r="E1833" t="s">
        <v>659</v>
      </c>
      <c r="F1833">
        <v>29.67</v>
      </c>
      <c r="G1833">
        <v>23.15</v>
      </c>
    </row>
    <row r="1834" spans="1:7" hidden="1" x14ac:dyDescent="0.25">
      <c r="A1834" t="s">
        <v>660</v>
      </c>
      <c r="B1834">
        <v>2681</v>
      </c>
      <c r="C1834" t="s">
        <v>2495</v>
      </c>
      <c r="D1834" t="s">
        <v>704</v>
      </c>
      <c r="E1834" t="s">
        <v>659</v>
      </c>
      <c r="F1834">
        <v>20.329999999999998</v>
      </c>
      <c r="G1834">
        <v>15.87</v>
      </c>
    </row>
    <row r="1835" spans="1:7" hidden="1" x14ac:dyDescent="0.25">
      <c r="A1835" t="s">
        <v>660</v>
      </c>
      <c r="B1835">
        <v>2686</v>
      </c>
      <c r="C1835" t="s">
        <v>2496</v>
      </c>
      <c r="D1835" t="s">
        <v>704</v>
      </c>
      <c r="E1835" t="s">
        <v>659</v>
      </c>
      <c r="F1835">
        <v>37.200000000000003</v>
      </c>
      <c r="G1835">
        <v>29.03</v>
      </c>
    </row>
    <row r="1836" spans="1:7" hidden="1" x14ac:dyDescent="0.25">
      <c r="A1836" t="s">
        <v>660</v>
      </c>
      <c r="B1836">
        <v>2674</v>
      </c>
      <c r="C1836" t="s">
        <v>2497</v>
      </c>
      <c r="D1836" t="s">
        <v>704</v>
      </c>
      <c r="E1836" t="s">
        <v>659</v>
      </c>
      <c r="F1836">
        <v>5.44</v>
      </c>
      <c r="G1836">
        <v>4.24</v>
      </c>
    </row>
    <row r="1837" spans="1:7" hidden="1" x14ac:dyDescent="0.25">
      <c r="A1837" t="s">
        <v>660</v>
      </c>
      <c r="B1837">
        <v>2683</v>
      </c>
      <c r="C1837" t="s">
        <v>2498</v>
      </c>
      <c r="D1837" t="s">
        <v>704</v>
      </c>
      <c r="E1837" t="s">
        <v>659</v>
      </c>
      <c r="F1837">
        <v>58.62</v>
      </c>
      <c r="G1837">
        <v>45.74</v>
      </c>
    </row>
    <row r="1838" spans="1:7" hidden="1" x14ac:dyDescent="0.25">
      <c r="A1838" t="s">
        <v>660</v>
      </c>
      <c r="B1838">
        <v>2676</v>
      </c>
      <c r="C1838" t="s">
        <v>2499</v>
      </c>
      <c r="D1838" t="s">
        <v>704</v>
      </c>
      <c r="E1838" t="s">
        <v>659</v>
      </c>
      <c r="F1838">
        <v>2.54</v>
      </c>
      <c r="G1838">
        <v>1.98</v>
      </c>
    </row>
    <row r="1839" spans="1:7" hidden="1" x14ac:dyDescent="0.25">
      <c r="A1839" t="s">
        <v>660</v>
      </c>
      <c r="B1839">
        <v>2678</v>
      </c>
      <c r="C1839" t="s">
        <v>2500</v>
      </c>
      <c r="D1839" t="s">
        <v>704</v>
      </c>
      <c r="E1839" t="s">
        <v>659</v>
      </c>
      <c r="F1839">
        <v>3.18</v>
      </c>
      <c r="G1839">
        <v>2.48</v>
      </c>
    </row>
    <row r="1840" spans="1:7" hidden="1" x14ac:dyDescent="0.25">
      <c r="A1840" t="s">
        <v>660</v>
      </c>
      <c r="B1840">
        <v>2679</v>
      </c>
      <c r="C1840" t="s">
        <v>2501</v>
      </c>
      <c r="D1840" t="s">
        <v>704</v>
      </c>
      <c r="E1840" t="s">
        <v>659</v>
      </c>
      <c r="F1840">
        <v>4.91</v>
      </c>
      <c r="G1840">
        <v>3.83</v>
      </c>
    </row>
    <row r="1841" spans="1:7" hidden="1" x14ac:dyDescent="0.25">
      <c r="A1841" t="s">
        <v>660</v>
      </c>
      <c r="B1841">
        <v>12070</v>
      </c>
      <c r="C1841" t="s">
        <v>2502</v>
      </c>
      <c r="D1841" t="s">
        <v>704</v>
      </c>
      <c r="E1841" t="s">
        <v>659</v>
      </c>
      <c r="F1841">
        <v>6.83</v>
      </c>
      <c r="G1841">
        <v>5.33</v>
      </c>
    </row>
    <row r="1842" spans="1:7" hidden="1" x14ac:dyDescent="0.25">
      <c r="A1842" t="s">
        <v>660</v>
      </c>
      <c r="B1842">
        <v>2675</v>
      </c>
      <c r="C1842" t="s">
        <v>2503</v>
      </c>
      <c r="D1842" t="s">
        <v>704</v>
      </c>
      <c r="E1842" t="s">
        <v>659</v>
      </c>
      <c r="F1842">
        <v>8.8800000000000008</v>
      </c>
      <c r="G1842">
        <v>6.92</v>
      </c>
    </row>
    <row r="1843" spans="1:7" hidden="1" x14ac:dyDescent="0.25">
      <c r="A1843" t="s">
        <v>660</v>
      </c>
      <c r="B1843">
        <v>12067</v>
      </c>
      <c r="C1843" t="s">
        <v>2504</v>
      </c>
      <c r="D1843" t="s">
        <v>704</v>
      </c>
      <c r="E1843" t="s">
        <v>659</v>
      </c>
      <c r="F1843">
        <v>12.04</v>
      </c>
      <c r="G1843">
        <v>9.4</v>
      </c>
    </row>
    <row r="1844" spans="1:7" hidden="1" x14ac:dyDescent="0.25">
      <c r="A1844" t="s">
        <v>660</v>
      </c>
      <c r="B1844">
        <v>21128</v>
      </c>
      <c r="C1844" t="s">
        <v>2505</v>
      </c>
      <c r="D1844" t="s">
        <v>704</v>
      </c>
      <c r="E1844" t="s">
        <v>172</v>
      </c>
      <c r="F1844">
        <v>12.66</v>
      </c>
      <c r="G1844">
        <v>8.2799999999999994</v>
      </c>
    </row>
    <row r="1845" spans="1:7" hidden="1" x14ac:dyDescent="0.25">
      <c r="A1845" t="s">
        <v>660</v>
      </c>
      <c r="B1845">
        <v>40400</v>
      </c>
      <c r="C1845" t="s">
        <v>2506</v>
      </c>
      <c r="D1845" t="s">
        <v>704</v>
      </c>
      <c r="E1845" t="s">
        <v>659</v>
      </c>
      <c r="F1845">
        <v>1.38</v>
      </c>
      <c r="G1845">
        <v>1.73</v>
      </c>
    </row>
    <row r="1846" spans="1:7" hidden="1" x14ac:dyDescent="0.25">
      <c r="A1846" t="s">
        <v>660</v>
      </c>
      <c r="B1846">
        <v>40401</v>
      </c>
      <c r="C1846" t="s">
        <v>2507</v>
      </c>
      <c r="D1846" t="s">
        <v>704</v>
      </c>
      <c r="E1846" t="s">
        <v>659</v>
      </c>
      <c r="F1846">
        <v>2.0299999999999998</v>
      </c>
      <c r="G1846">
        <v>2.56</v>
      </c>
    </row>
    <row r="1847" spans="1:7" hidden="1" x14ac:dyDescent="0.25">
      <c r="A1847" t="s">
        <v>660</v>
      </c>
      <c r="B1847">
        <v>40402</v>
      </c>
      <c r="C1847" t="s">
        <v>2508</v>
      </c>
      <c r="D1847" t="s">
        <v>704</v>
      </c>
      <c r="E1847" t="s">
        <v>659</v>
      </c>
      <c r="F1847">
        <v>2.61</v>
      </c>
      <c r="G1847">
        <v>3.28</v>
      </c>
    </row>
    <row r="1848" spans="1:7" hidden="1" x14ac:dyDescent="0.25">
      <c r="A1848" t="s">
        <v>660</v>
      </c>
      <c r="B1848">
        <v>21137</v>
      </c>
      <c r="C1848" t="s">
        <v>2509</v>
      </c>
      <c r="D1848" t="s">
        <v>704</v>
      </c>
      <c r="E1848" t="s">
        <v>659</v>
      </c>
      <c r="F1848">
        <v>12.96</v>
      </c>
      <c r="G1848">
        <v>8.4700000000000006</v>
      </c>
    </row>
    <row r="1849" spans="1:7" hidden="1" x14ac:dyDescent="0.25">
      <c r="A1849" t="s">
        <v>660</v>
      </c>
      <c r="B1849">
        <v>2504</v>
      </c>
      <c r="C1849" t="s">
        <v>2510</v>
      </c>
      <c r="D1849" t="s">
        <v>704</v>
      </c>
      <c r="E1849" t="s">
        <v>659</v>
      </c>
      <c r="F1849">
        <v>14.05</v>
      </c>
      <c r="G1849">
        <v>9.18</v>
      </c>
    </row>
    <row r="1850" spans="1:7" hidden="1" x14ac:dyDescent="0.25">
      <c r="A1850" t="s">
        <v>660</v>
      </c>
      <c r="B1850">
        <v>2501</v>
      </c>
      <c r="C1850" t="s">
        <v>2511</v>
      </c>
      <c r="D1850" t="s">
        <v>704</v>
      </c>
      <c r="E1850" t="s">
        <v>659</v>
      </c>
      <c r="F1850">
        <v>18.420000000000002</v>
      </c>
      <c r="G1850">
        <v>12.05</v>
      </c>
    </row>
    <row r="1851" spans="1:7" hidden="1" x14ac:dyDescent="0.25">
      <c r="A1851" t="s">
        <v>660</v>
      </c>
      <c r="B1851">
        <v>2502</v>
      </c>
      <c r="C1851" t="s">
        <v>2512</v>
      </c>
      <c r="D1851" t="s">
        <v>704</v>
      </c>
      <c r="E1851" t="s">
        <v>659</v>
      </c>
      <c r="F1851">
        <v>27.8</v>
      </c>
      <c r="G1851">
        <v>18.18</v>
      </c>
    </row>
    <row r="1852" spans="1:7" hidden="1" x14ac:dyDescent="0.25">
      <c r="A1852" t="s">
        <v>660</v>
      </c>
      <c r="B1852">
        <v>2503</v>
      </c>
      <c r="C1852" t="s">
        <v>2513</v>
      </c>
      <c r="D1852" t="s">
        <v>704</v>
      </c>
      <c r="E1852" t="s">
        <v>659</v>
      </c>
      <c r="F1852">
        <v>35.770000000000003</v>
      </c>
      <c r="G1852">
        <v>23.39</v>
      </c>
    </row>
    <row r="1853" spans="1:7" hidden="1" x14ac:dyDescent="0.25">
      <c r="A1853" t="s">
        <v>660</v>
      </c>
      <c r="B1853">
        <v>2500</v>
      </c>
      <c r="C1853" t="s">
        <v>2514</v>
      </c>
      <c r="D1853" t="s">
        <v>704</v>
      </c>
      <c r="E1853" t="s">
        <v>659</v>
      </c>
      <c r="F1853">
        <v>47.65</v>
      </c>
      <c r="G1853">
        <v>31.16</v>
      </c>
    </row>
    <row r="1854" spans="1:7" hidden="1" x14ac:dyDescent="0.25">
      <c r="A1854" t="s">
        <v>660</v>
      </c>
      <c r="B1854">
        <v>2505</v>
      </c>
      <c r="C1854" t="s">
        <v>2515</v>
      </c>
      <c r="D1854" t="s">
        <v>704</v>
      </c>
      <c r="E1854" t="s">
        <v>659</v>
      </c>
      <c r="F1854">
        <v>74.260000000000005</v>
      </c>
      <c r="G1854">
        <v>48.57</v>
      </c>
    </row>
    <row r="1855" spans="1:7" hidden="1" x14ac:dyDescent="0.25">
      <c r="A1855" t="s">
        <v>660</v>
      </c>
      <c r="B1855">
        <v>12056</v>
      </c>
      <c r="C1855" t="s">
        <v>2516</v>
      </c>
      <c r="D1855" t="s">
        <v>704</v>
      </c>
      <c r="E1855" t="s">
        <v>659</v>
      </c>
      <c r="F1855">
        <v>30</v>
      </c>
      <c r="G1855">
        <v>19.62</v>
      </c>
    </row>
    <row r="1856" spans="1:7" hidden="1" x14ac:dyDescent="0.25">
      <c r="A1856" t="s">
        <v>660</v>
      </c>
      <c r="B1856">
        <v>12057</v>
      </c>
      <c r="C1856" t="s">
        <v>2517</v>
      </c>
      <c r="D1856" t="s">
        <v>704</v>
      </c>
      <c r="E1856" t="s">
        <v>659</v>
      </c>
      <c r="F1856">
        <v>25.49</v>
      </c>
      <c r="G1856">
        <v>16.670000000000002</v>
      </c>
    </row>
    <row r="1857" spans="1:7" hidden="1" x14ac:dyDescent="0.25">
      <c r="A1857" t="s">
        <v>660</v>
      </c>
      <c r="B1857">
        <v>12058</v>
      </c>
      <c r="C1857" t="s">
        <v>2518</v>
      </c>
      <c r="D1857" t="s">
        <v>704</v>
      </c>
      <c r="E1857" t="s">
        <v>659</v>
      </c>
      <c r="F1857">
        <v>15.89</v>
      </c>
      <c r="G1857">
        <v>10.39</v>
      </c>
    </row>
    <row r="1858" spans="1:7" hidden="1" x14ac:dyDescent="0.25">
      <c r="A1858" t="s">
        <v>660</v>
      </c>
      <c r="B1858">
        <v>12059</v>
      </c>
      <c r="C1858" t="s">
        <v>2519</v>
      </c>
      <c r="D1858" t="s">
        <v>704</v>
      </c>
      <c r="E1858" t="s">
        <v>659</v>
      </c>
      <c r="F1858">
        <v>8.94</v>
      </c>
      <c r="G1858">
        <v>5.85</v>
      </c>
    </row>
    <row r="1859" spans="1:7" hidden="1" x14ac:dyDescent="0.25">
      <c r="A1859" t="s">
        <v>660</v>
      </c>
      <c r="B1859">
        <v>12060</v>
      </c>
      <c r="C1859" t="s">
        <v>2520</v>
      </c>
      <c r="D1859" t="s">
        <v>704</v>
      </c>
      <c r="E1859" t="s">
        <v>659</v>
      </c>
      <c r="F1859">
        <v>66.22</v>
      </c>
      <c r="G1859">
        <v>43.31</v>
      </c>
    </row>
    <row r="1860" spans="1:7" hidden="1" x14ac:dyDescent="0.25">
      <c r="A1860" t="s">
        <v>660</v>
      </c>
      <c r="B1860">
        <v>12061</v>
      </c>
      <c r="C1860" t="s">
        <v>2521</v>
      </c>
      <c r="D1860" t="s">
        <v>704</v>
      </c>
      <c r="E1860" t="s">
        <v>659</v>
      </c>
      <c r="F1860">
        <v>40.43</v>
      </c>
      <c r="G1860">
        <v>26.44</v>
      </c>
    </row>
    <row r="1861" spans="1:7" hidden="1" x14ac:dyDescent="0.25">
      <c r="A1861" t="s">
        <v>660</v>
      </c>
      <c r="B1861">
        <v>12062</v>
      </c>
      <c r="C1861" t="s">
        <v>2522</v>
      </c>
      <c r="D1861" t="s">
        <v>704</v>
      </c>
      <c r="E1861" t="s">
        <v>659</v>
      </c>
      <c r="F1861">
        <v>74.56</v>
      </c>
      <c r="G1861">
        <v>48.77</v>
      </c>
    </row>
    <row r="1862" spans="1:7" hidden="1" x14ac:dyDescent="0.25">
      <c r="A1862" t="s">
        <v>660</v>
      </c>
      <c r="B1862">
        <v>2687</v>
      </c>
      <c r="C1862" t="s">
        <v>2523</v>
      </c>
      <c r="D1862" t="s">
        <v>704</v>
      </c>
      <c r="E1862" t="s">
        <v>659</v>
      </c>
      <c r="F1862">
        <v>2.2200000000000002</v>
      </c>
      <c r="G1862">
        <v>1.73</v>
      </c>
    </row>
    <row r="1863" spans="1:7" hidden="1" x14ac:dyDescent="0.25">
      <c r="A1863" t="s">
        <v>660</v>
      </c>
      <c r="B1863">
        <v>2689</v>
      </c>
      <c r="C1863" t="s">
        <v>2524</v>
      </c>
      <c r="D1863" t="s">
        <v>704</v>
      </c>
      <c r="E1863" t="s">
        <v>659</v>
      </c>
      <c r="F1863">
        <v>2.64</v>
      </c>
      <c r="G1863">
        <v>2.06</v>
      </c>
    </row>
    <row r="1864" spans="1:7" hidden="1" x14ac:dyDescent="0.25">
      <c r="A1864" t="s">
        <v>660</v>
      </c>
      <c r="B1864">
        <v>2688</v>
      </c>
      <c r="C1864" t="s">
        <v>2525</v>
      </c>
      <c r="D1864" t="s">
        <v>704</v>
      </c>
      <c r="E1864" t="s">
        <v>659</v>
      </c>
      <c r="F1864">
        <v>2.86</v>
      </c>
      <c r="G1864">
        <v>2.23</v>
      </c>
    </row>
    <row r="1865" spans="1:7" hidden="1" x14ac:dyDescent="0.25">
      <c r="A1865" t="s">
        <v>660</v>
      </c>
      <c r="B1865">
        <v>2690</v>
      </c>
      <c r="C1865" t="s">
        <v>2526</v>
      </c>
      <c r="D1865" t="s">
        <v>704</v>
      </c>
      <c r="E1865" t="s">
        <v>659</v>
      </c>
      <c r="F1865">
        <v>4.8899999999999997</v>
      </c>
      <c r="G1865">
        <v>3.82</v>
      </c>
    </row>
    <row r="1866" spans="1:7" hidden="1" x14ac:dyDescent="0.25">
      <c r="A1866" t="s">
        <v>660</v>
      </c>
      <c r="B1866">
        <v>39243</v>
      </c>
      <c r="C1866" t="s">
        <v>2527</v>
      </c>
      <c r="D1866" t="s">
        <v>704</v>
      </c>
      <c r="E1866" t="s">
        <v>659</v>
      </c>
      <c r="F1866">
        <v>3.22</v>
      </c>
      <c r="G1866">
        <v>2.52</v>
      </c>
    </row>
    <row r="1867" spans="1:7" hidden="1" x14ac:dyDescent="0.25">
      <c r="A1867" t="s">
        <v>660</v>
      </c>
      <c r="B1867">
        <v>39244</v>
      </c>
      <c r="C1867" t="s">
        <v>2528</v>
      </c>
      <c r="D1867" t="s">
        <v>704</v>
      </c>
      <c r="E1867" t="s">
        <v>659</v>
      </c>
      <c r="F1867">
        <v>4.3600000000000003</v>
      </c>
      <c r="G1867">
        <v>3.4</v>
      </c>
    </row>
    <row r="1868" spans="1:7" hidden="1" x14ac:dyDescent="0.25">
      <c r="A1868" t="s">
        <v>660</v>
      </c>
      <c r="B1868">
        <v>39245</v>
      </c>
      <c r="C1868" t="s">
        <v>2529</v>
      </c>
      <c r="D1868" t="s">
        <v>704</v>
      </c>
      <c r="E1868" t="s">
        <v>659</v>
      </c>
      <c r="F1868">
        <v>8.39</v>
      </c>
      <c r="G1868">
        <v>6.55</v>
      </c>
    </row>
    <row r="1869" spans="1:7" hidden="1" x14ac:dyDescent="0.25">
      <c r="A1869" t="s">
        <v>660</v>
      </c>
      <c r="B1869">
        <v>39255</v>
      </c>
      <c r="C1869" t="s">
        <v>2530</v>
      </c>
      <c r="D1869" t="s">
        <v>704</v>
      </c>
      <c r="E1869" t="s">
        <v>659</v>
      </c>
      <c r="F1869">
        <v>23.22</v>
      </c>
      <c r="G1869">
        <v>18.12</v>
      </c>
    </row>
    <row r="1870" spans="1:7" hidden="1" x14ac:dyDescent="0.25">
      <c r="A1870" t="s">
        <v>660</v>
      </c>
      <c r="B1870">
        <v>39254</v>
      </c>
      <c r="C1870" t="s">
        <v>2531</v>
      </c>
      <c r="D1870" t="s">
        <v>704</v>
      </c>
      <c r="E1870" t="s">
        <v>659</v>
      </c>
      <c r="F1870">
        <v>12.55</v>
      </c>
      <c r="G1870">
        <v>9.7899999999999991</v>
      </c>
    </row>
    <row r="1871" spans="1:7" hidden="1" x14ac:dyDescent="0.25">
      <c r="A1871" t="s">
        <v>660</v>
      </c>
      <c r="B1871">
        <v>39253</v>
      </c>
      <c r="C1871" t="s">
        <v>2532</v>
      </c>
      <c r="D1871" t="s">
        <v>704</v>
      </c>
      <c r="E1871" t="s">
        <v>659</v>
      </c>
      <c r="F1871">
        <v>15.99</v>
      </c>
      <c r="G1871">
        <v>12.48</v>
      </c>
    </row>
    <row r="1872" spans="1:7" hidden="1" x14ac:dyDescent="0.25">
      <c r="A1872" t="s">
        <v>660</v>
      </c>
      <c r="B1872">
        <v>39246</v>
      </c>
      <c r="C1872" t="s">
        <v>2533</v>
      </c>
      <c r="D1872" t="s">
        <v>704</v>
      </c>
      <c r="E1872" t="s">
        <v>659</v>
      </c>
      <c r="F1872">
        <v>3.53</v>
      </c>
      <c r="G1872">
        <v>4.4400000000000004</v>
      </c>
    </row>
    <row r="1873" spans="1:7" hidden="1" x14ac:dyDescent="0.25">
      <c r="A1873" t="s">
        <v>660</v>
      </c>
      <c r="B1873">
        <v>39247</v>
      </c>
      <c r="C1873" t="s">
        <v>2534</v>
      </c>
      <c r="D1873" t="s">
        <v>704</v>
      </c>
      <c r="E1873" t="s">
        <v>659</v>
      </c>
      <c r="F1873">
        <v>3.08</v>
      </c>
      <c r="G1873">
        <v>3.87</v>
      </c>
    </row>
    <row r="1874" spans="1:7" hidden="1" x14ac:dyDescent="0.25">
      <c r="A1874" t="s">
        <v>660</v>
      </c>
      <c r="B1874">
        <v>2446</v>
      </c>
      <c r="C1874" t="s">
        <v>2535</v>
      </c>
      <c r="D1874" t="s">
        <v>704</v>
      </c>
      <c r="E1874" t="s">
        <v>172</v>
      </c>
      <c r="F1874">
        <v>5.07</v>
      </c>
      <c r="G1874">
        <v>6.38</v>
      </c>
    </row>
    <row r="1875" spans="1:7" hidden="1" x14ac:dyDescent="0.25">
      <c r="A1875" t="s">
        <v>660</v>
      </c>
      <c r="B1875">
        <v>2442</v>
      </c>
      <c r="C1875" t="s">
        <v>2536</v>
      </c>
      <c r="D1875" t="s">
        <v>704</v>
      </c>
      <c r="E1875" t="s">
        <v>659</v>
      </c>
      <c r="F1875">
        <v>7.1</v>
      </c>
      <c r="G1875">
        <v>8.94</v>
      </c>
    </row>
    <row r="1876" spans="1:7" hidden="1" x14ac:dyDescent="0.25">
      <c r="A1876" t="s">
        <v>660</v>
      </c>
      <c r="B1876">
        <v>39248</v>
      </c>
      <c r="C1876" t="s">
        <v>2537</v>
      </c>
      <c r="D1876" t="s">
        <v>704</v>
      </c>
      <c r="E1876" t="s">
        <v>659</v>
      </c>
      <c r="F1876">
        <v>9.9</v>
      </c>
      <c r="G1876">
        <v>12.45</v>
      </c>
    </row>
    <row r="1877" spans="1:7" hidden="1" x14ac:dyDescent="0.25">
      <c r="A1877" t="s">
        <v>807</v>
      </c>
      <c r="B1877">
        <v>2438</v>
      </c>
      <c r="C1877" t="s">
        <v>2538</v>
      </c>
      <c r="D1877" t="s">
        <v>809</v>
      </c>
      <c r="E1877" t="s">
        <v>659</v>
      </c>
      <c r="F1877">
        <v>17.39</v>
      </c>
      <c r="G1877">
        <v>18.54</v>
      </c>
    </row>
    <row r="1878" spans="1:7" hidden="1" x14ac:dyDescent="0.25">
      <c r="A1878" t="s">
        <v>807</v>
      </c>
      <c r="B1878">
        <v>40922</v>
      </c>
      <c r="C1878" t="s">
        <v>2539</v>
      </c>
      <c r="D1878" t="s">
        <v>811</v>
      </c>
      <c r="E1878" t="s">
        <v>659</v>
      </c>
      <c r="F1878" s="538">
        <v>3826.59</v>
      </c>
      <c r="G1878" s="538">
        <v>4079.91</v>
      </c>
    </row>
    <row r="1879" spans="1:7" hidden="1" x14ac:dyDescent="0.25">
      <c r="A1879" t="s">
        <v>842</v>
      </c>
      <c r="B1879">
        <v>36486</v>
      </c>
      <c r="C1879" t="s">
        <v>2540</v>
      </c>
      <c r="D1879" t="s">
        <v>226</v>
      </c>
      <c r="E1879" t="s">
        <v>659</v>
      </c>
      <c r="F1879">
        <f>G1879</f>
        <v>72198.990000000005</v>
      </c>
      <c r="G1879" s="538">
        <v>72198.990000000005</v>
      </c>
    </row>
    <row r="1880" spans="1:7" hidden="1" x14ac:dyDescent="0.25">
      <c r="A1880" t="s">
        <v>842</v>
      </c>
      <c r="B1880">
        <v>37777</v>
      </c>
      <c r="C1880" t="s">
        <v>2541</v>
      </c>
      <c r="D1880" t="s">
        <v>226</v>
      </c>
      <c r="E1880" t="s">
        <v>659</v>
      </c>
      <c r="F1880">
        <f>G1880</f>
        <v>339911.48</v>
      </c>
      <c r="G1880" s="538">
        <v>339911.48</v>
      </c>
    </row>
    <row r="1881" spans="1:7" x14ac:dyDescent="0.25">
      <c r="A1881" t="s">
        <v>660</v>
      </c>
      <c r="B1881">
        <v>12624</v>
      </c>
      <c r="C1881" t="s">
        <v>2542</v>
      </c>
      <c r="D1881" t="s">
        <v>226</v>
      </c>
      <c r="E1881" t="s">
        <v>659</v>
      </c>
      <c r="F1881">
        <v>33.67</v>
      </c>
      <c r="G1881">
        <v>34.81</v>
      </c>
    </row>
    <row r="1882" spans="1:7" hidden="1" x14ac:dyDescent="0.25">
      <c r="A1882" t="s">
        <v>660</v>
      </c>
      <c r="B1882">
        <v>517</v>
      </c>
      <c r="C1882" t="s">
        <v>2543</v>
      </c>
      <c r="D1882" t="s">
        <v>710</v>
      </c>
      <c r="E1882" t="s">
        <v>659</v>
      </c>
      <c r="F1882">
        <v>8.7200000000000006</v>
      </c>
      <c r="G1882">
        <v>8.7200000000000006</v>
      </c>
    </row>
    <row r="1883" spans="1:7" hidden="1" x14ac:dyDescent="0.25">
      <c r="A1883" t="s">
        <v>660</v>
      </c>
      <c r="B1883">
        <v>37534</v>
      </c>
      <c r="C1883" t="s">
        <v>2544</v>
      </c>
      <c r="D1883" t="s">
        <v>708</v>
      </c>
      <c r="E1883" t="s">
        <v>659</v>
      </c>
      <c r="F1883">
        <f t="shared" ref="F1883:F1888" si="13">G1883</f>
        <v>18.600000000000001</v>
      </c>
      <c r="G1883">
        <v>18.600000000000001</v>
      </c>
    </row>
    <row r="1884" spans="1:7" hidden="1" x14ac:dyDescent="0.25">
      <c r="A1884" t="s">
        <v>660</v>
      </c>
      <c r="B1884">
        <v>37535</v>
      </c>
      <c r="C1884" t="s">
        <v>2545</v>
      </c>
      <c r="D1884" t="s">
        <v>708</v>
      </c>
      <c r="E1884" t="s">
        <v>659</v>
      </c>
      <c r="F1884">
        <f t="shared" si="13"/>
        <v>18.600000000000001</v>
      </c>
      <c r="G1884">
        <v>18.600000000000001</v>
      </c>
    </row>
    <row r="1885" spans="1:7" hidden="1" x14ac:dyDescent="0.25">
      <c r="A1885" t="s">
        <v>660</v>
      </c>
      <c r="B1885">
        <v>37533</v>
      </c>
      <c r="C1885" t="s">
        <v>2546</v>
      </c>
      <c r="D1885" t="s">
        <v>708</v>
      </c>
      <c r="E1885" t="s">
        <v>659</v>
      </c>
      <c r="F1885">
        <f t="shared" si="13"/>
        <v>18.600000000000001</v>
      </c>
      <c r="G1885">
        <v>18.600000000000001</v>
      </c>
    </row>
    <row r="1886" spans="1:7" hidden="1" x14ac:dyDescent="0.25">
      <c r="A1886" t="s">
        <v>660</v>
      </c>
      <c r="B1886">
        <v>37537</v>
      </c>
      <c r="C1886" t="s">
        <v>2547</v>
      </c>
      <c r="D1886" t="s">
        <v>708</v>
      </c>
      <c r="E1886" t="s">
        <v>659</v>
      </c>
      <c r="F1886">
        <f t="shared" si="13"/>
        <v>14.08</v>
      </c>
      <c r="G1886">
        <v>14.08</v>
      </c>
    </row>
    <row r="1887" spans="1:7" hidden="1" x14ac:dyDescent="0.25">
      <c r="A1887" t="s">
        <v>660</v>
      </c>
      <c r="B1887">
        <v>37536</v>
      </c>
      <c r="C1887" t="s">
        <v>2548</v>
      </c>
      <c r="D1887" t="s">
        <v>708</v>
      </c>
      <c r="E1887" t="s">
        <v>659</v>
      </c>
      <c r="F1887">
        <f t="shared" si="13"/>
        <v>14.08</v>
      </c>
      <c r="G1887">
        <v>14.08</v>
      </c>
    </row>
    <row r="1888" spans="1:7" hidden="1" x14ac:dyDescent="0.25">
      <c r="A1888" t="s">
        <v>660</v>
      </c>
      <c r="B1888">
        <v>37532</v>
      </c>
      <c r="C1888" t="s">
        <v>2549</v>
      </c>
      <c r="D1888" t="s">
        <v>708</v>
      </c>
      <c r="E1888" t="s">
        <v>172</v>
      </c>
      <c r="F1888">
        <f t="shared" si="13"/>
        <v>14.08</v>
      </c>
      <c r="G1888">
        <v>14.08</v>
      </c>
    </row>
    <row r="1889" spans="1:7" hidden="1" x14ac:dyDescent="0.25">
      <c r="A1889" t="s">
        <v>807</v>
      </c>
      <c r="B1889">
        <v>2696</v>
      </c>
      <c r="C1889" t="s">
        <v>2550</v>
      </c>
      <c r="D1889" t="s">
        <v>809</v>
      </c>
      <c r="E1889" t="s">
        <v>172</v>
      </c>
      <c r="F1889">
        <v>11.13</v>
      </c>
      <c r="G1889">
        <v>14.51</v>
      </c>
    </row>
    <row r="1890" spans="1:7" hidden="1" x14ac:dyDescent="0.25">
      <c r="A1890" t="s">
        <v>807</v>
      </c>
      <c r="B1890">
        <v>40928</v>
      </c>
      <c r="C1890" t="s">
        <v>2551</v>
      </c>
      <c r="D1890" t="s">
        <v>811</v>
      </c>
      <c r="E1890" t="s">
        <v>659</v>
      </c>
      <c r="F1890" s="538">
        <v>2448.6</v>
      </c>
      <c r="G1890" s="538">
        <v>3192.2</v>
      </c>
    </row>
    <row r="1891" spans="1:7" hidden="1" x14ac:dyDescent="0.25">
      <c r="A1891" t="s">
        <v>807</v>
      </c>
      <c r="B1891">
        <v>4083</v>
      </c>
      <c r="C1891" t="s">
        <v>2552</v>
      </c>
      <c r="D1891" t="s">
        <v>809</v>
      </c>
      <c r="E1891" t="s">
        <v>172</v>
      </c>
      <c r="F1891">
        <v>29.39</v>
      </c>
      <c r="G1891">
        <v>21.4</v>
      </c>
    </row>
    <row r="1892" spans="1:7" hidden="1" x14ac:dyDescent="0.25">
      <c r="A1892" t="s">
        <v>807</v>
      </c>
      <c r="B1892">
        <v>40818</v>
      </c>
      <c r="C1892" t="s">
        <v>2553</v>
      </c>
      <c r="D1892" t="s">
        <v>811</v>
      </c>
      <c r="E1892" t="s">
        <v>659</v>
      </c>
      <c r="F1892" s="538">
        <v>6465.8</v>
      </c>
      <c r="G1892" s="538">
        <v>4708</v>
      </c>
    </row>
    <row r="1893" spans="1:7" hidden="1" x14ac:dyDescent="0.25">
      <c r="A1893" t="s">
        <v>660</v>
      </c>
      <c r="B1893">
        <v>43146</v>
      </c>
      <c r="C1893" t="s">
        <v>2554</v>
      </c>
      <c r="D1893" t="s">
        <v>708</v>
      </c>
      <c r="E1893" t="s">
        <v>659</v>
      </c>
      <c r="F1893">
        <v>7.92</v>
      </c>
      <c r="G1893">
        <v>9.02</v>
      </c>
    </row>
    <row r="1894" spans="1:7" hidden="1" x14ac:dyDescent="0.25">
      <c r="A1894" t="s">
        <v>2555</v>
      </c>
      <c r="B1894">
        <v>2705</v>
      </c>
      <c r="C1894" t="s">
        <v>2556</v>
      </c>
      <c r="D1894" t="s">
        <v>2557</v>
      </c>
      <c r="E1894" t="s">
        <v>659</v>
      </c>
      <c r="F1894">
        <v>1.18</v>
      </c>
      <c r="G1894">
        <v>0.87</v>
      </c>
    </row>
    <row r="1895" spans="1:7" hidden="1" x14ac:dyDescent="0.25">
      <c r="A1895" t="s">
        <v>2555</v>
      </c>
      <c r="B1895">
        <v>14250</v>
      </c>
      <c r="C1895" t="s">
        <v>2558</v>
      </c>
      <c r="D1895" t="s">
        <v>2557</v>
      </c>
      <c r="E1895" t="s">
        <v>172</v>
      </c>
      <c r="F1895">
        <v>1.2</v>
      </c>
      <c r="G1895">
        <v>0.89</v>
      </c>
    </row>
    <row r="1896" spans="1:7" hidden="1" x14ac:dyDescent="0.25">
      <c r="A1896" t="s">
        <v>660</v>
      </c>
      <c r="B1896">
        <v>11683</v>
      </c>
      <c r="C1896" t="s">
        <v>2559</v>
      </c>
      <c r="D1896" t="s">
        <v>226</v>
      </c>
      <c r="E1896" t="s">
        <v>659</v>
      </c>
      <c r="F1896">
        <v>55.92</v>
      </c>
      <c r="G1896">
        <v>44.45</v>
      </c>
    </row>
    <row r="1897" spans="1:7" hidden="1" x14ac:dyDescent="0.25">
      <c r="A1897" t="s">
        <v>660</v>
      </c>
      <c r="B1897">
        <v>11684</v>
      </c>
      <c r="C1897" t="s">
        <v>2560</v>
      </c>
      <c r="D1897" t="s">
        <v>226</v>
      </c>
      <c r="E1897" t="s">
        <v>659</v>
      </c>
      <c r="F1897">
        <v>61.21</v>
      </c>
      <c r="G1897">
        <v>48.66</v>
      </c>
    </row>
    <row r="1898" spans="1:7" hidden="1" x14ac:dyDescent="0.25">
      <c r="A1898" t="s">
        <v>660</v>
      </c>
      <c r="B1898">
        <v>6141</v>
      </c>
      <c r="C1898" t="s">
        <v>2561</v>
      </c>
      <c r="D1898" t="s">
        <v>226</v>
      </c>
      <c r="E1898" t="s">
        <v>659</v>
      </c>
      <c r="F1898">
        <v>6.17</v>
      </c>
      <c r="G1898">
        <v>6.59</v>
      </c>
    </row>
    <row r="1899" spans="1:7" hidden="1" x14ac:dyDescent="0.25">
      <c r="A1899" t="s">
        <v>660</v>
      </c>
      <c r="B1899">
        <v>11681</v>
      </c>
      <c r="C1899" t="s">
        <v>2562</v>
      </c>
      <c r="D1899" t="s">
        <v>226</v>
      </c>
      <c r="E1899" t="s">
        <v>659</v>
      </c>
      <c r="F1899">
        <v>7.78</v>
      </c>
      <c r="G1899">
        <v>8.31</v>
      </c>
    </row>
    <row r="1900" spans="1:7" hidden="1" x14ac:dyDescent="0.25">
      <c r="A1900" t="s">
        <v>807</v>
      </c>
      <c r="B1900">
        <v>2706</v>
      </c>
      <c r="C1900" t="s">
        <v>2563</v>
      </c>
      <c r="D1900" t="s">
        <v>809</v>
      </c>
      <c r="E1900" t="s">
        <v>172</v>
      </c>
      <c r="F1900">
        <v>58.65</v>
      </c>
      <c r="G1900">
        <v>58.65</v>
      </c>
    </row>
    <row r="1901" spans="1:7" hidden="1" x14ac:dyDescent="0.25">
      <c r="A1901" t="s">
        <v>807</v>
      </c>
      <c r="B1901">
        <v>40811</v>
      </c>
      <c r="C1901" t="s">
        <v>2564</v>
      </c>
      <c r="D1901" t="s">
        <v>811</v>
      </c>
      <c r="E1901" t="s">
        <v>659</v>
      </c>
      <c r="F1901" s="538">
        <v>12903</v>
      </c>
      <c r="G1901" s="538">
        <v>12903</v>
      </c>
    </row>
    <row r="1902" spans="1:7" hidden="1" x14ac:dyDescent="0.25">
      <c r="A1902" t="s">
        <v>807</v>
      </c>
      <c r="B1902">
        <v>2707</v>
      </c>
      <c r="C1902" t="s">
        <v>2565</v>
      </c>
      <c r="D1902" t="s">
        <v>809</v>
      </c>
      <c r="E1902" t="s">
        <v>659</v>
      </c>
      <c r="F1902">
        <v>60.67</v>
      </c>
      <c r="G1902">
        <v>59.66</v>
      </c>
    </row>
    <row r="1903" spans="1:7" hidden="1" x14ac:dyDescent="0.25">
      <c r="A1903" t="s">
        <v>807</v>
      </c>
      <c r="B1903">
        <v>40813</v>
      </c>
      <c r="C1903" t="s">
        <v>2566</v>
      </c>
      <c r="D1903" t="s">
        <v>811</v>
      </c>
      <c r="E1903" t="s">
        <v>659</v>
      </c>
      <c r="F1903" s="538">
        <v>13347.64</v>
      </c>
      <c r="G1903" s="538">
        <v>13125.75</v>
      </c>
    </row>
    <row r="1904" spans="1:7" hidden="1" x14ac:dyDescent="0.25">
      <c r="A1904" t="s">
        <v>807</v>
      </c>
      <c r="B1904">
        <v>2708</v>
      </c>
      <c r="C1904" t="s">
        <v>2567</v>
      </c>
      <c r="D1904" t="s">
        <v>809</v>
      </c>
      <c r="E1904" t="s">
        <v>659</v>
      </c>
      <c r="F1904">
        <v>75.89</v>
      </c>
      <c r="G1904">
        <v>83.57</v>
      </c>
    </row>
    <row r="1905" spans="1:7" hidden="1" x14ac:dyDescent="0.25">
      <c r="A1905" t="s">
        <v>807</v>
      </c>
      <c r="B1905">
        <v>40814</v>
      </c>
      <c r="C1905" t="s">
        <v>2568</v>
      </c>
      <c r="D1905" t="s">
        <v>811</v>
      </c>
      <c r="E1905" t="s">
        <v>659</v>
      </c>
      <c r="F1905" s="538">
        <v>16697.830000000002</v>
      </c>
      <c r="G1905" s="538">
        <v>18386.5</v>
      </c>
    </row>
    <row r="1906" spans="1:7" hidden="1" x14ac:dyDescent="0.25">
      <c r="A1906" t="s">
        <v>660</v>
      </c>
      <c r="B1906">
        <v>38403</v>
      </c>
      <c r="C1906" t="s">
        <v>2569</v>
      </c>
      <c r="D1906" t="s">
        <v>226</v>
      </c>
      <c r="E1906" t="s">
        <v>659</v>
      </c>
      <c r="F1906">
        <v>79.459999999999994</v>
      </c>
      <c r="G1906">
        <v>68.69</v>
      </c>
    </row>
    <row r="1907" spans="1:7" hidden="1" x14ac:dyDescent="0.25">
      <c r="A1907" t="s">
        <v>660</v>
      </c>
      <c r="B1907">
        <v>43482</v>
      </c>
      <c r="C1907" t="s">
        <v>2570</v>
      </c>
      <c r="D1907" t="s">
        <v>809</v>
      </c>
      <c r="E1907" t="s">
        <v>172</v>
      </c>
      <c r="F1907">
        <v>0.81</v>
      </c>
      <c r="G1907">
        <v>0.81</v>
      </c>
    </row>
    <row r="1908" spans="1:7" hidden="1" x14ac:dyDescent="0.25">
      <c r="A1908" t="s">
        <v>660</v>
      </c>
      <c r="B1908">
        <v>43494</v>
      </c>
      <c r="C1908" t="s">
        <v>2571</v>
      </c>
      <c r="D1908" t="s">
        <v>811</v>
      </c>
      <c r="E1908" t="s">
        <v>172</v>
      </c>
      <c r="F1908">
        <v>153.54</v>
      </c>
      <c r="G1908">
        <v>153.54</v>
      </c>
    </row>
    <row r="1909" spans="1:7" hidden="1" x14ac:dyDescent="0.25">
      <c r="A1909" t="s">
        <v>660</v>
      </c>
      <c r="B1909">
        <v>43483</v>
      </c>
      <c r="C1909" t="s">
        <v>2572</v>
      </c>
      <c r="D1909" t="s">
        <v>809</v>
      </c>
      <c r="E1909" t="s">
        <v>172</v>
      </c>
      <c r="F1909">
        <v>1.43</v>
      </c>
      <c r="G1909">
        <v>1.43</v>
      </c>
    </row>
    <row r="1910" spans="1:7" hidden="1" x14ac:dyDescent="0.25">
      <c r="A1910" t="s">
        <v>660</v>
      </c>
      <c r="B1910">
        <v>43495</v>
      </c>
      <c r="C1910" t="s">
        <v>2573</v>
      </c>
      <c r="D1910" t="s">
        <v>811</v>
      </c>
      <c r="E1910" t="s">
        <v>172</v>
      </c>
      <c r="F1910">
        <v>270.51</v>
      </c>
      <c r="G1910">
        <v>270.51</v>
      </c>
    </row>
    <row r="1911" spans="1:7" hidden="1" x14ac:dyDescent="0.25">
      <c r="A1911" t="s">
        <v>660</v>
      </c>
      <c r="B1911">
        <v>43484</v>
      </c>
      <c r="C1911" t="s">
        <v>2574</v>
      </c>
      <c r="D1911" t="s">
        <v>809</v>
      </c>
      <c r="E1911" t="s">
        <v>172</v>
      </c>
      <c r="F1911">
        <v>1.26</v>
      </c>
      <c r="G1911">
        <v>1.26</v>
      </c>
    </row>
    <row r="1912" spans="1:7" hidden="1" x14ac:dyDescent="0.25">
      <c r="A1912" t="s">
        <v>660</v>
      </c>
      <c r="B1912">
        <v>43496</v>
      </c>
      <c r="C1912" t="s">
        <v>2575</v>
      </c>
      <c r="D1912" t="s">
        <v>811</v>
      </c>
      <c r="E1912" t="s">
        <v>172</v>
      </c>
      <c r="F1912">
        <v>238.02</v>
      </c>
      <c r="G1912">
        <v>238.02</v>
      </c>
    </row>
    <row r="1913" spans="1:7" hidden="1" x14ac:dyDescent="0.25">
      <c r="A1913" t="s">
        <v>660</v>
      </c>
      <c r="B1913">
        <v>43485</v>
      </c>
      <c r="C1913" t="s">
        <v>2576</v>
      </c>
      <c r="D1913" t="s">
        <v>809</v>
      </c>
      <c r="E1913" t="s">
        <v>172</v>
      </c>
      <c r="F1913">
        <v>1.1299999999999999</v>
      </c>
      <c r="G1913">
        <v>1.1299999999999999</v>
      </c>
    </row>
    <row r="1914" spans="1:7" hidden="1" x14ac:dyDescent="0.25">
      <c r="A1914" t="s">
        <v>660</v>
      </c>
      <c r="B1914">
        <v>43497</v>
      </c>
      <c r="C1914" t="s">
        <v>2577</v>
      </c>
      <c r="D1914" t="s">
        <v>811</v>
      </c>
      <c r="E1914" t="s">
        <v>172</v>
      </c>
      <c r="F1914">
        <v>212.45</v>
      </c>
      <c r="G1914">
        <v>212.45</v>
      </c>
    </row>
    <row r="1915" spans="1:7" hidden="1" x14ac:dyDescent="0.25">
      <c r="A1915" t="s">
        <v>660</v>
      </c>
      <c r="B1915">
        <v>43487</v>
      </c>
      <c r="C1915" t="s">
        <v>2578</v>
      </c>
      <c r="D1915" t="s">
        <v>809</v>
      </c>
      <c r="E1915" t="s">
        <v>172</v>
      </c>
      <c r="F1915">
        <v>1.28</v>
      </c>
      <c r="G1915">
        <v>1.28</v>
      </c>
    </row>
    <row r="1916" spans="1:7" hidden="1" x14ac:dyDescent="0.25">
      <c r="A1916" t="s">
        <v>660</v>
      </c>
      <c r="B1916">
        <v>43499</v>
      </c>
      <c r="C1916" t="s">
        <v>2579</v>
      </c>
      <c r="D1916" t="s">
        <v>811</v>
      </c>
      <c r="E1916" t="s">
        <v>172</v>
      </c>
      <c r="F1916">
        <v>241.99</v>
      </c>
      <c r="G1916">
        <v>241.99</v>
      </c>
    </row>
    <row r="1917" spans="1:7" hidden="1" x14ac:dyDescent="0.25">
      <c r="A1917" t="s">
        <v>660</v>
      </c>
      <c r="B1917">
        <v>43486</v>
      </c>
      <c r="C1917" t="s">
        <v>2580</v>
      </c>
      <c r="D1917" t="s">
        <v>809</v>
      </c>
      <c r="E1917" t="s">
        <v>172</v>
      </c>
      <c r="F1917">
        <v>0.77</v>
      </c>
      <c r="G1917">
        <v>0.77</v>
      </c>
    </row>
    <row r="1918" spans="1:7" hidden="1" x14ac:dyDescent="0.25">
      <c r="A1918" t="s">
        <v>660</v>
      </c>
      <c r="B1918">
        <v>43498</v>
      </c>
      <c r="C1918" t="s">
        <v>2581</v>
      </c>
      <c r="D1918" t="s">
        <v>811</v>
      </c>
      <c r="E1918" t="s">
        <v>172</v>
      </c>
      <c r="F1918">
        <v>146</v>
      </c>
      <c r="G1918">
        <v>146</v>
      </c>
    </row>
    <row r="1919" spans="1:7" hidden="1" x14ac:dyDescent="0.25">
      <c r="A1919" t="s">
        <v>660</v>
      </c>
      <c r="B1919">
        <v>43488</v>
      </c>
      <c r="C1919" t="s">
        <v>2582</v>
      </c>
      <c r="D1919" t="s">
        <v>809</v>
      </c>
      <c r="E1919" t="s">
        <v>172</v>
      </c>
      <c r="F1919">
        <v>0.89</v>
      </c>
      <c r="G1919">
        <v>0.89</v>
      </c>
    </row>
    <row r="1920" spans="1:7" hidden="1" x14ac:dyDescent="0.25">
      <c r="A1920" t="s">
        <v>660</v>
      </c>
      <c r="B1920">
        <v>43500</v>
      </c>
      <c r="C1920" t="s">
        <v>2583</v>
      </c>
      <c r="D1920" t="s">
        <v>811</v>
      </c>
      <c r="E1920" t="s">
        <v>172</v>
      </c>
      <c r="F1920">
        <v>167.95</v>
      </c>
      <c r="G1920">
        <v>167.95</v>
      </c>
    </row>
    <row r="1921" spans="1:7" hidden="1" x14ac:dyDescent="0.25">
      <c r="A1921" t="s">
        <v>660</v>
      </c>
      <c r="B1921">
        <v>43489</v>
      </c>
      <c r="C1921" t="s">
        <v>2584</v>
      </c>
      <c r="D1921" t="s">
        <v>809</v>
      </c>
      <c r="E1921" t="s">
        <v>172</v>
      </c>
      <c r="F1921">
        <v>1.31</v>
      </c>
      <c r="G1921">
        <v>1.31</v>
      </c>
    </row>
    <row r="1922" spans="1:7" hidden="1" x14ac:dyDescent="0.25">
      <c r="A1922" t="s">
        <v>660</v>
      </c>
      <c r="B1922">
        <v>43501</v>
      </c>
      <c r="C1922" t="s">
        <v>2585</v>
      </c>
      <c r="D1922" t="s">
        <v>811</v>
      </c>
      <c r="E1922" t="s">
        <v>172</v>
      </c>
      <c r="F1922">
        <v>247.11</v>
      </c>
      <c r="G1922">
        <v>247.11</v>
      </c>
    </row>
    <row r="1923" spans="1:7" hidden="1" x14ac:dyDescent="0.25">
      <c r="A1923" t="s">
        <v>660</v>
      </c>
      <c r="B1923">
        <v>43490</v>
      </c>
      <c r="C1923" t="s">
        <v>2586</v>
      </c>
      <c r="D1923" t="s">
        <v>809</v>
      </c>
      <c r="E1923" t="s">
        <v>172</v>
      </c>
      <c r="F1923">
        <v>1.85</v>
      </c>
      <c r="G1923">
        <v>1.85</v>
      </c>
    </row>
    <row r="1924" spans="1:7" hidden="1" x14ac:dyDescent="0.25">
      <c r="A1924" t="s">
        <v>660</v>
      </c>
      <c r="B1924">
        <v>43502</v>
      </c>
      <c r="C1924" t="s">
        <v>2587</v>
      </c>
      <c r="D1924" t="s">
        <v>811</v>
      </c>
      <c r="E1924" t="s">
        <v>172</v>
      </c>
      <c r="F1924">
        <v>348.39</v>
      </c>
      <c r="G1924">
        <v>348.39</v>
      </c>
    </row>
    <row r="1925" spans="1:7" hidden="1" x14ac:dyDescent="0.25">
      <c r="A1925" t="s">
        <v>660</v>
      </c>
      <c r="B1925">
        <v>43491</v>
      </c>
      <c r="C1925" t="s">
        <v>2588</v>
      </c>
      <c r="D1925" t="s">
        <v>809</v>
      </c>
      <c r="E1925" t="s">
        <v>172</v>
      </c>
      <c r="F1925">
        <v>1.39</v>
      </c>
      <c r="G1925">
        <v>1.39</v>
      </c>
    </row>
    <row r="1926" spans="1:7" hidden="1" x14ac:dyDescent="0.25">
      <c r="A1926" t="s">
        <v>660</v>
      </c>
      <c r="B1926">
        <v>43503</v>
      </c>
      <c r="C1926" t="s">
        <v>2589</v>
      </c>
      <c r="D1926" t="s">
        <v>811</v>
      </c>
      <c r="E1926" t="s">
        <v>172</v>
      </c>
      <c r="F1926">
        <v>261.93</v>
      </c>
      <c r="G1926">
        <v>261.93</v>
      </c>
    </row>
    <row r="1927" spans="1:7" hidden="1" x14ac:dyDescent="0.25">
      <c r="A1927" t="s">
        <v>660</v>
      </c>
      <c r="B1927">
        <v>43492</v>
      </c>
      <c r="C1927" t="s">
        <v>2590</v>
      </c>
      <c r="D1927" t="s">
        <v>809</v>
      </c>
      <c r="E1927" t="s">
        <v>172</v>
      </c>
      <c r="F1927">
        <v>1.82</v>
      </c>
      <c r="G1927">
        <v>1.82</v>
      </c>
    </row>
    <row r="1928" spans="1:7" hidden="1" x14ac:dyDescent="0.25">
      <c r="A1928" t="s">
        <v>660</v>
      </c>
      <c r="B1928">
        <v>43504</v>
      </c>
      <c r="C1928" t="s">
        <v>2591</v>
      </c>
      <c r="D1928" t="s">
        <v>811</v>
      </c>
      <c r="E1928" t="s">
        <v>172</v>
      </c>
      <c r="F1928">
        <v>342.83</v>
      </c>
      <c r="G1928">
        <v>342.83</v>
      </c>
    </row>
    <row r="1929" spans="1:7" hidden="1" x14ac:dyDescent="0.25">
      <c r="A1929" t="s">
        <v>660</v>
      </c>
      <c r="B1929">
        <v>43493</v>
      </c>
      <c r="C1929" t="s">
        <v>2592</v>
      </c>
      <c r="D1929" t="s">
        <v>809</v>
      </c>
      <c r="E1929" t="s">
        <v>172</v>
      </c>
      <c r="F1929">
        <v>0.74</v>
      </c>
      <c r="G1929">
        <v>0.74</v>
      </c>
    </row>
    <row r="1930" spans="1:7" hidden="1" x14ac:dyDescent="0.25">
      <c r="A1930" t="s">
        <v>660</v>
      </c>
      <c r="B1930">
        <v>43505</v>
      </c>
      <c r="C1930" t="s">
        <v>2593</v>
      </c>
      <c r="D1930" t="s">
        <v>811</v>
      </c>
      <c r="E1930" t="s">
        <v>172</v>
      </c>
      <c r="F1930">
        <v>138.97999999999999</v>
      </c>
      <c r="G1930">
        <v>138.97999999999999</v>
      </c>
    </row>
    <row r="1931" spans="1:7" hidden="1" x14ac:dyDescent="0.25">
      <c r="A1931" t="s">
        <v>842</v>
      </c>
      <c r="B1931">
        <v>37774</v>
      </c>
      <c r="C1931" t="s">
        <v>2594</v>
      </c>
      <c r="D1931" t="s">
        <v>226</v>
      </c>
      <c r="E1931" t="s">
        <v>659</v>
      </c>
      <c r="F1931">
        <f>G1931</f>
        <v>565124.71</v>
      </c>
      <c r="G1931" s="538">
        <v>565124.71</v>
      </c>
    </row>
    <row r="1932" spans="1:7" hidden="1" x14ac:dyDescent="0.25">
      <c r="A1932" t="s">
        <v>842</v>
      </c>
      <c r="B1932">
        <v>38629</v>
      </c>
      <c r="C1932" t="s">
        <v>2595</v>
      </c>
      <c r="D1932" t="s">
        <v>226</v>
      </c>
      <c r="E1932" t="s">
        <v>659</v>
      </c>
      <c r="F1932" s="538">
        <v>3008789.06</v>
      </c>
      <c r="G1932" s="538">
        <v>2901126.21</v>
      </c>
    </row>
    <row r="1933" spans="1:7" hidden="1" x14ac:dyDescent="0.25">
      <c r="A1933" t="s">
        <v>842</v>
      </c>
      <c r="B1933">
        <v>38630</v>
      </c>
      <c r="C1933" t="s">
        <v>2596</v>
      </c>
      <c r="D1933" t="s">
        <v>226</v>
      </c>
      <c r="E1933" t="s">
        <v>659</v>
      </c>
      <c r="F1933" s="538">
        <v>2021289.06</v>
      </c>
      <c r="G1933" s="538">
        <v>1948961.71</v>
      </c>
    </row>
    <row r="1934" spans="1:7" hidden="1" x14ac:dyDescent="0.25">
      <c r="A1934" t="s">
        <v>660</v>
      </c>
      <c r="B1934">
        <v>38476</v>
      </c>
      <c r="C1934" t="s">
        <v>2597</v>
      </c>
      <c r="D1934" t="s">
        <v>226</v>
      </c>
      <c r="E1934" t="s">
        <v>659</v>
      </c>
      <c r="F1934">
        <v>304.10000000000002</v>
      </c>
      <c r="G1934">
        <v>262.88</v>
      </c>
    </row>
    <row r="1935" spans="1:7" hidden="1" x14ac:dyDescent="0.25">
      <c r="A1935" t="s">
        <v>660</v>
      </c>
      <c r="B1935">
        <v>38477</v>
      </c>
      <c r="C1935" t="s">
        <v>2598</v>
      </c>
      <c r="D1935" t="s">
        <v>226</v>
      </c>
      <c r="E1935" t="s">
        <v>659</v>
      </c>
      <c r="F1935">
        <v>806.36</v>
      </c>
      <c r="G1935">
        <v>697.05</v>
      </c>
    </row>
    <row r="1936" spans="1:7" hidden="1" x14ac:dyDescent="0.25">
      <c r="A1936" t="s">
        <v>842</v>
      </c>
      <c r="B1936">
        <v>45112</v>
      </c>
      <c r="C1936" t="s">
        <v>2599</v>
      </c>
      <c r="D1936" t="s">
        <v>226</v>
      </c>
      <c r="E1936" t="s">
        <v>659</v>
      </c>
      <c r="F1936" s="538">
        <v>1096515.01</v>
      </c>
      <c r="G1936" s="538">
        <v>1113823.77</v>
      </c>
    </row>
    <row r="1937" spans="1:7" hidden="1" x14ac:dyDescent="0.25">
      <c r="A1937" t="s">
        <v>842</v>
      </c>
      <c r="B1937">
        <v>14525</v>
      </c>
      <c r="C1937" t="s">
        <v>2600</v>
      </c>
      <c r="D1937" t="s">
        <v>226</v>
      </c>
      <c r="E1937" t="s">
        <v>659</v>
      </c>
      <c r="F1937" s="538">
        <v>953315.28</v>
      </c>
      <c r="G1937" s="538">
        <v>968363.6</v>
      </c>
    </row>
    <row r="1938" spans="1:7" hidden="1" x14ac:dyDescent="0.25">
      <c r="A1938" t="s">
        <v>842</v>
      </c>
      <c r="B1938">
        <v>36408</v>
      </c>
      <c r="C1938" t="s">
        <v>2601</v>
      </c>
      <c r="D1938" t="s">
        <v>226</v>
      </c>
      <c r="E1938" t="s">
        <v>659</v>
      </c>
      <c r="F1938" s="538">
        <v>1163813.82</v>
      </c>
      <c r="G1938" s="538">
        <v>1182184.9099999999</v>
      </c>
    </row>
    <row r="1939" spans="1:7" hidden="1" x14ac:dyDescent="0.25">
      <c r="A1939" t="s">
        <v>842</v>
      </c>
      <c r="B1939">
        <v>2723</v>
      </c>
      <c r="C1939" t="s">
        <v>2602</v>
      </c>
      <c r="D1939" t="s">
        <v>226</v>
      </c>
      <c r="E1939" t="s">
        <v>659</v>
      </c>
      <c r="F1939" s="538">
        <v>708408.37</v>
      </c>
      <c r="G1939" s="538">
        <v>719590.77</v>
      </c>
    </row>
    <row r="1940" spans="1:7" hidden="1" x14ac:dyDescent="0.25">
      <c r="A1940" t="s">
        <v>842</v>
      </c>
      <c r="B1940">
        <v>10685</v>
      </c>
      <c r="C1940" t="s">
        <v>2603</v>
      </c>
      <c r="D1940" t="s">
        <v>226</v>
      </c>
      <c r="E1940" t="s">
        <v>172</v>
      </c>
      <c r="F1940" s="538">
        <v>842500</v>
      </c>
      <c r="G1940" s="538">
        <v>855799.07</v>
      </c>
    </row>
    <row r="1941" spans="1:7" hidden="1" x14ac:dyDescent="0.25">
      <c r="A1941" t="s">
        <v>842</v>
      </c>
      <c r="B1941">
        <v>40636</v>
      </c>
      <c r="C1941" t="s">
        <v>2604</v>
      </c>
      <c r="D1941" t="s">
        <v>226</v>
      </c>
      <c r="E1941" t="s">
        <v>659</v>
      </c>
      <c r="F1941" s="538">
        <v>1166650.77</v>
      </c>
      <c r="G1941" s="538">
        <v>1185066.6399999999</v>
      </c>
    </row>
    <row r="1942" spans="1:7" hidden="1" x14ac:dyDescent="0.25">
      <c r="A1942" t="s">
        <v>660</v>
      </c>
      <c r="B1942">
        <v>4111</v>
      </c>
      <c r="C1942" t="s">
        <v>2605</v>
      </c>
      <c r="D1942" t="s">
        <v>226</v>
      </c>
      <c r="E1942" t="s">
        <v>659</v>
      </c>
      <c r="F1942">
        <v>79.8</v>
      </c>
      <c r="G1942">
        <v>50.86</v>
      </c>
    </row>
    <row r="1943" spans="1:7" hidden="1" x14ac:dyDescent="0.25">
      <c r="A1943" t="s">
        <v>660</v>
      </c>
      <c r="B1943">
        <v>44538</v>
      </c>
      <c r="C1943" t="s">
        <v>2606</v>
      </c>
      <c r="D1943" t="s">
        <v>226</v>
      </c>
      <c r="E1943" t="s">
        <v>659</v>
      </c>
      <c r="F1943">
        <v>66.900000000000006</v>
      </c>
      <c r="G1943">
        <v>57.83</v>
      </c>
    </row>
    <row r="1944" spans="1:7" hidden="1" x14ac:dyDescent="0.25">
      <c r="A1944" t="s">
        <v>660</v>
      </c>
      <c r="B1944">
        <v>12</v>
      </c>
      <c r="C1944" t="s">
        <v>2607</v>
      </c>
      <c r="D1944" t="s">
        <v>226</v>
      </c>
      <c r="E1944" t="s">
        <v>659</v>
      </c>
      <c r="F1944">
        <v>8.43</v>
      </c>
      <c r="G1944">
        <v>7.29</v>
      </c>
    </row>
    <row r="1945" spans="1:7" hidden="1" x14ac:dyDescent="0.25">
      <c r="A1945" t="s">
        <v>660</v>
      </c>
      <c r="B1945">
        <v>37554</v>
      </c>
      <c r="C1945" t="s">
        <v>2608</v>
      </c>
      <c r="D1945" t="s">
        <v>226</v>
      </c>
      <c r="E1945" t="s">
        <v>659</v>
      </c>
      <c r="F1945">
        <v>182.02</v>
      </c>
      <c r="G1945">
        <v>387.54</v>
      </c>
    </row>
    <row r="1946" spans="1:7" hidden="1" x14ac:dyDescent="0.25">
      <c r="A1946" t="s">
        <v>660</v>
      </c>
      <c r="B1946">
        <v>37555</v>
      </c>
      <c r="C1946" t="s">
        <v>2609</v>
      </c>
      <c r="D1946" t="s">
        <v>226</v>
      </c>
      <c r="E1946" t="s">
        <v>659</v>
      </c>
      <c r="F1946">
        <v>221.42</v>
      </c>
      <c r="G1946">
        <v>471.42</v>
      </c>
    </row>
    <row r="1947" spans="1:7" hidden="1" x14ac:dyDescent="0.25">
      <c r="A1947" t="s">
        <v>660</v>
      </c>
      <c r="B1947">
        <v>10902</v>
      </c>
      <c r="C1947" t="s">
        <v>2610</v>
      </c>
      <c r="D1947" t="s">
        <v>226</v>
      </c>
      <c r="E1947" t="s">
        <v>659</v>
      </c>
      <c r="F1947">
        <v>55.56</v>
      </c>
      <c r="G1947">
        <v>118.29</v>
      </c>
    </row>
    <row r="1948" spans="1:7" hidden="1" x14ac:dyDescent="0.25">
      <c r="A1948" t="s">
        <v>660</v>
      </c>
      <c r="B1948">
        <v>20965</v>
      </c>
      <c r="C1948" t="s">
        <v>2611</v>
      </c>
      <c r="D1948" t="s">
        <v>226</v>
      </c>
      <c r="E1948" t="s">
        <v>659</v>
      </c>
      <c r="F1948">
        <v>56.08</v>
      </c>
      <c r="G1948">
        <v>119.39</v>
      </c>
    </row>
    <row r="1949" spans="1:7" hidden="1" x14ac:dyDescent="0.25">
      <c r="A1949" t="s">
        <v>660</v>
      </c>
      <c r="B1949">
        <v>20966</v>
      </c>
      <c r="C1949" t="s">
        <v>2612</v>
      </c>
      <c r="D1949" t="s">
        <v>226</v>
      </c>
      <c r="E1949" t="s">
        <v>659</v>
      </c>
      <c r="F1949">
        <v>60.38</v>
      </c>
      <c r="G1949">
        <v>128.55000000000001</v>
      </c>
    </row>
    <row r="1950" spans="1:7" hidden="1" x14ac:dyDescent="0.25">
      <c r="A1950" t="s">
        <v>660</v>
      </c>
      <c r="B1950">
        <v>10903</v>
      </c>
      <c r="C1950" t="s">
        <v>2613</v>
      </c>
      <c r="D1950" t="s">
        <v>226</v>
      </c>
      <c r="E1950" t="s">
        <v>659</v>
      </c>
      <c r="F1950">
        <v>91.52</v>
      </c>
      <c r="G1950">
        <v>194.85</v>
      </c>
    </row>
    <row r="1951" spans="1:7" hidden="1" x14ac:dyDescent="0.25">
      <c r="A1951" t="s">
        <v>660</v>
      </c>
      <c r="B1951">
        <v>20967</v>
      </c>
      <c r="C1951" t="s">
        <v>2614</v>
      </c>
      <c r="D1951" t="s">
        <v>226</v>
      </c>
      <c r="E1951" t="s">
        <v>659</v>
      </c>
      <c r="F1951">
        <v>91.52</v>
      </c>
      <c r="G1951">
        <v>194.85</v>
      </c>
    </row>
    <row r="1952" spans="1:7" hidden="1" x14ac:dyDescent="0.25">
      <c r="A1952" t="s">
        <v>660</v>
      </c>
      <c r="B1952">
        <v>20968</v>
      </c>
      <c r="C1952" t="s">
        <v>2615</v>
      </c>
      <c r="D1952" t="s">
        <v>226</v>
      </c>
      <c r="E1952" t="s">
        <v>659</v>
      </c>
      <c r="F1952">
        <v>100.38</v>
      </c>
      <c r="G1952">
        <v>213.71</v>
      </c>
    </row>
    <row r="1953" spans="1:7" hidden="1" x14ac:dyDescent="0.25">
      <c r="A1953" t="s">
        <v>842</v>
      </c>
      <c r="B1953">
        <v>11359</v>
      </c>
      <c r="C1953" t="s">
        <v>2616</v>
      </c>
      <c r="D1953" t="s">
        <v>226</v>
      </c>
      <c r="E1953" t="s">
        <v>659</v>
      </c>
      <c r="F1953">
        <v>770.91</v>
      </c>
      <c r="G1953">
        <v>644.89</v>
      </c>
    </row>
    <row r="1954" spans="1:7" hidden="1" x14ac:dyDescent="0.25">
      <c r="A1954" t="s">
        <v>660</v>
      </c>
      <c r="B1954">
        <v>39017</v>
      </c>
      <c r="C1954" t="s">
        <v>2617</v>
      </c>
      <c r="D1954" t="s">
        <v>226</v>
      </c>
      <c r="E1954" t="s">
        <v>659</v>
      </c>
      <c r="F1954">
        <v>0.21</v>
      </c>
      <c r="G1954">
        <v>0.22</v>
      </c>
    </row>
    <row r="1955" spans="1:7" hidden="1" x14ac:dyDescent="0.25">
      <c r="A1955" t="s">
        <v>660</v>
      </c>
      <c r="B1955">
        <v>39315</v>
      </c>
      <c r="C1955" t="s">
        <v>2618</v>
      </c>
      <c r="D1955" t="s">
        <v>226</v>
      </c>
      <c r="E1955" t="s">
        <v>659</v>
      </c>
      <c r="F1955">
        <v>0.35</v>
      </c>
      <c r="G1955">
        <v>0.36</v>
      </c>
    </row>
    <row r="1956" spans="1:7" hidden="1" x14ac:dyDescent="0.25">
      <c r="A1956" t="s">
        <v>660</v>
      </c>
      <c r="B1956">
        <v>39016</v>
      </c>
      <c r="C1956" t="s">
        <v>2619</v>
      </c>
      <c r="D1956" t="s">
        <v>226</v>
      </c>
      <c r="E1956" t="s">
        <v>659</v>
      </c>
      <c r="F1956">
        <v>0.35</v>
      </c>
      <c r="G1956">
        <v>0.37</v>
      </c>
    </row>
    <row r="1957" spans="1:7" hidden="1" x14ac:dyDescent="0.25">
      <c r="A1957" t="s">
        <v>660</v>
      </c>
      <c r="B1957">
        <v>39481</v>
      </c>
      <c r="C1957" t="s">
        <v>2620</v>
      </c>
      <c r="D1957" t="s">
        <v>226</v>
      </c>
      <c r="E1957" t="s">
        <v>659</v>
      </c>
      <c r="F1957">
        <v>1.7</v>
      </c>
      <c r="G1957">
        <v>1.79</v>
      </c>
    </row>
    <row r="1958" spans="1:7" hidden="1" x14ac:dyDescent="0.25">
      <c r="A1958" t="s">
        <v>660</v>
      </c>
      <c r="B1958">
        <v>39013</v>
      </c>
      <c r="C1958" t="s">
        <v>2621</v>
      </c>
      <c r="D1958" t="s">
        <v>226</v>
      </c>
      <c r="E1958" t="s">
        <v>659</v>
      </c>
      <c r="F1958">
        <v>1.45</v>
      </c>
      <c r="G1958">
        <v>1.53</v>
      </c>
    </row>
    <row r="1959" spans="1:7" hidden="1" x14ac:dyDescent="0.25">
      <c r="A1959" t="s">
        <v>660</v>
      </c>
      <c r="B1959">
        <v>44919</v>
      </c>
      <c r="C1959" t="s">
        <v>2622</v>
      </c>
      <c r="D1959" t="s">
        <v>226</v>
      </c>
      <c r="E1959" t="s">
        <v>659</v>
      </c>
      <c r="F1959">
        <v>2.71</v>
      </c>
      <c r="G1959">
        <v>2.85</v>
      </c>
    </row>
    <row r="1960" spans="1:7" hidden="1" x14ac:dyDescent="0.25">
      <c r="A1960" t="s">
        <v>660</v>
      </c>
      <c r="B1960">
        <v>40433</v>
      </c>
      <c r="C1960" t="s">
        <v>2623</v>
      </c>
      <c r="D1960" t="s">
        <v>226</v>
      </c>
      <c r="E1960" t="s">
        <v>659</v>
      </c>
      <c r="F1960">
        <v>1.5</v>
      </c>
      <c r="G1960">
        <v>1.58</v>
      </c>
    </row>
    <row r="1961" spans="1:7" hidden="1" x14ac:dyDescent="0.25">
      <c r="A1961" t="s">
        <v>842</v>
      </c>
      <c r="B1961">
        <v>20219</v>
      </c>
      <c r="C1961" t="s">
        <v>2624</v>
      </c>
      <c r="D1961" t="s">
        <v>226</v>
      </c>
      <c r="E1961" t="s">
        <v>172</v>
      </c>
      <c r="F1961">
        <f>G1961</f>
        <v>140400</v>
      </c>
      <c r="G1961" s="538">
        <v>140400</v>
      </c>
    </row>
    <row r="1962" spans="1:7" hidden="1" x14ac:dyDescent="0.25">
      <c r="A1962" t="s">
        <v>842</v>
      </c>
      <c r="B1962">
        <v>36484</v>
      </c>
      <c r="C1962" t="s">
        <v>2625</v>
      </c>
      <c r="D1962" t="s">
        <v>226</v>
      </c>
      <c r="E1962" t="s">
        <v>659</v>
      </c>
      <c r="F1962">
        <f>G1962</f>
        <v>298043.63</v>
      </c>
      <c r="G1962" s="538">
        <v>298043.63</v>
      </c>
    </row>
    <row r="1963" spans="1:7" hidden="1" x14ac:dyDescent="0.25">
      <c r="A1963" t="s">
        <v>660</v>
      </c>
      <c r="B1963">
        <v>38368</v>
      </c>
      <c r="C1963" t="s">
        <v>2626</v>
      </c>
      <c r="D1963" t="s">
        <v>226</v>
      </c>
      <c r="E1963" t="s">
        <v>659</v>
      </c>
      <c r="F1963">
        <v>7.81</v>
      </c>
      <c r="G1963">
        <v>7.89</v>
      </c>
    </row>
    <row r="1964" spans="1:7" hidden="1" x14ac:dyDescent="0.25">
      <c r="A1964" t="s">
        <v>660</v>
      </c>
      <c r="B1964">
        <v>38367</v>
      </c>
      <c r="C1964" t="s">
        <v>2627</v>
      </c>
      <c r="D1964" t="s">
        <v>226</v>
      </c>
      <c r="E1964" t="s">
        <v>659</v>
      </c>
      <c r="F1964">
        <v>15.06</v>
      </c>
      <c r="G1964">
        <v>13.01</v>
      </c>
    </row>
    <row r="1965" spans="1:7" hidden="1" x14ac:dyDescent="0.25">
      <c r="A1965" t="s">
        <v>660</v>
      </c>
      <c r="B1965">
        <v>38091</v>
      </c>
      <c r="C1965" t="s">
        <v>2628</v>
      </c>
      <c r="D1965" t="s">
        <v>226</v>
      </c>
      <c r="E1965" t="s">
        <v>659</v>
      </c>
      <c r="F1965">
        <v>2.2400000000000002</v>
      </c>
      <c r="G1965">
        <v>2.48</v>
      </c>
    </row>
    <row r="1966" spans="1:7" hidden="1" x14ac:dyDescent="0.25">
      <c r="A1966" t="s">
        <v>660</v>
      </c>
      <c r="B1966">
        <v>38095</v>
      </c>
      <c r="C1966" t="s">
        <v>2629</v>
      </c>
      <c r="D1966" t="s">
        <v>226</v>
      </c>
      <c r="E1966" t="s">
        <v>659</v>
      </c>
      <c r="F1966">
        <v>4.74</v>
      </c>
      <c r="G1966">
        <v>5.24</v>
      </c>
    </row>
    <row r="1967" spans="1:7" hidden="1" x14ac:dyDescent="0.25">
      <c r="A1967" t="s">
        <v>660</v>
      </c>
      <c r="B1967">
        <v>38092</v>
      </c>
      <c r="C1967" t="s">
        <v>2630</v>
      </c>
      <c r="D1967" t="s">
        <v>226</v>
      </c>
      <c r="E1967" t="s">
        <v>659</v>
      </c>
      <c r="F1967">
        <v>2.12</v>
      </c>
      <c r="G1967">
        <v>2.35</v>
      </c>
    </row>
    <row r="1968" spans="1:7" hidden="1" x14ac:dyDescent="0.25">
      <c r="A1968" t="s">
        <v>660</v>
      </c>
      <c r="B1968">
        <v>38093</v>
      </c>
      <c r="C1968" t="s">
        <v>2631</v>
      </c>
      <c r="D1968" t="s">
        <v>226</v>
      </c>
      <c r="E1968" t="s">
        <v>659</v>
      </c>
      <c r="F1968">
        <v>2.2000000000000002</v>
      </c>
      <c r="G1968">
        <v>2.4300000000000002</v>
      </c>
    </row>
    <row r="1969" spans="1:7" hidden="1" x14ac:dyDescent="0.25">
      <c r="A1969" t="s">
        <v>660</v>
      </c>
      <c r="B1969">
        <v>38096</v>
      </c>
      <c r="C1969" t="s">
        <v>2632</v>
      </c>
      <c r="D1969" t="s">
        <v>226</v>
      </c>
      <c r="E1969" t="s">
        <v>659</v>
      </c>
      <c r="F1969">
        <v>5.0999999999999996</v>
      </c>
      <c r="G1969">
        <v>5.64</v>
      </c>
    </row>
    <row r="1970" spans="1:7" hidden="1" x14ac:dyDescent="0.25">
      <c r="A1970" t="s">
        <v>660</v>
      </c>
      <c r="B1970">
        <v>38094</v>
      </c>
      <c r="C1970" t="s">
        <v>2633</v>
      </c>
      <c r="D1970" t="s">
        <v>226</v>
      </c>
      <c r="E1970" t="s">
        <v>659</v>
      </c>
      <c r="F1970">
        <v>2.69</v>
      </c>
      <c r="G1970">
        <v>2.97</v>
      </c>
    </row>
    <row r="1971" spans="1:7" hidden="1" x14ac:dyDescent="0.25">
      <c r="A1971" t="s">
        <v>660</v>
      </c>
      <c r="B1971">
        <v>38097</v>
      </c>
      <c r="C1971" t="s">
        <v>2634</v>
      </c>
      <c r="D1971" t="s">
        <v>226</v>
      </c>
      <c r="E1971" t="s">
        <v>659</v>
      </c>
      <c r="F1971">
        <v>5.47</v>
      </c>
      <c r="G1971">
        <v>6.04</v>
      </c>
    </row>
    <row r="1972" spans="1:7" hidden="1" x14ac:dyDescent="0.25">
      <c r="A1972" t="s">
        <v>660</v>
      </c>
      <c r="B1972">
        <v>38098</v>
      </c>
      <c r="C1972" t="s">
        <v>2635</v>
      </c>
      <c r="D1972" t="s">
        <v>226</v>
      </c>
      <c r="E1972" t="s">
        <v>659</v>
      </c>
      <c r="F1972">
        <v>5.47</v>
      </c>
      <c r="G1972">
        <v>6.04</v>
      </c>
    </row>
    <row r="1973" spans="1:7" hidden="1" x14ac:dyDescent="0.25">
      <c r="A1973" t="s">
        <v>660</v>
      </c>
      <c r="B1973">
        <v>11186</v>
      </c>
      <c r="C1973" t="s">
        <v>2636</v>
      </c>
      <c r="D1973" t="s">
        <v>498</v>
      </c>
      <c r="E1973" t="s">
        <v>659</v>
      </c>
      <c r="F1973">
        <v>286.66000000000003</v>
      </c>
      <c r="G1973">
        <v>516</v>
      </c>
    </row>
    <row r="1974" spans="1:7" hidden="1" x14ac:dyDescent="0.25">
      <c r="A1974" t="s">
        <v>660</v>
      </c>
      <c r="B1974">
        <v>11558</v>
      </c>
      <c r="C1974" t="s">
        <v>2637</v>
      </c>
      <c r="D1974" t="s">
        <v>1086</v>
      </c>
      <c r="E1974" t="s">
        <v>659</v>
      </c>
      <c r="F1974">
        <v>16.059999999999999</v>
      </c>
      <c r="G1974">
        <v>14.34</v>
      </c>
    </row>
    <row r="1975" spans="1:7" hidden="1" x14ac:dyDescent="0.25">
      <c r="A1975" t="s">
        <v>660</v>
      </c>
      <c r="B1975">
        <v>11557</v>
      </c>
      <c r="C1975" t="s">
        <v>2638</v>
      </c>
      <c r="D1975" t="s">
        <v>1086</v>
      </c>
      <c r="E1975" t="s">
        <v>659</v>
      </c>
      <c r="F1975">
        <v>40.65</v>
      </c>
      <c r="G1975">
        <v>36.29</v>
      </c>
    </row>
    <row r="1976" spans="1:7" hidden="1" x14ac:dyDescent="0.25">
      <c r="A1976" t="s">
        <v>660</v>
      </c>
      <c r="B1976">
        <v>2759</v>
      </c>
      <c r="C1976" t="s">
        <v>2639</v>
      </c>
      <c r="D1976" t="s">
        <v>226</v>
      </c>
      <c r="E1976" t="s">
        <v>172</v>
      </c>
      <c r="F1976">
        <f>G1976</f>
        <v>9.68</v>
      </c>
      <c r="G1976">
        <v>9.68</v>
      </c>
    </row>
    <row r="1977" spans="1:7" hidden="1" x14ac:dyDescent="0.25">
      <c r="A1977" t="s">
        <v>660</v>
      </c>
      <c r="B1977">
        <v>38124</v>
      </c>
      <c r="C1977" t="s">
        <v>2640</v>
      </c>
      <c r="D1977" t="s">
        <v>226</v>
      </c>
      <c r="E1977" t="s">
        <v>172</v>
      </c>
      <c r="F1977">
        <v>28.95</v>
      </c>
      <c r="G1977">
        <v>28</v>
      </c>
    </row>
    <row r="1978" spans="1:7" hidden="1" x14ac:dyDescent="0.25">
      <c r="A1978" t="s">
        <v>660</v>
      </c>
      <c r="B1978">
        <v>38380</v>
      </c>
      <c r="C1978" t="s">
        <v>2641</v>
      </c>
      <c r="D1978" t="s">
        <v>226</v>
      </c>
      <c r="E1978" t="s">
        <v>659</v>
      </c>
      <c r="F1978">
        <v>25.05</v>
      </c>
      <c r="G1978">
        <v>21.65</v>
      </c>
    </row>
    <row r="1979" spans="1:7" hidden="1" x14ac:dyDescent="0.25">
      <c r="A1979" t="s">
        <v>660</v>
      </c>
      <c r="B1979">
        <v>45278</v>
      </c>
      <c r="C1979" t="s">
        <v>2642</v>
      </c>
      <c r="D1979" t="s">
        <v>226</v>
      </c>
      <c r="E1979" t="s">
        <v>659</v>
      </c>
      <c r="F1979">
        <v>132.69</v>
      </c>
      <c r="G1979">
        <v>112.37</v>
      </c>
    </row>
    <row r="1980" spans="1:7" hidden="1" x14ac:dyDescent="0.25">
      <c r="A1980" t="s">
        <v>660</v>
      </c>
      <c r="B1980">
        <v>42429</v>
      </c>
      <c r="C1980" t="s">
        <v>2643</v>
      </c>
      <c r="D1980" t="s">
        <v>226</v>
      </c>
      <c r="E1980" t="s">
        <v>659</v>
      </c>
      <c r="F1980">
        <f>G1980</f>
        <v>6025.1</v>
      </c>
      <c r="G1980" s="538">
        <v>6025.1</v>
      </c>
    </row>
    <row r="1981" spans="1:7" hidden="1" x14ac:dyDescent="0.25">
      <c r="A1981" t="s">
        <v>842</v>
      </c>
      <c r="B1981">
        <v>39616</v>
      </c>
      <c r="C1981" t="s">
        <v>2644</v>
      </c>
      <c r="D1981" t="s">
        <v>226</v>
      </c>
      <c r="E1981" t="s">
        <v>172</v>
      </c>
      <c r="F1981">
        <v>433.69</v>
      </c>
      <c r="G1981">
        <v>407.55</v>
      </c>
    </row>
    <row r="1982" spans="1:7" hidden="1" x14ac:dyDescent="0.25">
      <c r="A1982" t="s">
        <v>842</v>
      </c>
      <c r="B1982">
        <v>39618</v>
      </c>
      <c r="C1982" t="s">
        <v>2645</v>
      </c>
      <c r="D1982" t="s">
        <v>226</v>
      </c>
      <c r="E1982" t="s">
        <v>659</v>
      </c>
      <c r="F1982">
        <v>786.64</v>
      </c>
      <c r="G1982">
        <v>739.23</v>
      </c>
    </row>
    <row r="1983" spans="1:7" hidden="1" x14ac:dyDescent="0.25">
      <c r="A1983" t="s">
        <v>842</v>
      </c>
      <c r="B1983">
        <v>39619</v>
      </c>
      <c r="C1983" t="s">
        <v>2646</v>
      </c>
      <c r="D1983" t="s">
        <v>226</v>
      </c>
      <c r="E1983" t="s">
        <v>659</v>
      </c>
      <c r="F1983" s="538">
        <v>1077.3800000000001</v>
      </c>
      <c r="G1983" s="538">
        <v>1012.44</v>
      </c>
    </row>
    <row r="1984" spans="1:7" hidden="1" x14ac:dyDescent="0.25">
      <c r="A1984" t="s">
        <v>842</v>
      </c>
      <c r="B1984">
        <v>39613</v>
      </c>
      <c r="C1984" t="s">
        <v>2647</v>
      </c>
      <c r="D1984" t="s">
        <v>226</v>
      </c>
      <c r="E1984" t="s">
        <v>659</v>
      </c>
      <c r="F1984">
        <v>172.27</v>
      </c>
      <c r="G1984">
        <v>161.88999999999999</v>
      </c>
    </row>
    <row r="1985" spans="1:7" hidden="1" x14ac:dyDescent="0.25">
      <c r="A1985" t="s">
        <v>842</v>
      </c>
      <c r="B1985">
        <v>39614</v>
      </c>
      <c r="C1985" t="s">
        <v>2648</v>
      </c>
      <c r="D1985" t="s">
        <v>226</v>
      </c>
      <c r="E1985" t="s">
        <v>659</v>
      </c>
      <c r="F1985">
        <v>251.33</v>
      </c>
      <c r="G1985">
        <v>236.18</v>
      </c>
    </row>
    <row r="1986" spans="1:7" hidden="1" x14ac:dyDescent="0.25">
      <c r="A1986" t="s">
        <v>660</v>
      </c>
      <c r="B1986">
        <v>38538</v>
      </c>
      <c r="C1986" t="s">
        <v>2649</v>
      </c>
      <c r="D1986" t="s">
        <v>704</v>
      </c>
      <c r="E1986" t="s">
        <v>172</v>
      </c>
      <c r="F1986">
        <f>G1986</f>
        <v>86</v>
      </c>
      <c r="G1986">
        <v>86</v>
      </c>
    </row>
    <row r="1987" spans="1:7" hidden="1" x14ac:dyDescent="0.25">
      <c r="A1987" t="s">
        <v>660</v>
      </c>
      <c r="B1987">
        <v>38539</v>
      </c>
      <c r="C1987" t="s">
        <v>2650</v>
      </c>
      <c r="D1987" t="s">
        <v>704</v>
      </c>
      <c r="E1987" t="s">
        <v>659</v>
      </c>
      <c r="F1987">
        <f>G1987</f>
        <v>116.95</v>
      </c>
      <c r="G1987">
        <v>116.95</v>
      </c>
    </row>
    <row r="1988" spans="1:7" hidden="1" x14ac:dyDescent="0.25">
      <c r="A1988" t="s">
        <v>660</v>
      </c>
      <c r="B1988">
        <v>38540</v>
      </c>
      <c r="C1988" t="s">
        <v>2651</v>
      </c>
      <c r="D1988" t="s">
        <v>704</v>
      </c>
      <c r="E1988" t="s">
        <v>659</v>
      </c>
      <c r="F1988">
        <f>G1988</f>
        <v>299.70999999999998</v>
      </c>
      <c r="G1988">
        <v>299.70999999999998</v>
      </c>
    </row>
    <row r="1989" spans="1:7" hidden="1" x14ac:dyDescent="0.25">
      <c r="A1989" t="s">
        <v>660</v>
      </c>
      <c r="B1989">
        <v>38384</v>
      </c>
      <c r="C1989" t="s">
        <v>2652</v>
      </c>
      <c r="D1989" t="s">
        <v>226</v>
      </c>
      <c r="E1989" t="s">
        <v>659</v>
      </c>
      <c r="F1989">
        <v>18.04</v>
      </c>
      <c r="G1989">
        <v>15.59</v>
      </c>
    </row>
    <row r="1990" spans="1:7" hidden="1" x14ac:dyDescent="0.25">
      <c r="A1990" t="s">
        <v>660</v>
      </c>
      <c r="B1990">
        <v>13</v>
      </c>
      <c r="C1990" t="s">
        <v>2653</v>
      </c>
      <c r="D1990" t="s">
        <v>708</v>
      </c>
      <c r="E1990" t="s">
        <v>659</v>
      </c>
      <c r="F1990">
        <v>21.92</v>
      </c>
      <c r="G1990">
        <v>20.92</v>
      </c>
    </row>
    <row r="1991" spans="1:7" hidden="1" x14ac:dyDescent="0.25">
      <c r="A1991" t="s">
        <v>660</v>
      </c>
      <c r="B1991">
        <v>2762</v>
      </c>
      <c r="C1991" t="s">
        <v>2654</v>
      </c>
      <c r="D1991" t="s">
        <v>704</v>
      </c>
      <c r="E1991" t="s">
        <v>659</v>
      </c>
      <c r="F1991">
        <f>G1991</f>
        <v>12.1</v>
      </c>
      <c r="G1991">
        <v>12.1</v>
      </c>
    </row>
    <row r="1992" spans="1:7" hidden="1" x14ac:dyDescent="0.25">
      <c r="A1992" t="s">
        <v>660</v>
      </c>
      <c r="B1992">
        <v>21142</v>
      </c>
      <c r="C1992" t="s">
        <v>2655</v>
      </c>
      <c r="D1992" t="s">
        <v>226</v>
      </c>
      <c r="E1992" t="s">
        <v>659</v>
      </c>
      <c r="F1992">
        <v>32.049999999999997</v>
      </c>
      <c r="G1992">
        <v>34.880000000000003</v>
      </c>
    </row>
    <row r="1993" spans="1:7" hidden="1" x14ac:dyDescent="0.25">
      <c r="A1993" t="s">
        <v>660</v>
      </c>
      <c r="B1993">
        <v>4223</v>
      </c>
      <c r="C1993" t="s">
        <v>2656</v>
      </c>
      <c r="D1993" t="s">
        <v>710</v>
      </c>
      <c r="E1993" t="s">
        <v>172</v>
      </c>
      <c r="F1993">
        <v>4.17</v>
      </c>
      <c r="G1993">
        <v>3.97</v>
      </c>
    </row>
    <row r="1994" spans="1:7" hidden="1" x14ac:dyDescent="0.25">
      <c r="A1994" t="s">
        <v>660</v>
      </c>
      <c r="B1994">
        <v>37372</v>
      </c>
      <c r="C1994" t="s">
        <v>2657</v>
      </c>
      <c r="D1994" t="s">
        <v>809</v>
      </c>
      <c r="E1994" t="s">
        <v>172</v>
      </c>
      <c r="F1994">
        <v>1.43</v>
      </c>
      <c r="G1994">
        <v>1.43</v>
      </c>
    </row>
    <row r="1995" spans="1:7" hidden="1" x14ac:dyDescent="0.25">
      <c r="A1995" t="s">
        <v>660</v>
      </c>
      <c r="B1995">
        <v>40863</v>
      </c>
      <c r="C1995" t="s">
        <v>2658</v>
      </c>
      <c r="D1995" t="s">
        <v>811</v>
      </c>
      <c r="E1995" t="s">
        <v>172</v>
      </c>
      <c r="F1995">
        <v>270.51</v>
      </c>
      <c r="G1995">
        <v>270.51</v>
      </c>
    </row>
    <row r="1996" spans="1:7" hidden="1" x14ac:dyDescent="0.25">
      <c r="A1996" t="s">
        <v>660</v>
      </c>
      <c r="B1996">
        <v>38475</v>
      </c>
      <c r="C1996" t="s">
        <v>2659</v>
      </c>
      <c r="D1996" t="s">
        <v>226</v>
      </c>
      <c r="E1996" t="s">
        <v>659</v>
      </c>
      <c r="F1996">
        <v>70.069999999999993</v>
      </c>
      <c r="G1996">
        <v>59.34</v>
      </c>
    </row>
    <row r="1997" spans="1:7" hidden="1" x14ac:dyDescent="0.25">
      <c r="A1997" t="s">
        <v>660</v>
      </c>
      <c r="B1997">
        <v>38474</v>
      </c>
      <c r="C1997" t="s">
        <v>2660</v>
      </c>
      <c r="D1997" t="s">
        <v>226</v>
      </c>
      <c r="E1997" t="s">
        <v>659</v>
      </c>
      <c r="F1997">
        <v>71.05</v>
      </c>
      <c r="G1997">
        <v>60.16</v>
      </c>
    </row>
    <row r="1998" spans="1:7" hidden="1" x14ac:dyDescent="0.25">
      <c r="A1998" t="s">
        <v>660</v>
      </c>
      <c r="B1998">
        <v>10886</v>
      </c>
      <c r="C1998" t="s">
        <v>2661</v>
      </c>
      <c r="D1998" t="s">
        <v>226</v>
      </c>
      <c r="E1998" t="s">
        <v>659</v>
      </c>
      <c r="F1998">
        <v>155.31</v>
      </c>
      <c r="G1998">
        <v>201.25</v>
      </c>
    </row>
    <row r="1999" spans="1:7" hidden="1" x14ac:dyDescent="0.25">
      <c r="A1999" t="s">
        <v>660</v>
      </c>
      <c r="B1999">
        <v>10888</v>
      </c>
      <c r="C1999" t="s">
        <v>2662</v>
      </c>
      <c r="D1999" t="s">
        <v>226</v>
      </c>
      <c r="E1999" t="s">
        <v>659</v>
      </c>
      <c r="F1999">
        <v>491.53</v>
      </c>
      <c r="G1999">
        <v>636.91999999999996</v>
      </c>
    </row>
    <row r="2000" spans="1:7" hidden="1" x14ac:dyDescent="0.25">
      <c r="A2000" t="s">
        <v>660</v>
      </c>
      <c r="B2000">
        <v>10889</v>
      </c>
      <c r="C2000" t="s">
        <v>2663</v>
      </c>
      <c r="D2000" t="s">
        <v>226</v>
      </c>
      <c r="E2000" t="s">
        <v>659</v>
      </c>
      <c r="F2000">
        <v>532.5</v>
      </c>
      <c r="G2000">
        <v>690</v>
      </c>
    </row>
    <row r="2001" spans="1:7" hidden="1" x14ac:dyDescent="0.25">
      <c r="A2001" t="s">
        <v>660</v>
      </c>
      <c r="B2001">
        <v>10890</v>
      </c>
      <c r="C2001" t="s">
        <v>2664</v>
      </c>
      <c r="D2001" t="s">
        <v>226</v>
      </c>
      <c r="E2001" t="s">
        <v>659</v>
      </c>
      <c r="F2001">
        <v>245.76</v>
      </c>
      <c r="G2001">
        <v>318.45999999999998</v>
      </c>
    </row>
    <row r="2002" spans="1:7" hidden="1" x14ac:dyDescent="0.25">
      <c r="A2002" t="s">
        <v>660</v>
      </c>
      <c r="B2002">
        <v>10891</v>
      </c>
      <c r="C2002" t="s">
        <v>2665</v>
      </c>
      <c r="D2002" t="s">
        <v>226</v>
      </c>
      <c r="E2002" t="s">
        <v>659</v>
      </c>
      <c r="F2002">
        <v>150.19</v>
      </c>
      <c r="G2002">
        <v>194.61</v>
      </c>
    </row>
    <row r="2003" spans="1:7" hidden="1" x14ac:dyDescent="0.25">
      <c r="A2003" t="s">
        <v>660</v>
      </c>
      <c r="B2003">
        <v>10892</v>
      </c>
      <c r="C2003" t="s">
        <v>2666</v>
      </c>
      <c r="D2003" t="s">
        <v>226</v>
      </c>
      <c r="E2003" t="s">
        <v>172</v>
      </c>
      <c r="F2003">
        <v>177.5</v>
      </c>
      <c r="G2003">
        <v>230</v>
      </c>
    </row>
    <row r="2004" spans="1:7" hidden="1" x14ac:dyDescent="0.25">
      <c r="A2004" t="s">
        <v>660</v>
      </c>
      <c r="B2004">
        <v>20977</v>
      </c>
      <c r="C2004" t="s">
        <v>2667</v>
      </c>
      <c r="D2004" t="s">
        <v>226</v>
      </c>
      <c r="E2004" t="s">
        <v>659</v>
      </c>
      <c r="F2004">
        <v>211.63</v>
      </c>
      <c r="G2004">
        <v>274.23</v>
      </c>
    </row>
    <row r="2005" spans="1:7" hidden="1" x14ac:dyDescent="0.25">
      <c r="A2005" t="s">
        <v>660</v>
      </c>
      <c r="B2005">
        <v>3073</v>
      </c>
      <c r="C2005" t="s">
        <v>2668</v>
      </c>
      <c r="D2005" t="s">
        <v>226</v>
      </c>
      <c r="E2005" t="s">
        <v>659</v>
      </c>
      <c r="F2005">
        <v>238.61</v>
      </c>
      <c r="G2005">
        <v>245.92</v>
      </c>
    </row>
    <row r="2006" spans="1:7" hidden="1" x14ac:dyDescent="0.25">
      <c r="A2006" t="s">
        <v>660</v>
      </c>
      <c r="B2006">
        <v>3074</v>
      </c>
      <c r="C2006" t="s">
        <v>2669</v>
      </c>
      <c r="D2006" t="s">
        <v>226</v>
      </c>
      <c r="E2006" t="s">
        <v>659</v>
      </c>
      <c r="F2006">
        <v>150.63999999999999</v>
      </c>
      <c r="G2006">
        <v>155.26</v>
      </c>
    </row>
    <row r="2007" spans="1:7" hidden="1" x14ac:dyDescent="0.25">
      <c r="A2007" t="s">
        <v>660</v>
      </c>
      <c r="B2007">
        <v>3076</v>
      </c>
      <c r="C2007" t="s">
        <v>2670</v>
      </c>
      <c r="D2007" t="s">
        <v>226</v>
      </c>
      <c r="E2007" t="s">
        <v>659</v>
      </c>
      <c r="F2007">
        <v>196.16</v>
      </c>
      <c r="G2007">
        <v>202.17</v>
      </c>
    </row>
    <row r="2008" spans="1:7" hidden="1" x14ac:dyDescent="0.25">
      <c r="A2008" t="s">
        <v>660</v>
      </c>
      <c r="B2008">
        <v>3075</v>
      </c>
      <c r="C2008" t="s">
        <v>2671</v>
      </c>
      <c r="D2008" t="s">
        <v>226</v>
      </c>
      <c r="E2008" t="s">
        <v>659</v>
      </c>
      <c r="F2008">
        <v>123.96</v>
      </c>
      <c r="G2008">
        <v>127.76</v>
      </c>
    </row>
    <row r="2009" spans="1:7" hidden="1" x14ac:dyDescent="0.25">
      <c r="A2009" t="s">
        <v>660</v>
      </c>
      <c r="B2009">
        <v>10781</v>
      </c>
      <c r="C2009" t="s">
        <v>2672</v>
      </c>
      <c r="D2009" t="s">
        <v>226</v>
      </c>
      <c r="E2009" t="s">
        <v>659</v>
      </c>
      <c r="F2009">
        <v>16.809999999999999</v>
      </c>
      <c r="G2009">
        <v>17.32</v>
      </c>
    </row>
    <row r="2010" spans="1:7" hidden="1" x14ac:dyDescent="0.25">
      <c r="A2010" t="s">
        <v>660</v>
      </c>
      <c r="B2010">
        <v>11480</v>
      </c>
      <c r="C2010" t="s">
        <v>2673</v>
      </c>
      <c r="D2010" t="s">
        <v>2051</v>
      </c>
      <c r="E2010" t="s">
        <v>659</v>
      </c>
      <c r="F2010">
        <v>129.47</v>
      </c>
      <c r="G2010">
        <v>148.88999999999999</v>
      </c>
    </row>
    <row r="2011" spans="1:7" hidden="1" x14ac:dyDescent="0.25">
      <c r="A2011" t="s">
        <v>660</v>
      </c>
      <c r="B2011">
        <v>43612</v>
      </c>
      <c r="C2011" t="s">
        <v>2674</v>
      </c>
      <c r="D2011" t="s">
        <v>2051</v>
      </c>
      <c r="E2011" t="s">
        <v>659</v>
      </c>
      <c r="F2011">
        <v>101.9</v>
      </c>
      <c r="G2011">
        <v>117.19</v>
      </c>
    </row>
    <row r="2012" spans="1:7" hidden="1" x14ac:dyDescent="0.25">
      <c r="A2012" t="s">
        <v>660</v>
      </c>
      <c r="B2012">
        <v>43613</v>
      </c>
      <c r="C2012" t="s">
        <v>2675</v>
      </c>
      <c r="D2012" t="s">
        <v>2051</v>
      </c>
      <c r="E2012" t="s">
        <v>659</v>
      </c>
      <c r="F2012">
        <v>84.36</v>
      </c>
      <c r="G2012">
        <v>97.02</v>
      </c>
    </row>
    <row r="2013" spans="1:7" hidden="1" x14ac:dyDescent="0.25">
      <c r="A2013" t="s">
        <v>660</v>
      </c>
      <c r="B2013">
        <v>11469</v>
      </c>
      <c r="C2013" t="s">
        <v>2676</v>
      </c>
      <c r="D2013" t="s">
        <v>226</v>
      </c>
      <c r="E2013" t="s">
        <v>659</v>
      </c>
      <c r="F2013">
        <v>13.82</v>
      </c>
      <c r="G2013">
        <v>15.89</v>
      </c>
    </row>
    <row r="2014" spans="1:7" hidden="1" x14ac:dyDescent="0.25">
      <c r="A2014" t="s">
        <v>660</v>
      </c>
      <c r="B2014">
        <v>11468</v>
      </c>
      <c r="C2014" t="s">
        <v>2677</v>
      </c>
      <c r="D2014" t="s">
        <v>226</v>
      </c>
      <c r="E2014" t="s">
        <v>659</v>
      </c>
      <c r="F2014">
        <v>13.83</v>
      </c>
      <c r="G2014">
        <v>15.9</v>
      </c>
    </row>
    <row r="2015" spans="1:7" hidden="1" x14ac:dyDescent="0.25">
      <c r="A2015" t="s">
        <v>660</v>
      </c>
      <c r="B2015">
        <v>11484</v>
      </c>
      <c r="C2015" t="s">
        <v>2678</v>
      </c>
      <c r="D2015" t="s">
        <v>226</v>
      </c>
      <c r="E2015" t="s">
        <v>659</v>
      </c>
      <c r="F2015">
        <v>60.74</v>
      </c>
      <c r="G2015">
        <v>69.849999999999994</v>
      </c>
    </row>
    <row r="2016" spans="1:7" hidden="1" x14ac:dyDescent="0.25">
      <c r="A2016" t="s">
        <v>660</v>
      </c>
      <c r="B2016">
        <v>38155</v>
      </c>
      <c r="C2016" t="s">
        <v>2679</v>
      </c>
      <c r="D2016" t="s">
        <v>226</v>
      </c>
      <c r="E2016" t="s">
        <v>659</v>
      </c>
      <c r="F2016">
        <v>94.3</v>
      </c>
      <c r="G2016">
        <v>108.45</v>
      </c>
    </row>
    <row r="2017" spans="1:7" hidden="1" x14ac:dyDescent="0.25">
      <c r="A2017" t="s">
        <v>660</v>
      </c>
      <c r="B2017">
        <v>11467</v>
      </c>
      <c r="C2017" t="s">
        <v>2680</v>
      </c>
      <c r="D2017" t="s">
        <v>226</v>
      </c>
      <c r="E2017" t="s">
        <v>659</v>
      </c>
      <c r="F2017">
        <v>21.55</v>
      </c>
      <c r="G2017">
        <v>24.78</v>
      </c>
    </row>
    <row r="2018" spans="1:7" hidden="1" x14ac:dyDescent="0.25">
      <c r="A2018" t="s">
        <v>660</v>
      </c>
      <c r="B2018">
        <v>38153</v>
      </c>
      <c r="C2018" t="s">
        <v>2681</v>
      </c>
      <c r="D2018" t="s">
        <v>2051</v>
      </c>
      <c r="E2018" t="s">
        <v>659</v>
      </c>
      <c r="F2018">
        <v>55.04</v>
      </c>
      <c r="G2018">
        <v>63.3</v>
      </c>
    </row>
    <row r="2019" spans="1:7" hidden="1" x14ac:dyDescent="0.25">
      <c r="A2019" t="s">
        <v>660</v>
      </c>
      <c r="B2019">
        <v>43607</v>
      </c>
      <c r="C2019" t="s">
        <v>2682</v>
      </c>
      <c r="D2019" t="s">
        <v>2051</v>
      </c>
      <c r="E2019" t="s">
        <v>659</v>
      </c>
      <c r="F2019">
        <v>104.11</v>
      </c>
      <c r="G2019">
        <v>119.73</v>
      </c>
    </row>
    <row r="2020" spans="1:7" hidden="1" x14ac:dyDescent="0.25">
      <c r="A2020" t="s">
        <v>660</v>
      </c>
      <c r="B2020">
        <v>3080</v>
      </c>
      <c r="C2020" t="s">
        <v>2683</v>
      </c>
      <c r="D2020" t="s">
        <v>2051</v>
      </c>
      <c r="E2020" t="s">
        <v>172</v>
      </c>
      <c r="F2020">
        <v>70</v>
      </c>
      <c r="G2020">
        <v>80.5</v>
      </c>
    </row>
    <row r="2021" spans="1:7" hidden="1" x14ac:dyDescent="0.25">
      <c r="A2021" t="s">
        <v>660</v>
      </c>
      <c r="B2021">
        <v>3081</v>
      </c>
      <c r="C2021" t="s">
        <v>2684</v>
      </c>
      <c r="D2021" t="s">
        <v>2051</v>
      </c>
      <c r="E2021" t="s">
        <v>659</v>
      </c>
      <c r="F2021">
        <v>138.49</v>
      </c>
      <c r="G2021">
        <v>159.27000000000001</v>
      </c>
    </row>
    <row r="2022" spans="1:7" hidden="1" x14ac:dyDescent="0.25">
      <c r="A2022" t="s">
        <v>660</v>
      </c>
      <c r="B2022">
        <v>3090</v>
      </c>
      <c r="C2022" t="s">
        <v>2685</v>
      </c>
      <c r="D2022" t="s">
        <v>2051</v>
      </c>
      <c r="E2022" t="s">
        <v>659</v>
      </c>
      <c r="F2022">
        <v>62.48</v>
      </c>
      <c r="G2022">
        <v>71.849999999999994</v>
      </c>
    </row>
    <row r="2023" spans="1:7" hidden="1" x14ac:dyDescent="0.25">
      <c r="A2023" t="s">
        <v>660</v>
      </c>
      <c r="B2023">
        <v>43611</v>
      </c>
      <c r="C2023" t="s">
        <v>2686</v>
      </c>
      <c r="D2023" t="s">
        <v>2051</v>
      </c>
      <c r="E2023" t="s">
        <v>659</v>
      </c>
      <c r="F2023">
        <v>103.68</v>
      </c>
      <c r="G2023">
        <v>119.23</v>
      </c>
    </row>
    <row r="2024" spans="1:7" hidden="1" x14ac:dyDescent="0.25">
      <c r="A2024" t="s">
        <v>660</v>
      </c>
      <c r="B2024">
        <v>3103</v>
      </c>
      <c r="C2024" t="s">
        <v>2687</v>
      </c>
      <c r="D2024" t="s">
        <v>226</v>
      </c>
      <c r="E2024" t="s">
        <v>659</v>
      </c>
      <c r="F2024">
        <v>51.8</v>
      </c>
      <c r="G2024">
        <v>59.57</v>
      </c>
    </row>
    <row r="2025" spans="1:7" hidden="1" x14ac:dyDescent="0.25">
      <c r="A2025" t="s">
        <v>660</v>
      </c>
      <c r="B2025">
        <v>3097</v>
      </c>
      <c r="C2025" t="s">
        <v>2688</v>
      </c>
      <c r="D2025" t="s">
        <v>2051</v>
      </c>
      <c r="E2025" t="s">
        <v>659</v>
      </c>
      <c r="F2025">
        <v>78.37</v>
      </c>
      <c r="G2025">
        <v>90.13</v>
      </c>
    </row>
    <row r="2026" spans="1:7" hidden="1" x14ac:dyDescent="0.25">
      <c r="A2026" t="s">
        <v>660</v>
      </c>
      <c r="B2026">
        <v>3099</v>
      </c>
      <c r="C2026" t="s">
        <v>2689</v>
      </c>
      <c r="D2026" t="s">
        <v>2051</v>
      </c>
      <c r="E2026" t="s">
        <v>659</v>
      </c>
      <c r="F2026">
        <v>125.49</v>
      </c>
      <c r="G2026">
        <v>144.32</v>
      </c>
    </row>
    <row r="2027" spans="1:7" hidden="1" x14ac:dyDescent="0.25">
      <c r="A2027" t="s">
        <v>660</v>
      </c>
      <c r="B2027">
        <v>38151</v>
      </c>
      <c r="C2027" t="s">
        <v>2690</v>
      </c>
      <c r="D2027" t="s">
        <v>2051</v>
      </c>
      <c r="E2027" t="s">
        <v>659</v>
      </c>
      <c r="F2027">
        <v>90.98</v>
      </c>
      <c r="G2027">
        <v>104.63</v>
      </c>
    </row>
    <row r="2028" spans="1:7" hidden="1" x14ac:dyDescent="0.25">
      <c r="A2028" t="s">
        <v>660</v>
      </c>
      <c r="B2028">
        <v>38152</v>
      </c>
      <c r="C2028" t="s">
        <v>2691</v>
      </c>
      <c r="D2028" t="s">
        <v>2051</v>
      </c>
      <c r="E2028" t="s">
        <v>659</v>
      </c>
      <c r="F2028">
        <v>146.76</v>
      </c>
      <c r="G2028">
        <v>168.78</v>
      </c>
    </row>
    <row r="2029" spans="1:7" hidden="1" x14ac:dyDescent="0.25">
      <c r="A2029" t="s">
        <v>660</v>
      </c>
      <c r="B2029">
        <v>43610</v>
      </c>
      <c r="C2029" t="s">
        <v>2692</v>
      </c>
      <c r="D2029" t="s">
        <v>2051</v>
      </c>
      <c r="E2029" t="s">
        <v>659</v>
      </c>
      <c r="F2029">
        <v>77.760000000000005</v>
      </c>
      <c r="G2029">
        <v>89.43</v>
      </c>
    </row>
    <row r="2030" spans="1:7" hidden="1" x14ac:dyDescent="0.25">
      <c r="A2030" t="s">
        <v>660</v>
      </c>
      <c r="B2030">
        <v>3093</v>
      </c>
      <c r="C2030" t="s">
        <v>2693</v>
      </c>
      <c r="D2030" t="s">
        <v>2051</v>
      </c>
      <c r="E2030" t="s">
        <v>659</v>
      </c>
      <c r="F2030">
        <v>125.49</v>
      </c>
      <c r="G2030">
        <v>144.32</v>
      </c>
    </row>
    <row r="2031" spans="1:7" hidden="1" x14ac:dyDescent="0.25">
      <c r="A2031" t="s">
        <v>660</v>
      </c>
      <c r="B2031">
        <v>38165</v>
      </c>
      <c r="C2031" t="s">
        <v>2694</v>
      </c>
      <c r="D2031" t="s">
        <v>2051</v>
      </c>
      <c r="E2031" t="s">
        <v>659</v>
      </c>
      <c r="F2031">
        <v>77.25</v>
      </c>
      <c r="G2031">
        <v>68.97</v>
      </c>
    </row>
    <row r="2032" spans="1:7" hidden="1" x14ac:dyDescent="0.25">
      <c r="A2032" t="s">
        <v>660</v>
      </c>
      <c r="B2032">
        <v>38177</v>
      </c>
      <c r="C2032" t="s">
        <v>2695</v>
      </c>
      <c r="D2032" t="s">
        <v>226</v>
      </c>
      <c r="E2032" t="s">
        <v>659</v>
      </c>
      <c r="F2032">
        <v>22.95</v>
      </c>
      <c r="G2032">
        <v>20.49</v>
      </c>
    </row>
    <row r="2033" spans="1:7" hidden="1" x14ac:dyDescent="0.25">
      <c r="A2033" t="s">
        <v>660</v>
      </c>
      <c r="B2033">
        <v>11458</v>
      </c>
      <c r="C2033" t="s">
        <v>2696</v>
      </c>
      <c r="D2033" t="s">
        <v>226</v>
      </c>
      <c r="E2033" t="s">
        <v>659</v>
      </c>
      <c r="F2033">
        <v>27.4</v>
      </c>
      <c r="G2033">
        <v>24.47</v>
      </c>
    </row>
    <row r="2034" spans="1:7" hidden="1" x14ac:dyDescent="0.25">
      <c r="A2034" t="s">
        <v>660</v>
      </c>
      <c r="B2034">
        <v>3108</v>
      </c>
      <c r="C2034" t="s">
        <v>2697</v>
      </c>
      <c r="D2034" t="s">
        <v>226</v>
      </c>
      <c r="E2034" t="s">
        <v>659</v>
      </c>
      <c r="F2034">
        <v>116.5</v>
      </c>
      <c r="G2034">
        <v>104.01</v>
      </c>
    </row>
    <row r="2035" spans="1:7" hidden="1" x14ac:dyDescent="0.25">
      <c r="A2035" t="s">
        <v>660</v>
      </c>
      <c r="B2035">
        <v>3105</v>
      </c>
      <c r="C2035" t="s">
        <v>2698</v>
      </c>
      <c r="D2035" t="s">
        <v>226</v>
      </c>
      <c r="E2035" t="s">
        <v>659</v>
      </c>
      <c r="F2035">
        <v>152.37</v>
      </c>
      <c r="G2035">
        <v>136.04</v>
      </c>
    </row>
    <row r="2036" spans="1:7" hidden="1" x14ac:dyDescent="0.25">
      <c r="A2036" t="s">
        <v>660</v>
      </c>
      <c r="B2036">
        <v>38178</v>
      </c>
      <c r="C2036" t="s">
        <v>2699</v>
      </c>
      <c r="D2036" t="s">
        <v>226</v>
      </c>
      <c r="E2036" t="s">
        <v>659</v>
      </c>
      <c r="F2036">
        <v>25.25</v>
      </c>
      <c r="G2036">
        <v>22.55</v>
      </c>
    </row>
    <row r="2037" spans="1:7" hidden="1" x14ac:dyDescent="0.25">
      <c r="A2037" t="s">
        <v>660</v>
      </c>
      <c r="B2037">
        <v>43575</v>
      </c>
      <c r="C2037" t="s">
        <v>2700</v>
      </c>
      <c r="D2037" t="s">
        <v>226</v>
      </c>
      <c r="E2037" t="s">
        <v>659</v>
      </c>
      <c r="F2037">
        <v>54.72</v>
      </c>
      <c r="G2037">
        <v>48.86</v>
      </c>
    </row>
    <row r="2038" spans="1:7" hidden="1" x14ac:dyDescent="0.25">
      <c r="A2038" t="s">
        <v>660</v>
      </c>
      <c r="B2038">
        <v>43577</v>
      </c>
      <c r="C2038" t="s">
        <v>2701</v>
      </c>
      <c r="D2038" t="s">
        <v>226</v>
      </c>
      <c r="E2038" t="s">
        <v>659</v>
      </c>
      <c r="F2038">
        <v>95.14</v>
      </c>
      <c r="G2038">
        <v>84.94</v>
      </c>
    </row>
    <row r="2039" spans="1:7" hidden="1" x14ac:dyDescent="0.25">
      <c r="A2039" t="s">
        <v>660</v>
      </c>
      <c r="B2039">
        <v>43458</v>
      </c>
      <c r="C2039" t="s">
        <v>2702</v>
      </c>
      <c r="D2039" t="s">
        <v>809</v>
      </c>
      <c r="E2039" t="s">
        <v>172</v>
      </c>
      <c r="F2039">
        <v>0.06</v>
      </c>
      <c r="G2039">
        <v>0.06</v>
      </c>
    </row>
    <row r="2040" spans="1:7" hidden="1" x14ac:dyDescent="0.25">
      <c r="A2040" t="s">
        <v>660</v>
      </c>
      <c r="B2040">
        <v>43470</v>
      </c>
      <c r="C2040" t="s">
        <v>2703</v>
      </c>
      <c r="D2040" t="s">
        <v>811</v>
      </c>
      <c r="E2040" t="s">
        <v>172</v>
      </c>
      <c r="F2040">
        <v>11.14</v>
      </c>
      <c r="G2040">
        <v>11.14</v>
      </c>
    </row>
    <row r="2041" spans="1:7" hidden="1" x14ac:dyDescent="0.25">
      <c r="A2041" t="s">
        <v>660</v>
      </c>
      <c r="B2041">
        <v>43459</v>
      </c>
      <c r="C2041" t="s">
        <v>2704</v>
      </c>
      <c r="D2041" t="s">
        <v>809</v>
      </c>
      <c r="E2041" t="s">
        <v>172</v>
      </c>
      <c r="F2041">
        <v>0.44</v>
      </c>
      <c r="G2041">
        <v>0.44</v>
      </c>
    </row>
    <row r="2042" spans="1:7" hidden="1" x14ac:dyDescent="0.25">
      <c r="A2042" t="s">
        <v>660</v>
      </c>
      <c r="B2042">
        <v>43471</v>
      </c>
      <c r="C2042" t="s">
        <v>2705</v>
      </c>
      <c r="D2042" t="s">
        <v>811</v>
      </c>
      <c r="E2042" t="s">
        <v>172</v>
      </c>
      <c r="F2042">
        <v>82.31</v>
      </c>
      <c r="G2042">
        <v>82.31</v>
      </c>
    </row>
    <row r="2043" spans="1:7" hidden="1" x14ac:dyDescent="0.25">
      <c r="A2043" t="s">
        <v>660</v>
      </c>
      <c r="B2043">
        <v>43460</v>
      </c>
      <c r="C2043" t="s">
        <v>2706</v>
      </c>
      <c r="D2043" t="s">
        <v>809</v>
      </c>
      <c r="E2043" t="s">
        <v>172</v>
      </c>
      <c r="F2043">
        <v>0.86</v>
      </c>
      <c r="G2043">
        <v>0.86</v>
      </c>
    </row>
    <row r="2044" spans="1:7" hidden="1" x14ac:dyDescent="0.25">
      <c r="A2044" t="s">
        <v>660</v>
      </c>
      <c r="B2044">
        <v>43472</v>
      </c>
      <c r="C2044" t="s">
        <v>2707</v>
      </c>
      <c r="D2044" t="s">
        <v>811</v>
      </c>
      <c r="E2044" t="s">
        <v>172</v>
      </c>
      <c r="F2044">
        <v>161.72999999999999</v>
      </c>
      <c r="G2044">
        <v>161.72999999999999</v>
      </c>
    </row>
    <row r="2045" spans="1:7" hidden="1" x14ac:dyDescent="0.25">
      <c r="A2045" t="s">
        <v>660</v>
      </c>
      <c r="B2045">
        <v>43461</v>
      </c>
      <c r="C2045" t="s">
        <v>2708</v>
      </c>
      <c r="D2045" t="s">
        <v>809</v>
      </c>
      <c r="E2045" t="s">
        <v>172</v>
      </c>
      <c r="F2045">
        <v>0.31</v>
      </c>
      <c r="G2045">
        <v>0.31</v>
      </c>
    </row>
    <row r="2046" spans="1:7" hidden="1" x14ac:dyDescent="0.25">
      <c r="A2046" t="s">
        <v>660</v>
      </c>
      <c r="B2046">
        <v>43473</v>
      </c>
      <c r="C2046" t="s">
        <v>2709</v>
      </c>
      <c r="D2046" t="s">
        <v>811</v>
      </c>
      <c r="E2046" t="s">
        <v>172</v>
      </c>
      <c r="F2046">
        <v>59.01</v>
      </c>
      <c r="G2046">
        <v>59.01</v>
      </c>
    </row>
    <row r="2047" spans="1:7" hidden="1" x14ac:dyDescent="0.25">
      <c r="A2047" t="s">
        <v>660</v>
      </c>
      <c r="B2047">
        <v>43463</v>
      </c>
      <c r="C2047" t="s">
        <v>2710</v>
      </c>
      <c r="D2047" t="s">
        <v>809</v>
      </c>
      <c r="E2047" t="s">
        <v>172</v>
      </c>
      <c r="F2047">
        <v>0.08</v>
      </c>
      <c r="G2047">
        <v>0.08</v>
      </c>
    </row>
    <row r="2048" spans="1:7" hidden="1" x14ac:dyDescent="0.25">
      <c r="A2048" t="s">
        <v>660</v>
      </c>
      <c r="B2048">
        <v>43475</v>
      </c>
      <c r="C2048" t="s">
        <v>2711</v>
      </c>
      <c r="D2048" t="s">
        <v>811</v>
      </c>
      <c r="E2048" t="s">
        <v>172</v>
      </c>
      <c r="F2048">
        <v>15.46</v>
      </c>
      <c r="G2048">
        <v>15.46</v>
      </c>
    </row>
    <row r="2049" spans="1:7" hidden="1" x14ac:dyDescent="0.25">
      <c r="A2049" t="s">
        <v>660</v>
      </c>
      <c r="B2049">
        <v>43462</v>
      </c>
      <c r="C2049" t="s">
        <v>2712</v>
      </c>
      <c r="D2049" t="s">
        <v>809</v>
      </c>
      <c r="E2049" t="s">
        <v>172</v>
      </c>
      <c r="F2049">
        <v>0.01</v>
      </c>
      <c r="G2049">
        <v>0.01</v>
      </c>
    </row>
    <row r="2050" spans="1:7" hidden="1" x14ac:dyDescent="0.25">
      <c r="A2050" t="s">
        <v>660</v>
      </c>
      <c r="B2050">
        <v>43474</v>
      </c>
      <c r="C2050" t="s">
        <v>2713</v>
      </c>
      <c r="D2050" t="s">
        <v>811</v>
      </c>
      <c r="E2050" t="s">
        <v>172</v>
      </c>
      <c r="F2050">
        <v>2.35</v>
      </c>
      <c r="G2050">
        <v>2.35</v>
      </c>
    </row>
    <row r="2051" spans="1:7" hidden="1" x14ac:dyDescent="0.25">
      <c r="A2051" t="s">
        <v>660</v>
      </c>
      <c r="B2051">
        <v>43464</v>
      </c>
      <c r="C2051" t="s">
        <v>2714</v>
      </c>
      <c r="D2051" t="s">
        <v>809</v>
      </c>
      <c r="E2051" t="s">
        <v>172</v>
      </c>
      <c r="F2051">
        <v>0.01</v>
      </c>
      <c r="G2051">
        <v>0.01</v>
      </c>
    </row>
    <row r="2052" spans="1:7" hidden="1" x14ac:dyDescent="0.25">
      <c r="A2052" t="s">
        <v>660</v>
      </c>
      <c r="B2052">
        <v>43476</v>
      </c>
      <c r="C2052" t="s">
        <v>2715</v>
      </c>
      <c r="D2052" t="s">
        <v>811</v>
      </c>
      <c r="E2052" t="s">
        <v>172</v>
      </c>
      <c r="F2052">
        <v>0.01</v>
      </c>
      <c r="G2052">
        <v>0.01</v>
      </c>
    </row>
    <row r="2053" spans="1:7" hidden="1" x14ac:dyDescent="0.25">
      <c r="A2053" t="s">
        <v>660</v>
      </c>
      <c r="B2053">
        <v>43465</v>
      </c>
      <c r="C2053" t="s">
        <v>2716</v>
      </c>
      <c r="D2053" t="s">
        <v>809</v>
      </c>
      <c r="E2053" t="s">
        <v>172</v>
      </c>
      <c r="F2053">
        <v>0.78</v>
      </c>
      <c r="G2053">
        <v>0.78</v>
      </c>
    </row>
    <row r="2054" spans="1:7" hidden="1" x14ac:dyDescent="0.25">
      <c r="A2054" t="s">
        <v>660</v>
      </c>
      <c r="B2054">
        <v>43477</v>
      </c>
      <c r="C2054" t="s">
        <v>2717</v>
      </c>
      <c r="D2054" t="s">
        <v>811</v>
      </c>
      <c r="E2054" t="s">
        <v>172</v>
      </c>
      <c r="F2054">
        <v>147.87</v>
      </c>
      <c r="G2054">
        <v>147.87</v>
      </c>
    </row>
    <row r="2055" spans="1:7" hidden="1" x14ac:dyDescent="0.25">
      <c r="A2055" t="s">
        <v>660</v>
      </c>
      <c r="B2055">
        <v>43466</v>
      </c>
      <c r="C2055" t="s">
        <v>2718</v>
      </c>
      <c r="D2055" t="s">
        <v>809</v>
      </c>
      <c r="E2055" t="s">
        <v>172</v>
      </c>
      <c r="F2055">
        <v>2.0499999999999998</v>
      </c>
      <c r="G2055">
        <v>2.0499999999999998</v>
      </c>
    </row>
    <row r="2056" spans="1:7" hidden="1" x14ac:dyDescent="0.25">
      <c r="A2056" t="s">
        <v>660</v>
      </c>
      <c r="B2056">
        <v>43478</v>
      </c>
      <c r="C2056" t="s">
        <v>2719</v>
      </c>
      <c r="D2056" t="s">
        <v>811</v>
      </c>
      <c r="E2056" t="s">
        <v>172</v>
      </c>
      <c r="F2056">
        <v>387.36</v>
      </c>
      <c r="G2056">
        <v>387.36</v>
      </c>
    </row>
    <row r="2057" spans="1:7" hidden="1" x14ac:dyDescent="0.25">
      <c r="A2057" t="s">
        <v>660</v>
      </c>
      <c r="B2057">
        <v>43467</v>
      </c>
      <c r="C2057" t="s">
        <v>2720</v>
      </c>
      <c r="D2057" t="s">
        <v>809</v>
      </c>
      <c r="E2057" t="s">
        <v>172</v>
      </c>
      <c r="F2057">
        <v>0.61</v>
      </c>
      <c r="G2057">
        <v>0.61</v>
      </c>
    </row>
    <row r="2058" spans="1:7" hidden="1" x14ac:dyDescent="0.25">
      <c r="A2058" t="s">
        <v>660</v>
      </c>
      <c r="B2058">
        <v>43479</v>
      </c>
      <c r="C2058" t="s">
        <v>2721</v>
      </c>
      <c r="D2058" t="s">
        <v>811</v>
      </c>
      <c r="E2058" t="s">
        <v>172</v>
      </c>
      <c r="F2058">
        <v>114.77</v>
      </c>
      <c r="G2058">
        <v>114.77</v>
      </c>
    </row>
    <row r="2059" spans="1:7" hidden="1" x14ac:dyDescent="0.25">
      <c r="A2059" t="s">
        <v>660</v>
      </c>
      <c r="B2059">
        <v>43468</v>
      </c>
      <c r="C2059" t="s">
        <v>2722</v>
      </c>
      <c r="D2059" t="s">
        <v>809</v>
      </c>
      <c r="E2059" t="s">
        <v>172</v>
      </c>
      <c r="F2059">
        <v>1.21</v>
      </c>
      <c r="G2059">
        <v>1.21</v>
      </c>
    </row>
    <row r="2060" spans="1:7" hidden="1" x14ac:dyDescent="0.25">
      <c r="A2060" t="s">
        <v>660</v>
      </c>
      <c r="B2060">
        <v>43480</v>
      </c>
      <c r="C2060" t="s">
        <v>2723</v>
      </c>
      <c r="D2060" t="s">
        <v>811</v>
      </c>
      <c r="E2060" t="s">
        <v>172</v>
      </c>
      <c r="F2060">
        <v>228.92</v>
      </c>
      <c r="G2060">
        <v>228.92</v>
      </c>
    </row>
    <row r="2061" spans="1:7" hidden="1" x14ac:dyDescent="0.25">
      <c r="A2061" t="s">
        <v>660</v>
      </c>
      <c r="B2061">
        <v>43469</v>
      </c>
      <c r="C2061" t="s">
        <v>2724</v>
      </c>
      <c r="D2061" t="s">
        <v>809</v>
      </c>
      <c r="E2061" t="s">
        <v>172</v>
      </c>
      <c r="F2061">
        <v>0.05</v>
      </c>
      <c r="G2061">
        <v>0.05</v>
      </c>
    </row>
    <row r="2062" spans="1:7" hidden="1" x14ac:dyDescent="0.25">
      <c r="A2062" t="s">
        <v>660</v>
      </c>
      <c r="B2062">
        <v>43481</v>
      </c>
      <c r="C2062" t="s">
        <v>2725</v>
      </c>
      <c r="D2062" t="s">
        <v>811</v>
      </c>
      <c r="E2062" t="s">
        <v>172</v>
      </c>
      <c r="F2062">
        <v>9.89</v>
      </c>
      <c r="G2062">
        <v>9.89</v>
      </c>
    </row>
    <row r="2063" spans="1:7" hidden="1" x14ac:dyDescent="0.25">
      <c r="A2063" t="s">
        <v>660</v>
      </c>
      <c r="B2063">
        <v>45204</v>
      </c>
      <c r="C2063" t="s">
        <v>2726</v>
      </c>
      <c r="D2063" t="s">
        <v>226</v>
      </c>
      <c r="E2063" t="s">
        <v>659</v>
      </c>
      <c r="F2063">
        <v>51.84</v>
      </c>
      <c r="G2063">
        <v>43.9</v>
      </c>
    </row>
    <row r="2064" spans="1:7" hidden="1" x14ac:dyDescent="0.25">
      <c r="A2064" t="s">
        <v>660</v>
      </c>
      <c r="B2064">
        <v>3119</v>
      </c>
      <c r="C2064" t="s">
        <v>2727</v>
      </c>
      <c r="D2064" t="s">
        <v>226</v>
      </c>
      <c r="E2064" t="s">
        <v>659</v>
      </c>
      <c r="F2064">
        <v>2.96</v>
      </c>
      <c r="G2064">
        <v>2.65</v>
      </c>
    </row>
    <row r="2065" spans="1:7" hidden="1" x14ac:dyDescent="0.25">
      <c r="A2065" t="s">
        <v>660</v>
      </c>
      <c r="B2065">
        <v>3122</v>
      </c>
      <c r="C2065" t="s">
        <v>2728</v>
      </c>
      <c r="D2065" t="s">
        <v>226</v>
      </c>
      <c r="E2065" t="s">
        <v>659</v>
      </c>
      <c r="F2065">
        <v>6.03</v>
      </c>
      <c r="G2065">
        <v>5.39</v>
      </c>
    </row>
    <row r="2066" spans="1:7" hidden="1" x14ac:dyDescent="0.25">
      <c r="A2066" t="s">
        <v>660</v>
      </c>
      <c r="B2066">
        <v>3121</v>
      </c>
      <c r="C2066" t="s">
        <v>2729</v>
      </c>
      <c r="D2066" t="s">
        <v>226</v>
      </c>
      <c r="E2066" t="s">
        <v>659</v>
      </c>
      <c r="F2066">
        <v>6.84</v>
      </c>
      <c r="G2066">
        <v>6.11</v>
      </c>
    </row>
    <row r="2067" spans="1:7" hidden="1" x14ac:dyDescent="0.25">
      <c r="A2067" t="s">
        <v>660</v>
      </c>
      <c r="B2067">
        <v>3120</v>
      </c>
      <c r="C2067" t="s">
        <v>2730</v>
      </c>
      <c r="D2067" t="s">
        <v>226</v>
      </c>
      <c r="E2067" t="s">
        <v>659</v>
      </c>
      <c r="F2067">
        <v>12.97</v>
      </c>
      <c r="G2067">
        <v>11.58</v>
      </c>
    </row>
    <row r="2068" spans="1:7" hidden="1" x14ac:dyDescent="0.25">
      <c r="A2068" t="s">
        <v>660</v>
      </c>
      <c r="B2068">
        <v>11455</v>
      </c>
      <c r="C2068" t="s">
        <v>2731</v>
      </c>
      <c r="D2068" t="s">
        <v>226</v>
      </c>
      <c r="E2068" t="s">
        <v>659</v>
      </c>
      <c r="F2068">
        <v>18.760000000000002</v>
      </c>
      <c r="G2068">
        <v>16.75</v>
      </c>
    </row>
    <row r="2069" spans="1:7" hidden="1" x14ac:dyDescent="0.25">
      <c r="A2069" t="s">
        <v>660</v>
      </c>
      <c r="B2069">
        <v>11456</v>
      </c>
      <c r="C2069" t="s">
        <v>2732</v>
      </c>
      <c r="D2069" t="s">
        <v>226</v>
      </c>
      <c r="E2069" t="s">
        <v>659</v>
      </c>
      <c r="F2069">
        <v>22.42</v>
      </c>
      <c r="G2069">
        <v>20.02</v>
      </c>
    </row>
    <row r="2070" spans="1:7" hidden="1" x14ac:dyDescent="0.25">
      <c r="A2070" t="s">
        <v>660</v>
      </c>
      <c r="B2070">
        <v>3107</v>
      </c>
      <c r="C2070" t="s">
        <v>2733</v>
      </c>
      <c r="D2070" t="s">
        <v>226</v>
      </c>
      <c r="E2070" t="s">
        <v>659</v>
      </c>
      <c r="F2070">
        <v>9.4600000000000009</v>
      </c>
      <c r="G2070">
        <v>8.44</v>
      </c>
    </row>
    <row r="2071" spans="1:7" hidden="1" x14ac:dyDescent="0.25">
      <c r="A2071" t="s">
        <v>660</v>
      </c>
      <c r="B2071">
        <v>43583</v>
      </c>
      <c r="C2071" t="s">
        <v>2734</v>
      </c>
      <c r="D2071" t="s">
        <v>226</v>
      </c>
      <c r="E2071" t="s">
        <v>659</v>
      </c>
      <c r="F2071">
        <v>10.67</v>
      </c>
      <c r="G2071">
        <v>9.52</v>
      </c>
    </row>
    <row r="2072" spans="1:7" hidden="1" x14ac:dyDescent="0.25">
      <c r="A2072" t="s">
        <v>660</v>
      </c>
      <c r="B2072">
        <v>43586</v>
      </c>
      <c r="C2072" t="s">
        <v>2735</v>
      </c>
      <c r="D2072" t="s">
        <v>226</v>
      </c>
      <c r="E2072" t="s">
        <v>659</v>
      </c>
      <c r="F2072">
        <v>10.93</v>
      </c>
      <c r="G2072">
        <v>9.76</v>
      </c>
    </row>
    <row r="2073" spans="1:7" hidden="1" x14ac:dyDescent="0.25">
      <c r="A2073" t="s">
        <v>660</v>
      </c>
      <c r="B2073">
        <v>11461</v>
      </c>
      <c r="C2073" t="s">
        <v>2736</v>
      </c>
      <c r="D2073" t="s">
        <v>226</v>
      </c>
      <c r="E2073" t="s">
        <v>659</v>
      </c>
      <c r="F2073">
        <v>11.91</v>
      </c>
      <c r="G2073">
        <v>10.64</v>
      </c>
    </row>
    <row r="2074" spans="1:7" hidden="1" x14ac:dyDescent="0.25">
      <c r="A2074" t="s">
        <v>660</v>
      </c>
      <c r="B2074">
        <v>43587</v>
      </c>
      <c r="C2074" t="s">
        <v>2737</v>
      </c>
      <c r="D2074" t="s">
        <v>226</v>
      </c>
      <c r="E2074" t="s">
        <v>659</v>
      </c>
      <c r="F2074">
        <v>13.75</v>
      </c>
      <c r="G2074">
        <v>12.27</v>
      </c>
    </row>
    <row r="2075" spans="1:7" hidden="1" x14ac:dyDescent="0.25">
      <c r="A2075" t="s">
        <v>660</v>
      </c>
      <c r="B2075">
        <v>3106</v>
      </c>
      <c r="C2075" t="s">
        <v>2738</v>
      </c>
      <c r="D2075" t="s">
        <v>226</v>
      </c>
      <c r="E2075" t="s">
        <v>659</v>
      </c>
      <c r="F2075">
        <v>17.440000000000001</v>
      </c>
      <c r="G2075">
        <v>15.57</v>
      </c>
    </row>
    <row r="2076" spans="1:7" hidden="1" x14ac:dyDescent="0.25">
      <c r="A2076" t="s">
        <v>660</v>
      </c>
      <c r="B2076">
        <v>44539</v>
      </c>
      <c r="C2076" t="s">
        <v>2739</v>
      </c>
      <c r="D2076" t="s">
        <v>708</v>
      </c>
      <c r="E2076" t="s">
        <v>659</v>
      </c>
      <c r="F2076">
        <v>3.12</v>
      </c>
      <c r="G2076">
        <v>3.08</v>
      </c>
    </row>
    <row r="2077" spans="1:7" hidden="1" x14ac:dyDescent="0.25">
      <c r="A2077" t="s">
        <v>660</v>
      </c>
      <c r="B2077">
        <v>3123</v>
      </c>
      <c r="C2077" t="s">
        <v>2740</v>
      </c>
      <c r="D2077" t="s">
        <v>708</v>
      </c>
      <c r="E2077" t="s">
        <v>172</v>
      </c>
      <c r="F2077">
        <v>2.91</v>
      </c>
      <c r="G2077">
        <v>2.87</v>
      </c>
    </row>
    <row r="2078" spans="1:7" hidden="1" x14ac:dyDescent="0.25">
      <c r="A2078" t="s">
        <v>660</v>
      </c>
      <c r="B2078">
        <v>38125</v>
      </c>
      <c r="C2078" t="s">
        <v>2741</v>
      </c>
      <c r="D2078" t="s">
        <v>708</v>
      </c>
      <c r="E2078" t="s">
        <v>659</v>
      </c>
      <c r="F2078">
        <v>1.43</v>
      </c>
      <c r="G2078">
        <v>1.71</v>
      </c>
    </row>
    <row r="2079" spans="1:7" hidden="1" x14ac:dyDescent="0.25">
      <c r="A2079" t="s">
        <v>660</v>
      </c>
      <c r="B2079">
        <v>39014</v>
      </c>
      <c r="C2079" t="s">
        <v>2742</v>
      </c>
      <c r="D2079" t="s">
        <v>708</v>
      </c>
      <c r="E2079" t="s">
        <v>659</v>
      </c>
      <c r="F2079">
        <v>8.17</v>
      </c>
      <c r="G2079">
        <v>9.32</v>
      </c>
    </row>
    <row r="2080" spans="1:7" hidden="1" x14ac:dyDescent="0.25">
      <c r="A2080" t="s">
        <v>660</v>
      </c>
      <c r="B2080">
        <v>39365</v>
      </c>
      <c r="C2080" t="s">
        <v>2743</v>
      </c>
      <c r="D2080" t="s">
        <v>226</v>
      </c>
      <c r="E2080" t="s">
        <v>659</v>
      </c>
      <c r="F2080" s="538">
        <v>2105.5300000000002</v>
      </c>
      <c r="G2080" s="538">
        <v>1905.91</v>
      </c>
    </row>
    <row r="2081" spans="1:7" hidden="1" x14ac:dyDescent="0.25">
      <c r="A2081" t="s">
        <v>660</v>
      </c>
      <c r="B2081">
        <v>39366</v>
      </c>
      <c r="C2081" t="s">
        <v>2744</v>
      </c>
      <c r="D2081" t="s">
        <v>226</v>
      </c>
      <c r="E2081" t="s">
        <v>659</v>
      </c>
      <c r="F2081" s="538">
        <v>3194.43</v>
      </c>
      <c r="G2081" s="538">
        <v>2891.58</v>
      </c>
    </row>
    <row r="2082" spans="1:7" hidden="1" x14ac:dyDescent="0.25">
      <c r="A2082" t="s">
        <v>660</v>
      </c>
      <c r="B2082">
        <v>39367</v>
      </c>
      <c r="C2082" t="s">
        <v>2745</v>
      </c>
      <c r="D2082" t="s">
        <v>226</v>
      </c>
      <c r="E2082" t="s">
        <v>659</v>
      </c>
      <c r="F2082" s="538">
        <v>5473.45</v>
      </c>
      <c r="G2082" s="538">
        <v>4954.53</v>
      </c>
    </row>
    <row r="2083" spans="1:7" hidden="1" x14ac:dyDescent="0.25">
      <c r="A2083" t="s">
        <v>660</v>
      </c>
      <c r="B2083">
        <v>45263</v>
      </c>
      <c r="C2083" t="s">
        <v>2746</v>
      </c>
      <c r="D2083" t="s">
        <v>226</v>
      </c>
      <c r="E2083" t="s">
        <v>659</v>
      </c>
      <c r="F2083">
        <v>17.22</v>
      </c>
      <c r="G2083">
        <v>19.29</v>
      </c>
    </row>
    <row r="2084" spans="1:7" x14ac:dyDescent="0.25">
      <c r="A2084" t="s">
        <v>660</v>
      </c>
      <c r="B2084">
        <v>37394</v>
      </c>
      <c r="C2084" t="s">
        <v>2747</v>
      </c>
      <c r="D2084" t="s">
        <v>2748</v>
      </c>
      <c r="E2084" t="s">
        <v>659</v>
      </c>
      <c r="F2084">
        <v>93.28</v>
      </c>
      <c r="G2084">
        <v>44.15</v>
      </c>
    </row>
    <row r="2085" spans="1:7" x14ac:dyDescent="0.25">
      <c r="A2085" t="s">
        <v>660</v>
      </c>
      <c r="B2085">
        <v>14146</v>
      </c>
      <c r="C2085" t="s">
        <v>2749</v>
      </c>
      <c r="D2085" t="s">
        <v>2748</v>
      </c>
      <c r="E2085" t="s">
        <v>172</v>
      </c>
      <c r="F2085">
        <v>150</v>
      </c>
      <c r="G2085">
        <v>71</v>
      </c>
    </row>
    <row r="2086" spans="1:7" hidden="1" x14ac:dyDescent="0.25">
      <c r="A2086" t="s">
        <v>660</v>
      </c>
      <c r="B2086">
        <v>938</v>
      </c>
      <c r="C2086" t="s">
        <v>2750</v>
      </c>
      <c r="D2086" t="s">
        <v>704</v>
      </c>
      <c r="E2086" t="s">
        <v>659</v>
      </c>
      <c r="F2086">
        <v>1.65</v>
      </c>
      <c r="G2086">
        <v>1.63</v>
      </c>
    </row>
    <row r="2087" spans="1:7" hidden="1" x14ac:dyDescent="0.25">
      <c r="A2087" t="s">
        <v>660</v>
      </c>
      <c r="B2087">
        <v>937</v>
      </c>
      <c r="C2087" t="s">
        <v>2751</v>
      </c>
      <c r="D2087" t="s">
        <v>704</v>
      </c>
      <c r="E2087" t="s">
        <v>659</v>
      </c>
      <c r="F2087">
        <v>9.61</v>
      </c>
      <c r="G2087">
        <v>9.51</v>
      </c>
    </row>
    <row r="2088" spans="1:7" hidden="1" x14ac:dyDescent="0.25">
      <c r="A2088" t="s">
        <v>660</v>
      </c>
      <c r="B2088">
        <v>939</v>
      </c>
      <c r="C2088" t="s">
        <v>2752</v>
      </c>
      <c r="D2088" t="s">
        <v>704</v>
      </c>
      <c r="E2088" t="s">
        <v>659</v>
      </c>
      <c r="F2088">
        <v>2.67</v>
      </c>
      <c r="G2088">
        <v>2.64</v>
      </c>
    </row>
    <row r="2089" spans="1:7" hidden="1" x14ac:dyDescent="0.25">
      <c r="A2089" t="s">
        <v>660</v>
      </c>
      <c r="B2089">
        <v>944</v>
      </c>
      <c r="C2089" t="s">
        <v>2753</v>
      </c>
      <c r="D2089" t="s">
        <v>704</v>
      </c>
      <c r="E2089" t="s">
        <v>659</v>
      </c>
      <c r="F2089">
        <v>4.21</v>
      </c>
      <c r="G2089">
        <v>4.17</v>
      </c>
    </row>
    <row r="2090" spans="1:7" hidden="1" x14ac:dyDescent="0.25">
      <c r="A2090" t="s">
        <v>660</v>
      </c>
      <c r="B2090">
        <v>940</v>
      </c>
      <c r="C2090" t="s">
        <v>2754</v>
      </c>
      <c r="D2090" t="s">
        <v>704</v>
      </c>
      <c r="E2090" t="s">
        <v>659</v>
      </c>
      <c r="F2090">
        <v>6.08</v>
      </c>
      <c r="G2090">
        <v>6.02</v>
      </c>
    </row>
    <row r="2091" spans="1:7" hidden="1" x14ac:dyDescent="0.25">
      <c r="A2091" t="s">
        <v>660</v>
      </c>
      <c r="B2091">
        <v>44397</v>
      </c>
      <c r="C2091" t="s">
        <v>2755</v>
      </c>
      <c r="D2091" t="s">
        <v>704</v>
      </c>
      <c r="E2091" t="s">
        <v>659</v>
      </c>
      <c r="F2091">
        <v>4.25</v>
      </c>
      <c r="G2091">
        <v>4.13</v>
      </c>
    </row>
    <row r="2092" spans="1:7" hidden="1" x14ac:dyDescent="0.25">
      <c r="A2092" t="s">
        <v>660</v>
      </c>
      <c r="B2092">
        <v>406</v>
      </c>
      <c r="C2092" t="s">
        <v>2756</v>
      </c>
      <c r="D2092" t="s">
        <v>226</v>
      </c>
      <c r="E2092" t="s">
        <v>659</v>
      </c>
      <c r="F2092">
        <v>95.63</v>
      </c>
      <c r="G2092">
        <v>87.85</v>
      </c>
    </row>
    <row r="2093" spans="1:7" hidden="1" x14ac:dyDescent="0.25">
      <c r="A2093" t="s">
        <v>660</v>
      </c>
      <c r="B2093">
        <v>42529</v>
      </c>
      <c r="C2093" t="s">
        <v>2757</v>
      </c>
      <c r="D2093" t="s">
        <v>704</v>
      </c>
      <c r="E2093" t="s">
        <v>659</v>
      </c>
      <c r="F2093">
        <v>1.24</v>
      </c>
      <c r="G2093">
        <v>1.35</v>
      </c>
    </row>
    <row r="2094" spans="1:7" hidden="1" x14ac:dyDescent="0.25">
      <c r="A2094" t="s">
        <v>660</v>
      </c>
      <c r="B2094">
        <v>39634</v>
      </c>
      <c r="C2094" t="s">
        <v>2758</v>
      </c>
      <c r="D2094" t="s">
        <v>704</v>
      </c>
      <c r="E2094" t="s">
        <v>659</v>
      </c>
      <c r="F2094">
        <v>7.79</v>
      </c>
      <c r="G2094">
        <v>5.0599999999999996</v>
      </c>
    </row>
    <row r="2095" spans="1:7" hidden="1" x14ac:dyDescent="0.25">
      <c r="A2095" t="s">
        <v>660</v>
      </c>
      <c r="B2095">
        <v>39701</v>
      </c>
      <c r="C2095" t="s">
        <v>2759</v>
      </c>
      <c r="D2095" t="s">
        <v>226</v>
      </c>
      <c r="E2095" t="s">
        <v>659</v>
      </c>
      <c r="F2095">
        <v>92.34</v>
      </c>
      <c r="G2095">
        <v>101.02</v>
      </c>
    </row>
    <row r="2096" spans="1:7" hidden="1" x14ac:dyDescent="0.25">
      <c r="A2096" t="s">
        <v>660</v>
      </c>
      <c r="B2096">
        <v>12815</v>
      </c>
      <c r="C2096" t="s">
        <v>2760</v>
      </c>
      <c r="D2096" t="s">
        <v>226</v>
      </c>
      <c r="E2096" t="s">
        <v>659</v>
      </c>
      <c r="F2096">
        <v>15.41</v>
      </c>
      <c r="G2096">
        <v>14.7</v>
      </c>
    </row>
    <row r="2097" spans="1:7" hidden="1" x14ac:dyDescent="0.25">
      <c r="A2097" t="s">
        <v>660</v>
      </c>
      <c r="B2097">
        <v>39431</v>
      </c>
      <c r="C2097" t="s">
        <v>2761</v>
      </c>
      <c r="D2097" t="s">
        <v>704</v>
      </c>
      <c r="E2097" t="s">
        <v>659</v>
      </c>
      <c r="F2097">
        <v>0.33</v>
      </c>
      <c r="G2097">
        <v>0.31</v>
      </c>
    </row>
    <row r="2098" spans="1:7" hidden="1" x14ac:dyDescent="0.25">
      <c r="A2098" t="s">
        <v>660</v>
      </c>
      <c r="B2098">
        <v>39432</v>
      </c>
      <c r="C2098" t="s">
        <v>2762</v>
      </c>
      <c r="D2098" t="s">
        <v>704</v>
      </c>
      <c r="E2098" t="s">
        <v>659</v>
      </c>
      <c r="F2098">
        <v>2.91</v>
      </c>
      <c r="G2098">
        <v>2.75</v>
      </c>
    </row>
    <row r="2099" spans="1:7" hidden="1" x14ac:dyDescent="0.25">
      <c r="A2099" t="s">
        <v>660</v>
      </c>
      <c r="B2099">
        <v>20111</v>
      </c>
      <c r="C2099" t="s">
        <v>2763</v>
      </c>
      <c r="D2099" t="s">
        <v>226</v>
      </c>
      <c r="E2099" t="s">
        <v>172</v>
      </c>
      <c r="F2099">
        <v>9.76</v>
      </c>
      <c r="G2099">
        <v>21</v>
      </c>
    </row>
    <row r="2100" spans="1:7" hidden="1" x14ac:dyDescent="0.25">
      <c r="A2100" t="s">
        <v>660</v>
      </c>
      <c r="B2100">
        <v>21127</v>
      </c>
      <c r="C2100" t="s">
        <v>2764</v>
      </c>
      <c r="D2100" t="s">
        <v>226</v>
      </c>
      <c r="E2100" t="s">
        <v>659</v>
      </c>
      <c r="F2100">
        <v>3.69</v>
      </c>
      <c r="G2100">
        <v>7.94</v>
      </c>
    </row>
    <row r="2101" spans="1:7" hidden="1" x14ac:dyDescent="0.25">
      <c r="A2101" t="s">
        <v>660</v>
      </c>
      <c r="B2101">
        <v>404</v>
      </c>
      <c r="C2101" t="s">
        <v>2765</v>
      </c>
      <c r="D2101" t="s">
        <v>704</v>
      </c>
      <c r="E2101" t="s">
        <v>659</v>
      </c>
      <c r="F2101">
        <v>1.33</v>
      </c>
      <c r="G2101">
        <v>2.86</v>
      </c>
    </row>
    <row r="2102" spans="1:7" hidden="1" x14ac:dyDescent="0.25">
      <c r="A2102" t="s">
        <v>660</v>
      </c>
      <c r="B2102">
        <v>14151</v>
      </c>
      <c r="C2102" t="s">
        <v>2766</v>
      </c>
      <c r="D2102" t="s">
        <v>226</v>
      </c>
      <c r="E2102" t="s">
        <v>659</v>
      </c>
      <c r="F2102">
        <v>107.81</v>
      </c>
      <c r="G2102">
        <v>51.03</v>
      </c>
    </row>
    <row r="2103" spans="1:7" hidden="1" x14ac:dyDescent="0.25">
      <c r="A2103" t="s">
        <v>660</v>
      </c>
      <c r="B2103">
        <v>14153</v>
      </c>
      <c r="C2103" t="s">
        <v>2767</v>
      </c>
      <c r="D2103" t="s">
        <v>226</v>
      </c>
      <c r="E2103" t="s">
        <v>659</v>
      </c>
      <c r="F2103">
        <v>121.87</v>
      </c>
      <c r="G2103">
        <v>57.68</v>
      </c>
    </row>
    <row r="2104" spans="1:7" hidden="1" x14ac:dyDescent="0.25">
      <c r="A2104" t="s">
        <v>660</v>
      </c>
      <c r="B2104">
        <v>14152</v>
      </c>
      <c r="C2104" t="s">
        <v>2768</v>
      </c>
      <c r="D2104" t="s">
        <v>226</v>
      </c>
      <c r="E2104" t="s">
        <v>659</v>
      </c>
      <c r="F2104">
        <v>93.56</v>
      </c>
      <c r="G2104">
        <v>44.28</v>
      </c>
    </row>
    <row r="2105" spans="1:7" hidden="1" x14ac:dyDescent="0.25">
      <c r="A2105" t="s">
        <v>660</v>
      </c>
      <c r="B2105">
        <v>14154</v>
      </c>
      <c r="C2105" t="s">
        <v>2769</v>
      </c>
      <c r="D2105" t="s">
        <v>226</v>
      </c>
      <c r="E2105" t="s">
        <v>659</v>
      </c>
      <c r="F2105">
        <v>327.45999999999998</v>
      </c>
      <c r="G2105">
        <v>155</v>
      </c>
    </row>
    <row r="2106" spans="1:7" hidden="1" x14ac:dyDescent="0.25">
      <c r="A2106" t="s">
        <v>660</v>
      </c>
      <c r="B2106">
        <v>3146</v>
      </c>
      <c r="C2106" t="s">
        <v>2770</v>
      </c>
      <c r="D2106" t="s">
        <v>226</v>
      </c>
      <c r="E2106" t="s">
        <v>172</v>
      </c>
      <c r="F2106">
        <v>4</v>
      </c>
      <c r="G2106">
        <v>2.6</v>
      </c>
    </row>
    <row r="2107" spans="1:7" hidden="1" x14ac:dyDescent="0.25">
      <c r="A2107" t="s">
        <v>660</v>
      </c>
      <c r="B2107">
        <v>3143</v>
      </c>
      <c r="C2107" t="s">
        <v>2771</v>
      </c>
      <c r="D2107" t="s">
        <v>226</v>
      </c>
      <c r="E2107" t="s">
        <v>659</v>
      </c>
      <c r="F2107">
        <v>9.1</v>
      </c>
      <c r="G2107">
        <v>5.91</v>
      </c>
    </row>
    <row r="2108" spans="1:7" hidden="1" x14ac:dyDescent="0.25">
      <c r="A2108" t="s">
        <v>660</v>
      </c>
      <c r="B2108">
        <v>3148</v>
      </c>
      <c r="C2108" t="s">
        <v>2772</v>
      </c>
      <c r="D2108" t="s">
        <v>226</v>
      </c>
      <c r="E2108" t="s">
        <v>659</v>
      </c>
      <c r="F2108">
        <v>14.75</v>
      </c>
      <c r="G2108">
        <v>9.58</v>
      </c>
    </row>
    <row r="2109" spans="1:7" hidden="1" x14ac:dyDescent="0.25">
      <c r="A2109" t="s">
        <v>660</v>
      </c>
      <c r="B2109">
        <v>4310</v>
      </c>
      <c r="C2109" t="s">
        <v>2773</v>
      </c>
      <c r="D2109" t="s">
        <v>226</v>
      </c>
      <c r="E2109" t="s">
        <v>659</v>
      </c>
      <c r="F2109">
        <v>3.06</v>
      </c>
      <c r="G2109">
        <v>3.33</v>
      </c>
    </row>
    <row r="2110" spans="1:7" hidden="1" x14ac:dyDescent="0.25">
      <c r="A2110" t="s">
        <v>660</v>
      </c>
      <c r="B2110">
        <v>4311</v>
      </c>
      <c r="C2110" t="s">
        <v>2774</v>
      </c>
      <c r="D2110" t="s">
        <v>226</v>
      </c>
      <c r="E2110" t="s">
        <v>659</v>
      </c>
      <c r="F2110">
        <v>2.15</v>
      </c>
      <c r="G2110">
        <v>2.34</v>
      </c>
    </row>
    <row r="2111" spans="1:7" hidden="1" x14ac:dyDescent="0.25">
      <c r="A2111" t="s">
        <v>660</v>
      </c>
      <c r="B2111">
        <v>4312</v>
      </c>
      <c r="C2111" t="s">
        <v>2775</v>
      </c>
      <c r="D2111" t="s">
        <v>226</v>
      </c>
      <c r="E2111" t="s">
        <v>659</v>
      </c>
      <c r="F2111">
        <v>3.02</v>
      </c>
      <c r="G2111">
        <v>3.28</v>
      </c>
    </row>
    <row r="2112" spans="1:7" hidden="1" x14ac:dyDescent="0.25">
      <c r="A2112" t="s">
        <v>660</v>
      </c>
      <c r="B2112">
        <v>13261</v>
      </c>
      <c r="C2112" t="s">
        <v>2776</v>
      </c>
      <c r="D2112" t="s">
        <v>226</v>
      </c>
      <c r="E2112" t="s">
        <v>659</v>
      </c>
      <c r="F2112">
        <v>2.79</v>
      </c>
      <c r="G2112">
        <v>2.66</v>
      </c>
    </row>
    <row r="2113" spans="1:7" hidden="1" x14ac:dyDescent="0.25">
      <c r="A2113" t="s">
        <v>660</v>
      </c>
      <c r="B2113">
        <v>3272</v>
      </c>
      <c r="C2113" t="s">
        <v>2777</v>
      </c>
      <c r="D2113" t="s">
        <v>226</v>
      </c>
      <c r="E2113" t="s">
        <v>659</v>
      </c>
      <c r="F2113">
        <v>52.84</v>
      </c>
      <c r="G2113">
        <v>55.12</v>
      </c>
    </row>
    <row r="2114" spans="1:7" hidden="1" x14ac:dyDescent="0.25">
      <c r="A2114" t="s">
        <v>660</v>
      </c>
      <c r="B2114">
        <v>3265</v>
      </c>
      <c r="C2114" t="s">
        <v>2778</v>
      </c>
      <c r="D2114" t="s">
        <v>226</v>
      </c>
      <c r="E2114" t="s">
        <v>659</v>
      </c>
      <c r="F2114">
        <v>41.98</v>
      </c>
      <c r="G2114">
        <v>43.79</v>
      </c>
    </row>
    <row r="2115" spans="1:7" hidden="1" x14ac:dyDescent="0.25">
      <c r="A2115" t="s">
        <v>660</v>
      </c>
      <c r="B2115">
        <v>3264</v>
      </c>
      <c r="C2115" t="s">
        <v>2779</v>
      </c>
      <c r="D2115" t="s">
        <v>226</v>
      </c>
      <c r="E2115" t="s">
        <v>659</v>
      </c>
      <c r="F2115">
        <v>30.19</v>
      </c>
      <c r="G2115">
        <v>31.49</v>
      </c>
    </row>
    <row r="2116" spans="1:7" hidden="1" x14ac:dyDescent="0.25">
      <c r="A2116" t="s">
        <v>660</v>
      </c>
      <c r="B2116">
        <v>3262</v>
      </c>
      <c r="C2116" t="s">
        <v>2780</v>
      </c>
      <c r="D2116" t="s">
        <v>226</v>
      </c>
      <c r="E2116" t="s">
        <v>659</v>
      </c>
      <c r="F2116">
        <v>18.38</v>
      </c>
      <c r="G2116">
        <v>19.170000000000002</v>
      </c>
    </row>
    <row r="2117" spans="1:7" hidden="1" x14ac:dyDescent="0.25">
      <c r="A2117" t="s">
        <v>660</v>
      </c>
      <c r="B2117">
        <v>3267</v>
      </c>
      <c r="C2117" t="s">
        <v>2781</v>
      </c>
      <c r="D2117" t="s">
        <v>226</v>
      </c>
      <c r="E2117" t="s">
        <v>659</v>
      </c>
      <c r="F2117">
        <v>98.6</v>
      </c>
      <c r="G2117">
        <v>102.84</v>
      </c>
    </row>
    <row r="2118" spans="1:7" hidden="1" x14ac:dyDescent="0.25">
      <c r="A2118" t="s">
        <v>660</v>
      </c>
      <c r="B2118">
        <v>3266</v>
      </c>
      <c r="C2118" t="s">
        <v>2782</v>
      </c>
      <c r="D2118" t="s">
        <v>226</v>
      </c>
      <c r="E2118" t="s">
        <v>659</v>
      </c>
      <c r="F2118">
        <v>62.73</v>
      </c>
      <c r="G2118">
        <v>65.430000000000007</v>
      </c>
    </row>
    <row r="2119" spans="1:7" hidden="1" x14ac:dyDescent="0.25">
      <c r="A2119" t="s">
        <v>660</v>
      </c>
      <c r="B2119">
        <v>3268</v>
      </c>
      <c r="C2119" t="s">
        <v>2783</v>
      </c>
      <c r="D2119" t="s">
        <v>226</v>
      </c>
      <c r="E2119" t="s">
        <v>659</v>
      </c>
      <c r="F2119">
        <v>133.31</v>
      </c>
      <c r="G2119">
        <v>139.04</v>
      </c>
    </row>
    <row r="2120" spans="1:7" hidden="1" x14ac:dyDescent="0.25">
      <c r="A2120" t="s">
        <v>660</v>
      </c>
      <c r="B2120">
        <v>3263</v>
      </c>
      <c r="C2120" t="s">
        <v>2784</v>
      </c>
      <c r="D2120" t="s">
        <v>226</v>
      </c>
      <c r="E2120" t="s">
        <v>659</v>
      </c>
      <c r="F2120">
        <v>25.1</v>
      </c>
      <c r="G2120">
        <v>26.18</v>
      </c>
    </row>
    <row r="2121" spans="1:7" hidden="1" x14ac:dyDescent="0.25">
      <c r="A2121" t="s">
        <v>660</v>
      </c>
      <c r="B2121">
        <v>3271</v>
      </c>
      <c r="C2121" t="s">
        <v>2785</v>
      </c>
      <c r="D2121" t="s">
        <v>226</v>
      </c>
      <c r="E2121" t="s">
        <v>659</v>
      </c>
      <c r="F2121">
        <v>197.08</v>
      </c>
      <c r="G2121">
        <v>205.56</v>
      </c>
    </row>
    <row r="2122" spans="1:7" hidden="1" x14ac:dyDescent="0.25">
      <c r="A2122" t="s">
        <v>660</v>
      </c>
      <c r="B2122">
        <v>3270</v>
      </c>
      <c r="C2122" t="s">
        <v>2786</v>
      </c>
      <c r="D2122" t="s">
        <v>226</v>
      </c>
      <c r="E2122" t="s">
        <v>659</v>
      </c>
      <c r="F2122">
        <v>331.11</v>
      </c>
      <c r="G2122">
        <v>345.35</v>
      </c>
    </row>
    <row r="2123" spans="1:7" hidden="1" x14ac:dyDescent="0.25">
      <c r="A2123" t="s">
        <v>660</v>
      </c>
      <c r="B2123">
        <v>45256</v>
      </c>
      <c r="C2123" t="s">
        <v>2787</v>
      </c>
      <c r="D2123" t="s">
        <v>226</v>
      </c>
      <c r="E2123" t="s">
        <v>659</v>
      </c>
      <c r="F2123">
        <v>31.4</v>
      </c>
      <c r="G2123">
        <v>27.14</v>
      </c>
    </row>
    <row r="2124" spans="1:7" hidden="1" x14ac:dyDescent="0.25">
      <c r="A2124" t="s">
        <v>448</v>
      </c>
      <c r="B2124">
        <v>3275</v>
      </c>
      <c r="C2124" t="s">
        <v>2788</v>
      </c>
      <c r="D2124" t="s">
        <v>498</v>
      </c>
      <c r="E2124" t="s">
        <v>659</v>
      </c>
      <c r="F2124">
        <v>117.27</v>
      </c>
      <c r="G2124">
        <v>127.05</v>
      </c>
    </row>
    <row r="2125" spans="1:7" hidden="1" x14ac:dyDescent="0.25">
      <c r="A2125" t="s">
        <v>448</v>
      </c>
      <c r="B2125">
        <v>39512</v>
      </c>
      <c r="C2125" t="s">
        <v>2789</v>
      </c>
      <c r="D2125" t="s">
        <v>498</v>
      </c>
      <c r="E2125" t="s">
        <v>659</v>
      </c>
      <c r="F2125">
        <f>G2125</f>
        <v>124.42</v>
      </c>
      <c r="G2125">
        <v>124.42</v>
      </c>
    </row>
    <row r="2126" spans="1:7" hidden="1" x14ac:dyDescent="0.25">
      <c r="A2126" t="s">
        <v>448</v>
      </c>
      <c r="B2126">
        <v>39511</v>
      </c>
      <c r="C2126" t="s">
        <v>2790</v>
      </c>
      <c r="D2126" t="s">
        <v>498</v>
      </c>
      <c r="E2126" t="s">
        <v>659</v>
      </c>
      <c r="F2126">
        <f>G2126</f>
        <v>135.71</v>
      </c>
      <c r="G2126">
        <v>135.71</v>
      </c>
    </row>
    <row r="2127" spans="1:7" hidden="1" x14ac:dyDescent="0.25">
      <c r="A2127" t="s">
        <v>448</v>
      </c>
      <c r="B2127">
        <v>39513</v>
      </c>
      <c r="C2127" t="s">
        <v>2791</v>
      </c>
      <c r="D2127" t="s">
        <v>498</v>
      </c>
      <c r="E2127" t="s">
        <v>659</v>
      </c>
      <c r="F2127">
        <f>G2127</f>
        <v>145.56</v>
      </c>
      <c r="G2127">
        <v>145.56</v>
      </c>
    </row>
    <row r="2128" spans="1:7" hidden="1" x14ac:dyDescent="0.25">
      <c r="A2128" t="s">
        <v>660</v>
      </c>
      <c r="B2128">
        <v>3286</v>
      </c>
      <c r="C2128" t="s">
        <v>2792</v>
      </c>
      <c r="D2128" t="s">
        <v>498</v>
      </c>
      <c r="E2128" t="s">
        <v>659</v>
      </c>
      <c r="F2128">
        <v>141.61000000000001</v>
      </c>
      <c r="G2128">
        <v>99.26</v>
      </c>
    </row>
    <row r="2129" spans="1:7" hidden="1" x14ac:dyDescent="0.25">
      <c r="A2129" t="s">
        <v>660</v>
      </c>
      <c r="B2129">
        <v>3287</v>
      </c>
      <c r="C2129" t="s">
        <v>2793</v>
      </c>
      <c r="D2129" t="s">
        <v>498</v>
      </c>
      <c r="E2129" t="s">
        <v>659</v>
      </c>
      <c r="F2129">
        <v>214</v>
      </c>
      <c r="G2129">
        <v>150</v>
      </c>
    </row>
    <row r="2130" spans="1:7" hidden="1" x14ac:dyDescent="0.25">
      <c r="A2130" t="s">
        <v>660</v>
      </c>
      <c r="B2130">
        <v>3283</v>
      </c>
      <c r="C2130" t="s">
        <v>2794</v>
      </c>
      <c r="D2130" t="s">
        <v>498</v>
      </c>
      <c r="E2130" t="s">
        <v>659</v>
      </c>
      <c r="F2130">
        <v>44.95</v>
      </c>
      <c r="G2130">
        <v>31.51</v>
      </c>
    </row>
    <row r="2131" spans="1:7" hidden="1" x14ac:dyDescent="0.25">
      <c r="A2131" t="s">
        <v>660</v>
      </c>
      <c r="B2131">
        <v>11587</v>
      </c>
      <c r="C2131" t="s">
        <v>2795</v>
      </c>
      <c r="D2131" t="s">
        <v>498</v>
      </c>
      <c r="E2131" t="s">
        <v>659</v>
      </c>
      <c r="F2131">
        <v>80.41</v>
      </c>
      <c r="G2131">
        <v>87.12</v>
      </c>
    </row>
    <row r="2132" spans="1:7" hidden="1" x14ac:dyDescent="0.25">
      <c r="A2132" t="s">
        <v>660</v>
      </c>
      <c r="B2132">
        <v>36225</v>
      </c>
      <c r="C2132" t="s">
        <v>2796</v>
      </c>
      <c r="D2132" t="s">
        <v>498</v>
      </c>
      <c r="E2132" t="s">
        <v>659</v>
      </c>
      <c r="F2132">
        <v>32.67</v>
      </c>
      <c r="G2132">
        <v>35.39</v>
      </c>
    </row>
    <row r="2133" spans="1:7" hidden="1" x14ac:dyDescent="0.25">
      <c r="A2133" t="s">
        <v>660</v>
      </c>
      <c r="B2133">
        <v>36230</v>
      </c>
      <c r="C2133" t="s">
        <v>2797</v>
      </c>
      <c r="D2133" t="s">
        <v>498</v>
      </c>
      <c r="E2133" t="s">
        <v>172</v>
      </c>
      <c r="F2133">
        <v>24</v>
      </c>
      <c r="G2133">
        <v>26</v>
      </c>
    </row>
    <row r="2134" spans="1:7" hidden="1" x14ac:dyDescent="0.25">
      <c r="A2134" t="s">
        <v>660</v>
      </c>
      <c r="B2134">
        <v>36238</v>
      </c>
      <c r="C2134" t="s">
        <v>2798</v>
      </c>
      <c r="D2134" t="s">
        <v>498</v>
      </c>
      <c r="E2134" t="s">
        <v>659</v>
      </c>
      <c r="F2134">
        <v>23.45</v>
      </c>
      <c r="G2134">
        <v>25.41</v>
      </c>
    </row>
    <row r="2135" spans="1:7" hidden="1" x14ac:dyDescent="0.25">
      <c r="A2135" t="s">
        <v>660</v>
      </c>
      <c r="B2135">
        <v>39363</v>
      </c>
      <c r="C2135" t="s">
        <v>2799</v>
      </c>
      <c r="D2135" t="s">
        <v>226</v>
      </c>
      <c r="E2135" t="s">
        <v>659</v>
      </c>
      <c r="F2135" s="538">
        <v>6206.39</v>
      </c>
      <c r="G2135" s="538">
        <v>5617.98</v>
      </c>
    </row>
    <row r="2136" spans="1:7" hidden="1" x14ac:dyDescent="0.25">
      <c r="A2136" t="s">
        <v>660</v>
      </c>
      <c r="B2136">
        <v>39361</v>
      </c>
      <c r="C2136" t="s">
        <v>2800</v>
      </c>
      <c r="D2136" t="s">
        <v>226</v>
      </c>
      <c r="E2136" t="s">
        <v>659</v>
      </c>
      <c r="F2136" s="538">
        <v>1896.09</v>
      </c>
      <c r="G2136" s="538">
        <v>1716.33</v>
      </c>
    </row>
    <row r="2137" spans="1:7" hidden="1" x14ac:dyDescent="0.25">
      <c r="A2137" t="s">
        <v>660</v>
      </c>
      <c r="B2137">
        <v>39362</v>
      </c>
      <c r="C2137" t="s">
        <v>2801</v>
      </c>
      <c r="D2137" t="s">
        <v>226</v>
      </c>
      <c r="E2137" t="s">
        <v>659</v>
      </c>
      <c r="F2137" s="538">
        <v>3349.55</v>
      </c>
      <c r="G2137" s="538">
        <v>3031.99</v>
      </c>
    </row>
    <row r="2138" spans="1:7" hidden="1" x14ac:dyDescent="0.25">
      <c r="A2138" t="s">
        <v>660</v>
      </c>
      <c r="B2138">
        <v>39364</v>
      </c>
      <c r="C2138" t="s">
        <v>2802</v>
      </c>
      <c r="D2138" t="s">
        <v>226</v>
      </c>
      <c r="E2138" t="s">
        <v>659</v>
      </c>
      <c r="F2138" s="538">
        <v>13090.91</v>
      </c>
      <c r="G2138" s="538">
        <v>11849.81</v>
      </c>
    </row>
    <row r="2139" spans="1:7" hidden="1" x14ac:dyDescent="0.25">
      <c r="A2139" t="s">
        <v>842</v>
      </c>
      <c r="B2139">
        <v>14576</v>
      </c>
      <c r="C2139" t="s">
        <v>2803</v>
      </c>
      <c r="D2139" t="s">
        <v>226</v>
      </c>
      <c r="E2139" t="s">
        <v>659</v>
      </c>
      <c r="F2139">
        <f>G2139</f>
        <v>5500565.4500000002</v>
      </c>
      <c r="G2139" s="538">
        <v>5500565.4500000002</v>
      </c>
    </row>
    <row r="2140" spans="1:7" hidden="1" x14ac:dyDescent="0.25">
      <c r="A2140" t="s">
        <v>842</v>
      </c>
      <c r="B2140">
        <v>13877</v>
      </c>
      <c r="C2140" t="s">
        <v>2804</v>
      </c>
      <c r="D2140" t="s">
        <v>226</v>
      </c>
      <c r="E2140" t="s">
        <v>659</v>
      </c>
      <c r="F2140">
        <f>G2140</f>
        <v>2354710.0299999998</v>
      </c>
      <c r="G2140" s="538">
        <v>2354710.0299999998</v>
      </c>
    </row>
    <row r="2141" spans="1:7" hidden="1" x14ac:dyDescent="0.25">
      <c r="A2141" t="s">
        <v>660</v>
      </c>
      <c r="B2141">
        <v>7307</v>
      </c>
      <c r="C2141" t="s">
        <v>2805</v>
      </c>
      <c r="D2141" t="s">
        <v>710</v>
      </c>
      <c r="E2141" t="s">
        <v>659</v>
      </c>
      <c r="F2141">
        <v>52.28</v>
      </c>
      <c r="G2141">
        <v>49.88</v>
      </c>
    </row>
    <row r="2142" spans="1:7" hidden="1" x14ac:dyDescent="0.25">
      <c r="A2142" t="s">
        <v>660</v>
      </c>
      <c r="B2142">
        <v>38122</v>
      </c>
      <c r="C2142" t="s">
        <v>2806</v>
      </c>
      <c r="D2142" t="s">
        <v>710</v>
      </c>
      <c r="E2142" t="s">
        <v>659</v>
      </c>
      <c r="F2142">
        <v>22.23</v>
      </c>
      <c r="G2142">
        <v>21.59</v>
      </c>
    </row>
    <row r="2143" spans="1:7" hidden="1" x14ac:dyDescent="0.25">
      <c r="A2143" t="s">
        <v>660</v>
      </c>
      <c r="B2143">
        <v>43653</v>
      </c>
      <c r="C2143" t="s">
        <v>2807</v>
      </c>
      <c r="D2143" t="s">
        <v>710</v>
      </c>
      <c r="E2143" t="s">
        <v>659</v>
      </c>
      <c r="F2143">
        <v>37.380000000000003</v>
      </c>
      <c r="G2143">
        <v>39.35</v>
      </c>
    </row>
    <row r="2144" spans="1:7" hidden="1" x14ac:dyDescent="0.25">
      <c r="A2144" t="s">
        <v>842</v>
      </c>
      <c r="B2144">
        <v>45301</v>
      </c>
      <c r="C2144" t="s">
        <v>2808</v>
      </c>
      <c r="D2144" t="s">
        <v>226</v>
      </c>
      <c r="E2144" t="s">
        <v>659</v>
      </c>
      <c r="F2144">
        <v>280.47000000000003</v>
      </c>
      <c r="G2144">
        <v>234.62</v>
      </c>
    </row>
    <row r="2145" spans="1:7" hidden="1" x14ac:dyDescent="0.25">
      <c r="A2145" t="s">
        <v>448</v>
      </c>
      <c r="B2145">
        <v>45334</v>
      </c>
      <c r="C2145" t="s">
        <v>2809</v>
      </c>
      <c r="D2145" t="s">
        <v>226</v>
      </c>
      <c r="E2145" t="s">
        <v>659</v>
      </c>
      <c r="F2145">
        <v>17.32</v>
      </c>
      <c r="G2145">
        <v>28.48</v>
      </c>
    </row>
    <row r="2146" spans="1:7" hidden="1" x14ac:dyDescent="0.25">
      <c r="A2146" t="s">
        <v>660</v>
      </c>
      <c r="B2146">
        <v>12344</v>
      </c>
      <c r="C2146" t="s">
        <v>2810</v>
      </c>
      <c r="D2146" t="s">
        <v>226</v>
      </c>
      <c r="E2146" t="s">
        <v>659</v>
      </c>
      <c r="F2146">
        <f t="shared" ref="F2146:F2153" si="14">G2146</f>
        <v>4.49</v>
      </c>
      <c r="G2146">
        <v>4.49</v>
      </c>
    </row>
    <row r="2147" spans="1:7" hidden="1" x14ac:dyDescent="0.25">
      <c r="A2147" t="s">
        <v>660</v>
      </c>
      <c r="B2147">
        <v>12343</v>
      </c>
      <c r="C2147" t="s">
        <v>2811</v>
      </c>
      <c r="D2147" t="s">
        <v>226</v>
      </c>
      <c r="E2147" t="s">
        <v>659</v>
      </c>
      <c r="F2147">
        <f t="shared" si="14"/>
        <v>6.96</v>
      </c>
      <c r="G2147">
        <v>6.96</v>
      </c>
    </row>
    <row r="2148" spans="1:7" hidden="1" x14ac:dyDescent="0.25">
      <c r="A2148" t="s">
        <v>660</v>
      </c>
      <c r="B2148">
        <v>3295</v>
      </c>
      <c r="C2148" t="s">
        <v>2812</v>
      </c>
      <c r="D2148" t="s">
        <v>226</v>
      </c>
      <c r="E2148" t="s">
        <v>659</v>
      </c>
      <c r="F2148">
        <f t="shared" si="14"/>
        <v>24.33</v>
      </c>
      <c r="G2148">
        <v>24.33</v>
      </c>
    </row>
    <row r="2149" spans="1:7" hidden="1" x14ac:dyDescent="0.25">
      <c r="A2149" t="s">
        <v>660</v>
      </c>
      <c r="B2149">
        <v>3302</v>
      </c>
      <c r="C2149" t="s">
        <v>2813</v>
      </c>
      <c r="D2149" t="s">
        <v>226</v>
      </c>
      <c r="E2149" t="s">
        <v>659</v>
      </c>
      <c r="F2149">
        <f t="shared" si="14"/>
        <v>25.44</v>
      </c>
      <c r="G2149">
        <v>25.44</v>
      </c>
    </row>
    <row r="2150" spans="1:7" hidden="1" x14ac:dyDescent="0.25">
      <c r="A2150" t="s">
        <v>660</v>
      </c>
      <c r="B2150">
        <v>3297</v>
      </c>
      <c r="C2150" t="s">
        <v>2814</v>
      </c>
      <c r="D2150" t="s">
        <v>226</v>
      </c>
      <c r="E2150" t="s">
        <v>659</v>
      </c>
      <c r="F2150">
        <f t="shared" si="14"/>
        <v>27.15</v>
      </c>
      <c r="G2150">
        <v>27.15</v>
      </c>
    </row>
    <row r="2151" spans="1:7" hidden="1" x14ac:dyDescent="0.25">
      <c r="A2151" t="s">
        <v>660</v>
      </c>
      <c r="B2151">
        <v>3294</v>
      </c>
      <c r="C2151" t="s">
        <v>2815</v>
      </c>
      <c r="D2151" t="s">
        <v>226</v>
      </c>
      <c r="E2151" t="s">
        <v>659</v>
      </c>
      <c r="F2151">
        <f t="shared" si="14"/>
        <v>27.57</v>
      </c>
      <c r="G2151">
        <v>27.57</v>
      </c>
    </row>
    <row r="2152" spans="1:7" hidden="1" x14ac:dyDescent="0.25">
      <c r="A2152" t="s">
        <v>660</v>
      </c>
      <c r="B2152">
        <v>3292</v>
      </c>
      <c r="C2152" t="s">
        <v>2816</v>
      </c>
      <c r="D2152" t="s">
        <v>226</v>
      </c>
      <c r="E2152" t="s">
        <v>172</v>
      </c>
      <c r="F2152">
        <f t="shared" si="14"/>
        <v>25.9</v>
      </c>
      <c r="G2152">
        <v>25.9</v>
      </c>
    </row>
    <row r="2153" spans="1:7" hidden="1" x14ac:dyDescent="0.25">
      <c r="A2153" t="s">
        <v>660</v>
      </c>
      <c r="B2153">
        <v>3298</v>
      </c>
      <c r="C2153" t="s">
        <v>2817</v>
      </c>
      <c r="D2153" t="s">
        <v>226</v>
      </c>
      <c r="E2153" t="s">
        <v>659</v>
      </c>
      <c r="F2153">
        <f t="shared" si="14"/>
        <v>60.7</v>
      </c>
      <c r="G2153">
        <v>60.7</v>
      </c>
    </row>
    <row r="2154" spans="1:7" hidden="1" x14ac:dyDescent="0.25">
      <c r="A2154" t="s">
        <v>660</v>
      </c>
      <c r="B2154">
        <v>34802</v>
      </c>
      <c r="C2154" t="s">
        <v>2818</v>
      </c>
      <c r="D2154" t="s">
        <v>226</v>
      </c>
      <c r="E2154" t="s">
        <v>659</v>
      </c>
      <c r="F2154" s="538">
        <v>1195.24</v>
      </c>
      <c r="G2154" s="538">
        <v>1262.8699999999999</v>
      </c>
    </row>
    <row r="2155" spans="1:7" hidden="1" x14ac:dyDescent="0.25">
      <c r="A2155" t="s">
        <v>660</v>
      </c>
      <c r="B2155">
        <v>11588</v>
      </c>
      <c r="C2155" t="s">
        <v>2819</v>
      </c>
      <c r="D2155" t="s">
        <v>226</v>
      </c>
      <c r="E2155" t="s">
        <v>659</v>
      </c>
      <c r="F2155" s="538">
        <v>1289.47</v>
      </c>
      <c r="G2155" s="538">
        <v>1362.43</v>
      </c>
    </row>
    <row r="2156" spans="1:7" hidden="1" x14ac:dyDescent="0.25">
      <c r="A2156" t="s">
        <v>660</v>
      </c>
      <c r="B2156">
        <v>34383</v>
      </c>
      <c r="C2156" t="s">
        <v>2820</v>
      </c>
      <c r="D2156" t="s">
        <v>226</v>
      </c>
      <c r="E2156" t="s">
        <v>659</v>
      </c>
      <c r="F2156" s="538">
        <v>1418.51</v>
      </c>
      <c r="G2156" s="538">
        <v>1498.78</v>
      </c>
    </row>
    <row r="2157" spans="1:7" hidden="1" x14ac:dyDescent="0.25">
      <c r="A2157" t="s">
        <v>660</v>
      </c>
      <c r="B2157">
        <v>40451</v>
      </c>
      <c r="C2157" t="s">
        <v>2821</v>
      </c>
      <c r="D2157" t="s">
        <v>498</v>
      </c>
      <c r="E2157" t="s">
        <v>659</v>
      </c>
      <c r="F2157">
        <v>114.66</v>
      </c>
      <c r="G2157">
        <v>121.15</v>
      </c>
    </row>
    <row r="2158" spans="1:7" hidden="1" x14ac:dyDescent="0.25">
      <c r="A2158" t="s">
        <v>660</v>
      </c>
      <c r="B2158">
        <v>40453</v>
      </c>
      <c r="C2158" t="s">
        <v>2822</v>
      </c>
      <c r="D2158" t="s">
        <v>498</v>
      </c>
      <c r="E2158" t="s">
        <v>659</v>
      </c>
      <c r="F2158">
        <v>124.06</v>
      </c>
      <c r="G2158">
        <v>131.08000000000001</v>
      </c>
    </row>
    <row r="2159" spans="1:7" hidden="1" x14ac:dyDescent="0.25">
      <c r="A2159" t="s">
        <v>660</v>
      </c>
      <c r="B2159">
        <v>40452</v>
      </c>
      <c r="C2159" t="s">
        <v>2823</v>
      </c>
      <c r="D2159" t="s">
        <v>498</v>
      </c>
      <c r="E2159" t="s">
        <v>659</v>
      </c>
      <c r="F2159">
        <v>136.08000000000001</v>
      </c>
      <c r="G2159">
        <v>143.78</v>
      </c>
    </row>
    <row r="2160" spans="1:7" hidden="1" x14ac:dyDescent="0.25">
      <c r="A2160" t="s">
        <v>660</v>
      </c>
      <c r="B2160">
        <v>11594</v>
      </c>
      <c r="C2160" t="s">
        <v>2824</v>
      </c>
      <c r="D2160" t="s">
        <v>226</v>
      </c>
      <c r="E2160" t="s">
        <v>659</v>
      </c>
      <c r="F2160">
        <v>410.99</v>
      </c>
      <c r="G2160">
        <v>434.25</v>
      </c>
    </row>
    <row r="2161" spans="1:7" hidden="1" x14ac:dyDescent="0.25">
      <c r="A2161" t="s">
        <v>660</v>
      </c>
      <c r="B2161">
        <v>3311</v>
      </c>
      <c r="C2161" t="s">
        <v>2825</v>
      </c>
      <c r="D2161" t="s">
        <v>806</v>
      </c>
      <c r="E2161" t="s">
        <v>659</v>
      </c>
      <c r="F2161">
        <v>410.99</v>
      </c>
      <c r="G2161">
        <v>434.25</v>
      </c>
    </row>
    <row r="2162" spans="1:7" hidden="1" x14ac:dyDescent="0.25">
      <c r="A2162" t="s">
        <v>660</v>
      </c>
      <c r="B2162">
        <v>11599</v>
      </c>
      <c r="C2162" t="s">
        <v>2826</v>
      </c>
      <c r="D2162" t="s">
        <v>226</v>
      </c>
      <c r="E2162" t="s">
        <v>659</v>
      </c>
      <c r="F2162">
        <v>546.57000000000005</v>
      </c>
      <c r="G2162">
        <v>577.5</v>
      </c>
    </row>
    <row r="2163" spans="1:7" hidden="1" x14ac:dyDescent="0.25">
      <c r="A2163" t="s">
        <v>660</v>
      </c>
      <c r="B2163">
        <v>11593</v>
      </c>
      <c r="C2163" t="s">
        <v>2827</v>
      </c>
      <c r="D2163" t="s">
        <v>226</v>
      </c>
      <c r="E2163" t="s">
        <v>659</v>
      </c>
      <c r="F2163">
        <v>766.26</v>
      </c>
      <c r="G2163">
        <v>809.62</v>
      </c>
    </row>
    <row r="2164" spans="1:7" hidden="1" x14ac:dyDescent="0.25">
      <c r="A2164" t="s">
        <v>660</v>
      </c>
      <c r="B2164">
        <v>3314</v>
      </c>
      <c r="C2164" t="s">
        <v>2828</v>
      </c>
      <c r="D2164" t="s">
        <v>806</v>
      </c>
      <c r="E2164" t="s">
        <v>659</v>
      </c>
      <c r="F2164">
        <v>548.03</v>
      </c>
      <c r="G2164">
        <v>579.04</v>
      </c>
    </row>
    <row r="2165" spans="1:7" hidden="1" x14ac:dyDescent="0.25">
      <c r="A2165" t="s">
        <v>660</v>
      </c>
      <c r="B2165">
        <v>11597</v>
      </c>
      <c r="C2165" t="s">
        <v>2829</v>
      </c>
      <c r="D2165" t="s">
        <v>226</v>
      </c>
      <c r="E2165" t="s">
        <v>659</v>
      </c>
      <c r="F2165">
        <v>637.29</v>
      </c>
      <c r="G2165">
        <v>673.35</v>
      </c>
    </row>
    <row r="2166" spans="1:7" hidden="1" x14ac:dyDescent="0.25">
      <c r="A2166" t="s">
        <v>660</v>
      </c>
      <c r="B2166">
        <v>3309</v>
      </c>
      <c r="C2166" t="s">
        <v>2830</v>
      </c>
      <c r="D2166" t="s">
        <v>806</v>
      </c>
      <c r="E2166" t="s">
        <v>659</v>
      </c>
      <c r="F2166">
        <v>435.21</v>
      </c>
      <c r="G2166">
        <v>459.84</v>
      </c>
    </row>
    <row r="2167" spans="1:7" hidden="1" x14ac:dyDescent="0.25">
      <c r="A2167" t="s">
        <v>660</v>
      </c>
      <c r="B2167">
        <v>40440</v>
      </c>
      <c r="C2167" t="s">
        <v>2831</v>
      </c>
      <c r="D2167" t="s">
        <v>806</v>
      </c>
      <c r="E2167" t="s">
        <v>659</v>
      </c>
      <c r="F2167">
        <v>570.83000000000004</v>
      </c>
      <c r="G2167">
        <v>603.13</v>
      </c>
    </row>
    <row r="2168" spans="1:7" hidden="1" x14ac:dyDescent="0.25">
      <c r="A2168" t="s">
        <v>660</v>
      </c>
      <c r="B2168">
        <v>40441</v>
      </c>
      <c r="C2168" t="s">
        <v>2832</v>
      </c>
      <c r="D2168" t="s">
        <v>806</v>
      </c>
      <c r="E2168" t="s">
        <v>659</v>
      </c>
      <c r="F2168">
        <v>364.44</v>
      </c>
      <c r="G2168">
        <v>385.06</v>
      </c>
    </row>
    <row r="2169" spans="1:7" hidden="1" x14ac:dyDescent="0.25">
      <c r="A2169" t="s">
        <v>660</v>
      </c>
      <c r="B2169">
        <v>34612</v>
      </c>
      <c r="C2169" t="s">
        <v>2833</v>
      </c>
      <c r="D2169" t="s">
        <v>226</v>
      </c>
      <c r="E2169" t="s">
        <v>659</v>
      </c>
      <c r="F2169">
        <v>788.22</v>
      </c>
      <c r="G2169">
        <v>832.82</v>
      </c>
    </row>
    <row r="2170" spans="1:7" hidden="1" x14ac:dyDescent="0.25">
      <c r="A2170" t="s">
        <v>660</v>
      </c>
      <c r="B2170">
        <v>34635</v>
      </c>
      <c r="C2170" t="s">
        <v>2834</v>
      </c>
      <c r="D2170" t="s">
        <v>226</v>
      </c>
      <c r="E2170" t="s">
        <v>659</v>
      </c>
      <c r="F2170" s="538">
        <v>1013.61</v>
      </c>
      <c r="G2170" s="538">
        <v>1070.97</v>
      </c>
    </row>
    <row r="2171" spans="1:7" hidden="1" x14ac:dyDescent="0.25">
      <c r="A2171" t="s">
        <v>660</v>
      </c>
      <c r="B2171">
        <v>34633</v>
      </c>
      <c r="C2171" t="s">
        <v>2835</v>
      </c>
      <c r="D2171" t="s">
        <v>226</v>
      </c>
      <c r="E2171" t="s">
        <v>659</v>
      </c>
      <c r="F2171" s="538">
        <v>1117.27</v>
      </c>
      <c r="G2171" s="538">
        <v>1180.49</v>
      </c>
    </row>
    <row r="2172" spans="1:7" hidden="1" x14ac:dyDescent="0.25">
      <c r="A2172" t="s">
        <v>660</v>
      </c>
      <c r="B2172">
        <v>40449</v>
      </c>
      <c r="C2172" t="s">
        <v>2836</v>
      </c>
      <c r="D2172" t="s">
        <v>806</v>
      </c>
      <c r="E2172" t="s">
        <v>659</v>
      </c>
      <c r="F2172">
        <v>306.37</v>
      </c>
      <c r="G2172">
        <v>323.70999999999998</v>
      </c>
    </row>
    <row r="2173" spans="1:7" hidden="1" x14ac:dyDescent="0.25">
      <c r="A2173" t="s">
        <v>660</v>
      </c>
      <c r="B2173">
        <v>11592</v>
      </c>
      <c r="C2173" t="s">
        <v>2837</v>
      </c>
      <c r="D2173" t="s">
        <v>226</v>
      </c>
      <c r="E2173" t="s">
        <v>659</v>
      </c>
      <c r="F2173">
        <v>548.03</v>
      </c>
      <c r="G2173">
        <v>579.04</v>
      </c>
    </row>
    <row r="2174" spans="1:7" hidden="1" x14ac:dyDescent="0.25">
      <c r="A2174" t="s">
        <v>660</v>
      </c>
      <c r="B2174">
        <v>34800</v>
      </c>
      <c r="C2174" t="s">
        <v>2838</v>
      </c>
      <c r="D2174" t="s">
        <v>806</v>
      </c>
      <c r="E2174" t="s">
        <v>659</v>
      </c>
      <c r="F2174">
        <v>383.12</v>
      </c>
      <c r="G2174">
        <v>404.8</v>
      </c>
    </row>
    <row r="2175" spans="1:7" hidden="1" x14ac:dyDescent="0.25">
      <c r="A2175" t="s">
        <v>660</v>
      </c>
      <c r="B2175">
        <v>11596</v>
      </c>
      <c r="C2175" t="s">
        <v>2839</v>
      </c>
      <c r="D2175" t="s">
        <v>226</v>
      </c>
      <c r="E2175" t="s">
        <v>659</v>
      </c>
      <c r="F2175">
        <v>435.21</v>
      </c>
      <c r="G2175">
        <v>459.84</v>
      </c>
    </row>
    <row r="2176" spans="1:7" hidden="1" x14ac:dyDescent="0.25">
      <c r="A2176" t="s">
        <v>660</v>
      </c>
      <c r="B2176">
        <v>40438</v>
      </c>
      <c r="C2176" t="s">
        <v>2840</v>
      </c>
      <c r="D2176" t="s">
        <v>806</v>
      </c>
      <c r="E2176" t="s">
        <v>659</v>
      </c>
      <c r="F2176">
        <v>255.24</v>
      </c>
      <c r="G2176">
        <v>269.69</v>
      </c>
    </row>
    <row r="2177" spans="1:7" hidden="1" x14ac:dyDescent="0.25">
      <c r="A2177" t="s">
        <v>660</v>
      </c>
      <c r="B2177">
        <v>40436</v>
      </c>
      <c r="C2177" t="s">
        <v>2841</v>
      </c>
      <c r="D2177" t="s">
        <v>806</v>
      </c>
      <c r="E2177" t="s">
        <v>659</v>
      </c>
      <c r="F2177">
        <v>318.27</v>
      </c>
      <c r="G2177">
        <v>336.28</v>
      </c>
    </row>
    <row r="2178" spans="1:7" hidden="1" x14ac:dyDescent="0.25">
      <c r="A2178" t="s">
        <v>660</v>
      </c>
      <c r="B2178">
        <v>4315</v>
      </c>
      <c r="C2178" t="s">
        <v>2842</v>
      </c>
      <c r="D2178" t="s">
        <v>226</v>
      </c>
      <c r="E2178" t="s">
        <v>659</v>
      </c>
      <c r="F2178">
        <v>2.2200000000000002</v>
      </c>
      <c r="G2178">
        <v>2.41</v>
      </c>
    </row>
    <row r="2179" spans="1:7" hidden="1" x14ac:dyDescent="0.25">
      <c r="A2179" t="s">
        <v>660</v>
      </c>
      <c r="B2179">
        <v>402</v>
      </c>
      <c r="C2179" t="s">
        <v>2843</v>
      </c>
      <c r="D2179" t="s">
        <v>226</v>
      </c>
      <c r="E2179" t="s">
        <v>659</v>
      </c>
      <c r="F2179">
        <f>G2179</f>
        <v>12.11</v>
      </c>
      <c r="G2179">
        <v>12.11</v>
      </c>
    </row>
    <row r="2180" spans="1:7" hidden="1" x14ac:dyDescent="0.25">
      <c r="A2180" t="s">
        <v>660</v>
      </c>
      <c r="B2180">
        <v>4226</v>
      </c>
      <c r="C2180" t="s">
        <v>2844</v>
      </c>
      <c r="D2180" t="s">
        <v>708</v>
      </c>
      <c r="E2180" t="s">
        <v>172</v>
      </c>
      <c r="F2180">
        <v>8.09</v>
      </c>
      <c r="G2180">
        <v>8.4499999999999993</v>
      </c>
    </row>
    <row r="2181" spans="1:7" hidden="1" x14ac:dyDescent="0.25">
      <c r="A2181" t="s">
        <v>660</v>
      </c>
      <c r="B2181">
        <v>4222</v>
      </c>
      <c r="C2181" t="s">
        <v>2845</v>
      </c>
      <c r="D2181" t="s">
        <v>710</v>
      </c>
      <c r="E2181" t="s">
        <v>172</v>
      </c>
      <c r="F2181">
        <v>6.09</v>
      </c>
      <c r="G2181">
        <v>6.04</v>
      </c>
    </row>
    <row r="2182" spans="1:7" hidden="1" x14ac:dyDescent="0.25">
      <c r="A2182" t="s">
        <v>660</v>
      </c>
      <c r="B2182">
        <v>34804</v>
      </c>
      <c r="C2182" t="s">
        <v>2846</v>
      </c>
      <c r="D2182" t="s">
        <v>498</v>
      </c>
      <c r="E2182" t="s">
        <v>659</v>
      </c>
      <c r="F2182">
        <v>46.26</v>
      </c>
      <c r="G2182">
        <v>48.88</v>
      </c>
    </row>
    <row r="2183" spans="1:7" hidden="1" x14ac:dyDescent="0.25">
      <c r="A2183" t="s">
        <v>660</v>
      </c>
      <c r="B2183">
        <v>4013</v>
      </c>
      <c r="C2183" t="s">
        <v>2847</v>
      </c>
      <c r="D2183" t="s">
        <v>498</v>
      </c>
      <c r="E2183" t="s">
        <v>659</v>
      </c>
      <c r="F2183">
        <v>6.51</v>
      </c>
      <c r="G2183">
        <v>7.12</v>
      </c>
    </row>
    <row r="2184" spans="1:7" hidden="1" x14ac:dyDescent="0.25">
      <c r="A2184" t="s">
        <v>660</v>
      </c>
      <c r="B2184">
        <v>4011</v>
      </c>
      <c r="C2184" t="s">
        <v>2848</v>
      </c>
      <c r="D2184" t="s">
        <v>498</v>
      </c>
      <c r="E2184" t="s">
        <v>659</v>
      </c>
      <c r="F2184">
        <v>7.27</v>
      </c>
      <c r="G2184">
        <v>7.96</v>
      </c>
    </row>
    <row r="2185" spans="1:7" hidden="1" x14ac:dyDescent="0.25">
      <c r="A2185" t="s">
        <v>660</v>
      </c>
      <c r="B2185">
        <v>4021</v>
      </c>
      <c r="C2185" t="s">
        <v>2849</v>
      </c>
      <c r="D2185" t="s">
        <v>498</v>
      </c>
      <c r="E2185" t="s">
        <v>659</v>
      </c>
      <c r="F2185">
        <v>9.07</v>
      </c>
      <c r="G2185">
        <v>9.92</v>
      </c>
    </row>
    <row r="2186" spans="1:7" hidden="1" x14ac:dyDescent="0.25">
      <c r="A2186" t="s">
        <v>660</v>
      </c>
      <c r="B2186">
        <v>4019</v>
      </c>
      <c r="C2186" t="s">
        <v>2850</v>
      </c>
      <c r="D2186" t="s">
        <v>498</v>
      </c>
      <c r="E2186" t="s">
        <v>659</v>
      </c>
      <c r="F2186">
        <v>10.89</v>
      </c>
      <c r="G2186">
        <v>11.91</v>
      </c>
    </row>
    <row r="2187" spans="1:7" hidden="1" x14ac:dyDescent="0.25">
      <c r="A2187" t="s">
        <v>660</v>
      </c>
      <c r="B2187">
        <v>4012</v>
      </c>
      <c r="C2187" t="s">
        <v>2851</v>
      </c>
      <c r="D2187" t="s">
        <v>498</v>
      </c>
      <c r="E2187" t="s">
        <v>659</v>
      </c>
      <c r="F2187">
        <v>14.59</v>
      </c>
      <c r="G2187">
        <v>15.97</v>
      </c>
    </row>
    <row r="2188" spans="1:7" hidden="1" x14ac:dyDescent="0.25">
      <c r="A2188" t="s">
        <v>660</v>
      </c>
      <c r="B2188">
        <v>4020</v>
      </c>
      <c r="C2188" t="s">
        <v>2852</v>
      </c>
      <c r="D2188" t="s">
        <v>498</v>
      </c>
      <c r="E2188" t="s">
        <v>659</v>
      </c>
      <c r="F2188">
        <v>18.27</v>
      </c>
      <c r="G2188">
        <v>19.989999999999998</v>
      </c>
    </row>
    <row r="2189" spans="1:7" hidden="1" x14ac:dyDescent="0.25">
      <c r="A2189" t="s">
        <v>660</v>
      </c>
      <c r="B2189">
        <v>4018</v>
      </c>
      <c r="C2189" t="s">
        <v>2853</v>
      </c>
      <c r="D2189" t="s">
        <v>498</v>
      </c>
      <c r="E2189" t="s">
        <v>659</v>
      </c>
      <c r="F2189">
        <v>21.89</v>
      </c>
      <c r="G2189">
        <v>23.95</v>
      </c>
    </row>
    <row r="2190" spans="1:7" hidden="1" x14ac:dyDescent="0.25">
      <c r="A2190" t="s">
        <v>842</v>
      </c>
      <c r="B2190">
        <v>36498</v>
      </c>
      <c r="C2190" t="s">
        <v>2854</v>
      </c>
      <c r="D2190" t="s">
        <v>226</v>
      </c>
      <c r="E2190" t="s">
        <v>659</v>
      </c>
      <c r="F2190" s="538">
        <v>9545.6299999999992</v>
      </c>
      <c r="G2190" s="538">
        <v>9377.68</v>
      </c>
    </row>
    <row r="2191" spans="1:7" hidden="1" x14ac:dyDescent="0.25">
      <c r="A2191" t="s">
        <v>807</v>
      </c>
      <c r="B2191">
        <v>12872</v>
      </c>
      <c r="C2191" t="s">
        <v>2855</v>
      </c>
      <c r="D2191" t="s">
        <v>809</v>
      </c>
      <c r="E2191" t="s">
        <v>659</v>
      </c>
      <c r="F2191">
        <v>11.46</v>
      </c>
      <c r="G2191">
        <v>12.11</v>
      </c>
    </row>
    <row r="2192" spans="1:7" hidden="1" x14ac:dyDescent="0.25">
      <c r="A2192" t="s">
        <v>807</v>
      </c>
      <c r="B2192">
        <v>41075</v>
      </c>
      <c r="C2192" t="s">
        <v>2856</v>
      </c>
      <c r="D2192" t="s">
        <v>811</v>
      </c>
      <c r="E2192" t="s">
        <v>659</v>
      </c>
      <c r="F2192" s="538">
        <v>2521.5500000000002</v>
      </c>
      <c r="G2192" s="538">
        <v>2664.2</v>
      </c>
    </row>
    <row r="2193" spans="1:7" hidden="1" x14ac:dyDescent="0.25">
      <c r="A2193" t="s">
        <v>660</v>
      </c>
      <c r="B2193">
        <v>44324</v>
      </c>
      <c r="C2193" t="s">
        <v>2857</v>
      </c>
      <c r="D2193" t="s">
        <v>708</v>
      </c>
      <c r="E2193" t="s">
        <v>659</v>
      </c>
      <c r="F2193">
        <v>2.88</v>
      </c>
      <c r="G2193">
        <v>2.72</v>
      </c>
    </row>
    <row r="2194" spans="1:7" hidden="1" x14ac:dyDescent="0.25">
      <c r="A2194" t="s">
        <v>660</v>
      </c>
      <c r="B2194">
        <v>3315</v>
      </c>
      <c r="C2194" t="s">
        <v>2858</v>
      </c>
      <c r="D2194" t="s">
        <v>708</v>
      </c>
      <c r="E2194" t="s">
        <v>659</v>
      </c>
      <c r="F2194">
        <v>0.83</v>
      </c>
      <c r="G2194">
        <v>0.79</v>
      </c>
    </row>
    <row r="2195" spans="1:7" hidden="1" x14ac:dyDescent="0.25">
      <c r="A2195" t="s">
        <v>660</v>
      </c>
      <c r="B2195">
        <v>36870</v>
      </c>
      <c r="C2195" t="s">
        <v>2859</v>
      </c>
      <c r="D2195" t="s">
        <v>708</v>
      </c>
      <c r="E2195" t="s">
        <v>659</v>
      </c>
      <c r="F2195">
        <v>0.64</v>
      </c>
      <c r="G2195">
        <v>0.61</v>
      </c>
    </row>
    <row r="2196" spans="1:7" hidden="1" x14ac:dyDescent="0.25">
      <c r="A2196" t="s">
        <v>660</v>
      </c>
      <c r="B2196">
        <v>5092</v>
      </c>
      <c r="C2196" t="s">
        <v>2860</v>
      </c>
      <c r="D2196" t="s">
        <v>1086</v>
      </c>
      <c r="E2196" t="s">
        <v>659</v>
      </c>
      <c r="F2196">
        <v>19.649999999999999</v>
      </c>
      <c r="G2196">
        <v>17.55</v>
      </c>
    </row>
    <row r="2197" spans="1:7" hidden="1" x14ac:dyDescent="0.25">
      <c r="A2197" t="s">
        <v>660</v>
      </c>
      <c r="B2197">
        <v>11462</v>
      </c>
      <c r="C2197" t="s">
        <v>2861</v>
      </c>
      <c r="D2197" t="s">
        <v>1086</v>
      </c>
      <c r="E2197" t="s">
        <v>659</v>
      </c>
      <c r="F2197">
        <v>20.100000000000001</v>
      </c>
      <c r="G2197">
        <v>17.940000000000001</v>
      </c>
    </row>
    <row r="2198" spans="1:7" hidden="1" x14ac:dyDescent="0.25">
      <c r="A2198" t="s">
        <v>842</v>
      </c>
      <c r="B2198">
        <v>36529</v>
      </c>
      <c r="C2198" t="s">
        <v>2862</v>
      </c>
      <c r="D2198" t="s">
        <v>226</v>
      </c>
      <c r="E2198" t="s">
        <v>659</v>
      </c>
      <c r="F2198">
        <f>G2198</f>
        <v>62627.55</v>
      </c>
      <c r="G2198" s="538">
        <v>62627.55</v>
      </c>
    </row>
    <row r="2199" spans="1:7" hidden="1" x14ac:dyDescent="0.25">
      <c r="A2199" t="s">
        <v>842</v>
      </c>
      <c r="B2199">
        <v>3318</v>
      </c>
      <c r="C2199" t="s">
        <v>2863</v>
      </c>
      <c r="D2199" t="s">
        <v>226</v>
      </c>
      <c r="E2199" t="s">
        <v>172</v>
      </c>
      <c r="F2199">
        <f>G2199</f>
        <v>49100</v>
      </c>
      <c r="G2199" s="538">
        <v>49100</v>
      </c>
    </row>
    <row r="2200" spans="1:7" hidden="1" x14ac:dyDescent="0.25">
      <c r="A2200" t="s">
        <v>660</v>
      </c>
      <c r="B2200">
        <v>3324</v>
      </c>
      <c r="C2200" t="s">
        <v>2864</v>
      </c>
      <c r="D2200" t="s">
        <v>498</v>
      </c>
      <c r="E2200" t="s">
        <v>659</v>
      </c>
      <c r="F2200">
        <v>9.64</v>
      </c>
      <c r="G2200">
        <v>12.78</v>
      </c>
    </row>
    <row r="2201" spans="1:7" hidden="1" x14ac:dyDescent="0.25">
      <c r="A2201" t="s">
        <v>660</v>
      </c>
      <c r="B2201">
        <v>3322</v>
      </c>
      <c r="C2201" t="s">
        <v>2865</v>
      </c>
      <c r="D2201" t="s">
        <v>498</v>
      </c>
      <c r="E2201" t="s">
        <v>172</v>
      </c>
      <c r="F2201">
        <v>13.5</v>
      </c>
      <c r="G2201">
        <v>17.899999999999999</v>
      </c>
    </row>
    <row r="2202" spans="1:7" hidden="1" x14ac:dyDescent="0.25">
      <c r="A2202" t="s">
        <v>660</v>
      </c>
      <c r="B2202">
        <v>5076</v>
      </c>
      <c r="C2202" t="s">
        <v>2866</v>
      </c>
      <c r="D2202" t="s">
        <v>708</v>
      </c>
      <c r="E2202" t="s">
        <v>659</v>
      </c>
      <c r="F2202">
        <v>17.739999999999998</v>
      </c>
      <c r="G2202">
        <v>12.33</v>
      </c>
    </row>
    <row r="2203" spans="1:7" hidden="1" x14ac:dyDescent="0.25">
      <c r="A2203" t="s">
        <v>660</v>
      </c>
      <c r="B2203">
        <v>5077</v>
      </c>
      <c r="C2203" t="s">
        <v>2867</v>
      </c>
      <c r="D2203" t="s">
        <v>708</v>
      </c>
      <c r="E2203" t="s">
        <v>659</v>
      </c>
      <c r="F2203">
        <v>19.61</v>
      </c>
      <c r="G2203">
        <v>13.62</v>
      </c>
    </row>
    <row r="2204" spans="1:7" hidden="1" x14ac:dyDescent="0.25">
      <c r="A2204" t="s">
        <v>660</v>
      </c>
      <c r="B2204">
        <v>45242</v>
      </c>
      <c r="C2204" t="s">
        <v>2868</v>
      </c>
      <c r="D2204" t="s">
        <v>226</v>
      </c>
      <c r="E2204" t="s">
        <v>659</v>
      </c>
      <c r="F2204">
        <v>73.22</v>
      </c>
      <c r="G2204">
        <v>63.3</v>
      </c>
    </row>
    <row r="2205" spans="1:7" hidden="1" x14ac:dyDescent="0.25">
      <c r="A2205" t="s">
        <v>660</v>
      </c>
      <c r="B2205">
        <v>11837</v>
      </c>
      <c r="C2205" t="s">
        <v>2869</v>
      </c>
      <c r="D2205" t="s">
        <v>226</v>
      </c>
      <c r="E2205" t="s">
        <v>659</v>
      </c>
      <c r="F2205">
        <v>97.46</v>
      </c>
      <c r="G2205">
        <v>71.8</v>
      </c>
    </row>
    <row r="2206" spans="1:7" hidden="1" x14ac:dyDescent="0.25">
      <c r="A2206" t="s">
        <v>660</v>
      </c>
      <c r="B2206">
        <v>415</v>
      </c>
      <c r="C2206" t="s">
        <v>2870</v>
      </c>
      <c r="D2206" t="s">
        <v>226</v>
      </c>
      <c r="E2206" t="s">
        <v>659</v>
      </c>
      <c r="F2206">
        <v>39.96</v>
      </c>
      <c r="G2206">
        <v>29.44</v>
      </c>
    </row>
    <row r="2207" spans="1:7" hidden="1" x14ac:dyDescent="0.25">
      <c r="A2207" t="s">
        <v>660</v>
      </c>
      <c r="B2207">
        <v>38055</v>
      </c>
      <c r="C2207" t="s">
        <v>2871</v>
      </c>
      <c r="D2207" t="s">
        <v>226</v>
      </c>
      <c r="E2207" t="s">
        <v>659</v>
      </c>
      <c r="F2207">
        <v>8.84</v>
      </c>
      <c r="G2207">
        <v>6.51</v>
      </c>
    </row>
    <row r="2208" spans="1:7" hidden="1" x14ac:dyDescent="0.25">
      <c r="A2208" t="s">
        <v>660</v>
      </c>
      <c r="B2208">
        <v>416</v>
      </c>
      <c r="C2208" t="s">
        <v>2872</v>
      </c>
      <c r="D2208" t="s">
        <v>226</v>
      </c>
      <c r="E2208" t="s">
        <v>659</v>
      </c>
      <c r="F2208">
        <v>14.63</v>
      </c>
      <c r="G2208">
        <v>10.78</v>
      </c>
    </row>
    <row r="2209" spans="1:7" hidden="1" x14ac:dyDescent="0.25">
      <c r="A2209" t="s">
        <v>660</v>
      </c>
      <c r="B2209">
        <v>425</v>
      </c>
      <c r="C2209" t="s">
        <v>2873</v>
      </c>
      <c r="D2209" t="s">
        <v>226</v>
      </c>
      <c r="E2209" t="s">
        <v>659</v>
      </c>
      <c r="F2209">
        <v>9.07</v>
      </c>
      <c r="G2209">
        <v>6.68</v>
      </c>
    </row>
    <row r="2210" spans="1:7" hidden="1" x14ac:dyDescent="0.25">
      <c r="A2210" t="s">
        <v>660</v>
      </c>
      <c r="B2210">
        <v>426</v>
      </c>
      <c r="C2210" t="s">
        <v>2874</v>
      </c>
      <c r="D2210" t="s">
        <v>226</v>
      </c>
      <c r="E2210" t="s">
        <v>659</v>
      </c>
      <c r="F2210">
        <v>49.95</v>
      </c>
      <c r="G2210">
        <v>36.799999999999997</v>
      </c>
    </row>
    <row r="2211" spans="1:7" hidden="1" x14ac:dyDescent="0.25">
      <c r="A2211" t="s">
        <v>660</v>
      </c>
      <c r="B2211">
        <v>38056</v>
      </c>
      <c r="C2211" t="s">
        <v>2875</v>
      </c>
      <c r="D2211" t="s">
        <v>226</v>
      </c>
      <c r="E2211" t="s">
        <v>659</v>
      </c>
      <c r="F2211">
        <v>48.78</v>
      </c>
      <c r="G2211">
        <v>35.94</v>
      </c>
    </row>
    <row r="2212" spans="1:7" hidden="1" x14ac:dyDescent="0.25">
      <c r="A2212" t="s">
        <v>660</v>
      </c>
      <c r="B2212">
        <v>1564</v>
      </c>
      <c r="C2212" t="s">
        <v>2876</v>
      </c>
      <c r="D2212" t="s">
        <v>226</v>
      </c>
      <c r="E2212" t="s">
        <v>659</v>
      </c>
      <c r="F2212">
        <v>18.61</v>
      </c>
      <c r="G2212">
        <v>13.71</v>
      </c>
    </row>
    <row r="2213" spans="1:7" hidden="1" x14ac:dyDescent="0.25">
      <c r="A2213" t="s">
        <v>660</v>
      </c>
      <c r="B2213">
        <v>11032</v>
      </c>
      <c r="C2213" t="s">
        <v>2877</v>
      </c>
      <c r="D2213" t="s">
        <v>226</v>
      </c>
      <c r="E2213" t="s">
        <v>659</v>
      </c>
      <c r="F2213">
        <v>12.52</v>
      </c>
      <c r="G2213">
        <v>13.62</v>
      </c>
    </row>
    <row r="2214" spans="1:7" hidden="1" x14ac:dyDescent="0.25">
      <c r="A2214" t="s">
        <v>660</v>
      </c>
      <c r="B2214">
        <v>36786</v>
      </c>
      <c r="C2214" t="s">
        <v>2878</v>
      </c>
      <c r="D2214" t="s">
        <v>2879</v>
      </c>
      <c r="E2214" t="s">
        <v>659</v>
      </c>
      <c r="F2214">
        <f>G2214</f>
        <v>137.86000000000001</v>
      </c>
      <c r="G2214">
        <v>137.86000000000001</v>
      </c>
    </row>
    <row r="2215" spans="1:7" hidden="1" x14ac:dyDescent="0.25">
      <c r="A2215" t="s">
        <v>660</v>
      </c>
      <c r="B2215">
        <v>36785</v>
      </c>
      <c r="C2215" t="s">
        <v>2880</v>
      </c>
      <c r="D2215" t="s">
        <v>2879</v>
      </c>
      <c r="E2215" t="s">
        <v>659</v>
      </c>
      <c r="F2215">
        <f>G2215</f>
        <v>119.79</v>
      </c>
      <c r="G2215">
        <v>119.79</v>
      </c>
    </row>
    <row r="2216" spans="1:7" hidden="1" x14ac:dyDescent="0.25">
      <c r="A2216" t="s">
        <v>660</v>
      </c>
      <c r="B2216">
        <v>36782</v>
      </c>
      <c r="C2216" t="s">
        <v>2881</v>
      </c>
      <c r="D2216" t="s">
        <v>2879</v>
      </c>
      <c r="E2216" t="s">
        <v>659</v>
      </c>
      <c r="F2216">
        <f>G2216</f>
        <v>142.99</v>
      </c>
      <c r="G2216">
        <v>142.99</v>
      </c>
    </row>
    <row r="2217" spans="1:7" hidden="1" x14ac:dyDescent="0.25">
      <c r="A2217" t="s">
        <v>660</v>
      </c>
      <c r="B2217">
        <v>44481</v>
      </c>
      <c r="C2217" t="s">
        <v>2882</v>
      </c>
      <c r="D2217" t="s">
        <v>2879</v>
      </c>
      <c r="E2217" t="s">
        <v>172</v>
      </c>
      <c r="F2217">
        <f>G2217</f>
        <v>161.07</v>
      </c>
      <c r="G2217">
        <v>161.07</v>
      </c>
    </row>
    <row r="2218" spans="1:7" x14ac:dyDescent="0.25">
      <c r="A2218" t="s">
        <v>660</v>
      </c>
      <c r="B2218">
        <v>4824</v>
      </c>
      <c r="C2218" t="s">
        <v>2883</v>
      </c>
      <c r="D2218" t="s">
        <v>708</v>
      </c>
      <c r="E2218" t="s">
        <v>659</v>
      </c>
      <c r="F2218">
        <v>0.46</v>
      </c>
      <c r="G2218">
        <v>0.75</v>
      </c>
    </row>
    <row r="2219" spans="1:7" hidden="1" x14ac:dyDescent="0.25">
      <c r="A2219" t="s">
        <v>660</v>
      </c>
      <c r="B2219">
        <v>11795</v>
      </c>
      <c r="C2219" t="s">
        <v>2884</v>
      </c>
      <c r="D2219" t="s">
        <v>498</v>
      </c>
      <c r="E2219" t="s">
        <v>659</v>
      </c>
      <c r="F2219">
        <v>470.44</v>
      </c>
      <c r="G2219">
        <v>679.24</v>
      </c>
    </row>
    <row r="2220" spans="1:7" hidden="1" x14ac:dyDescent="0.25">
      <c r="A2220" t="s">
        <v>660</v>
      </c>
      <c r="B2220">
        <v>134</v>
      </c>
      <c r="C2220" t="s">
        <v>2885</v>
      </c>
      <c r="D2220" t="s">
        <v>708</v>
      </c>
      <c r="E2220" t="s">
        <v>659</v>
      </c>
      <c r="F2220">
        <v>1.51</v>
      </c>
      <c r="G2220">
        <v>1.72</v>
      </c>
    </row>
    <row r="2221" spans="1:7" hidden="1" x14ac:dyDescent="0.25">
      <c r="A2221" t="s">
        <v>660</v>
      </c>
      <c r="B2221">
        <v>4229</v>
      </c>
      <c r="C2221" t="s">
        <v>2886</v>
      </c>
      <c r="D2221" t="s">
        <v>708</v>
      </c>
      <c r="E2221" t="s">
        <v>659</v>
      </c>
      <c r="F2221">
        <v>43.49</v>
      </c>
      <c r="G2221">
        <v>44.76</v>
      </c>
    </row>
    <row r="2222" spans="1:7" hidden="1" x14ac:dyDescent="0.25">
      <c r="A2222" t="s">
        <v>660</v>
      </c>
      <c r="B2222">
        <v>11731</v>
      </c>
      <c r="C2222" t="s">
        <v>2887</v>
      </c>
      <c r="D2222" t="s">
        <v>226</v>
      </c>
      <c r="E2222" t="s">
        <v>659</v>
      </c>
      <c r="F2222">
        <v>9.82</v>
      </c>
      <c r="G2222">
        <v>9.7899999999999991</v>
      </c>
    </row>
    <row r="2223" spans="1:7" hidden="1" x14ac:dyDescent="0.25">
      <c r="A2223" t="s">
        <v>660</v>
      </c>
      <c r="B2223">
        <v>11732</v>
      </c>
      <c r="C2223" t="s">
        <v>2888</v>
      </c>
      <c r="D2223" t="s">
        <v>226</v>
      </c>
      <c r="E2223" t="s">
        <v>659</v>
      </c>
      <c r="F2223">
        <v>25.73</v>
      </c>
      <c r="G2223">
        <v>25.68</v>
      </c>
    </row>
    <row r="2224" spans="1:7" hidden="1" x14ac:dyDescent="0.25">
      <c r="A2224" t="s">
        <v>660</v>
      </c>
      <c r="B2224">
        <v>11244</v>
      </c>
      <c r="C2224" t="s">
        <v>2889</v>
      </c>
      <c r="D2224" t="s">
        <v>226</v>
      </c>
      <c r="E2224" t="s">
        <v>659</v>
      </c>
      <c r="F2224">
        <v>202.52</v>
      </c>
      <c r="G2224">
        <v>238.92</v>
      </c>
    </row>
    <row r="2225" spans="1:7" hidden="1" x14ac:dyDescent="0.25">
      <c r="A2225" t="s">
        <v>660</v>
      </c>
      <c r="B2225">
        <v>11235</v>
      </c>
      <c r="C2225" t="s">
        <v>2890</v>
      </c>
      <c r="D2225" t="s">
        <v>226</v>
      </c>
      <c r="E2225" t="s">
        <v>659</v>
      </c>
      <c r="F2225">
        <v>154.54</v>
      </c>
      <c r="G2225">
        <v>182.32</v>
      </c>
    </row>
    <row r="2226" spans="1:7" hidden="1" x14ac:dyDescent="0.25">
      <c r="A2226" t="s">
        <v>660</v>
      </c>
      <c r="B2226">
        <v>11236</v>
      </c>
      <c r="C2226" t="s">
        <v>2891</v>
      </c>
      <c r="D2226" t="s">
        <v>226</v>
      </c>
      <c r="E2226" t="s">
        <v>659</v>
      </c>
      <c r="F2226">
        <v>196.4</v>
      </c>
      <c r="G2226">
        <v>231.7</v>
      </c>
    </row>
    <row r="2227" spans="1:7" hidden="1" x14ac:dyDescent="0.25">
      <c r="A2227" t="s">
        <v>660</v>
      </c>
      <c r="B2227">
        <v>11245</v>
      </c>
      <c r="C2227" t="s">
        <v>2892</v>
      </c>
      <c r="D2227" t="s">
        <v>226</v>
      </c>
      <c r="E2227" t="s">
        <v>659</v>
      </c>
      <c r="F2227">
        <v>280.11</v>
      </c>
      <c r="G2227">
        <v>330.46</v>
      </c>
    </row>
    <row r="2228" spans="1:7" hidden="1" x14ac:dyDescent="0.25">
      <c r="A2228" t="s">
        <v>842</v>
      </c>
      <c r="B2228">
        <v>36494</v>
      </c>
      <c r="C2228" t="s">
        <v>2893</v>
      </c>
      <c r="D2228" t="s">
        <v>226</v>
      </c>
      <c r="E2228" t="s">
        <v>659</v>
      </c>
      <c r="F2228">
        <f>G2228</f>
        <v>740761.71</v>
      </c>
      <c r="G2228" s="538">
        <v>740761.71</v>
      </c>
    </row>
    <row r="2229" spans="1:7" hidden="1" x14ac:dyDescent="0.25">
      <c r="A2229" t="s">
        <v>842</v>
      </c>
      <c r="B2229">
        <v>36493</v>
      </c>
      <c r="C2229" t="s">
        <v>2894</v>
      </c>
      <c r="D2229" t="s">
        <v>226</v>
      </c>
      <c r="E2229" t="s">
        <v>659</v>
      </c>
      <c r="F2229">
        <f>G2229</f>
        <v>839252.93</v>
      </c>
      <c r="G2229" s="538">
        <v>839252.93</v>
      </c>
    </row>
    <row r="2230" spans="1:7" hidden="1" x14ac:dyDescent="0.25">
      <c r="A2230" t="s">
        <v>842</v>
      </c>
      <c r="B2230">
        <v>36492</v>
      </c>
      <c r="C2230" t="s">
        <v>2895</v>
      </c>
      <c r="D2230" t="s">
        <v>226</v>
      </c>
      <c r="E2230" t="s">
        <v>659</v>
      </c>
      <c r="F2230">
        <f>G2230</f>
        <v>1559013.67</v>
      </c>
      <c r="G2230" s="538">
        <v>1559013.67</v>
      </c>
    </row>
    <row r="2231" spans="1:7" hidden="1" x14ac:dyDescent="0.25">
      <c r="A2231" t="s">
        <v>842</v>
      </c>
      <c r="B2231">
        <v>36499</v>
      </c>
      <c r="C2231" t="s">
        <v>2896</v>
      </c>
      <c r="D2231" t="s">
        <v>226</v>
      </c>
      <c r="E2231" t="s">
        <v>659</v>
      </c>
      <c r="F2231" s="538">
        <v>5154.6400000000003</v>
      </c>
      <c r="G2231" s="538">
        <v>5063.9399999999996</v>
      </c>
    </row>
    <row r="2232" spans="1:7" hidden="1" x14ac:dyDescent="0.25">
      <c r="A2232" t="s">
        <v>842</v>
      </c>
      <c r="B2232">
        <v>13533</v>
      </c>
      <c r="C2232" t="s">
        <v>2897</v>
      </c>
      <c r="D2232" t="s">
        <v>226</v>
      </c>
      <c r="E2232" t="s">
        <v>659</v>
      </c>
      <c r="F2232" s="538">
        <v>236290.92</v>
      </c>
      <c r="G2232" s="538">
        <v>232133.52</v>
      </c>
    </row>
    <row r="2233" spans="1:7" hidden="1" x14ac:dyDescent="0.25">
      <c r="A2233" t="s">
        <v>842</v>
      </c>
      <c r="B2233">
        <v>13333</v>
      </c>
      <c r="C2233" t="s">
        <v>2898</v>
      </c>
      <c r="D2233" t="s">
        <v>226</v>
      </c>
      <c r="E2233" t="s">
        <v>659</v>
      </c>
      <c r="F2233" s="538">
        <v>264340.36</v>
      </c>
      <c r="G2233" s="538">
        <v>259689.46</v>
      </c>
    </row>
    <row r="2234" spans="1:7" hidden="1" x14ac:dyDescent="0.25">
      <c r="A2234" t="s">
        <v>842</v>
      </c>
      <c r="B2234">
        <v>39585</v>
      </c>
      <c r="C2234" t="s">
        <v>2899</v>
      </c>
      <c r="D2234" t="s">
        <v>226</v>
      </c>
      <c r="E2234" t="s">
        <v>659</v>
      </c>
      <c r="F2234" s="538">
        <v>170684.56</v>
      </c>
      <c r="G2234" s="538">
        <v>167681.47</v>
      </c>
    </row>
    <row r="2235" spans="1:7" hidden="1" x14ac:dyDescent="0.25">
      <c r="A2235" t="s">
        <v>842</v>
      </c>
      <c r="B2235">
        <v>39586</v>
      </c>
      <c r="C2235" t="s">
        <v>2900</v>
      </c>
      <c r="D2235" t="s">
        <v>226</v>
      </c>
      <c r="E2235" t="s">
        <v>659</v>
      </c>
      <c r="F2235" s="538">
        <v>200201.43</v>
      </c>
      <c r="G2235" s="538">
        <v>196679.01</v>
      </c>
    </row>
    <row r="2236" spans="1:7" hidden="1" x14ac:dyDescent="0.25">
      <c r="A2236" t="s">
        <v>842</v>
      </c>
      <c r="B2236">
        <v>39587</v>
      </c>
      <c r="C2236" t="s">
        <v>2901</v>
      </c>
      <c r="D2236" t="s">
        <v>226</v>
      </c>
      <c r="E2236" t="s">
        <v>659</v>
      </c>
      <c r="F2236" s="538">
        <v>243835.09</v>
      </c>
      <c r="G2236" s="538">
        <v>239544.95999999999</v>
      </c>
    </row>
    <row r="2237" spans="1:7" hidden="1" x14ac:dyDescent="0.25">
      <c r="A2237" t="s">
        <v>842</v>
      </c>
      <c r="B2237">
        <v>39588</v>
      </c>
      <c r="C2237" t="s">
        <v>2902</v>
      </c>
      <c r="D2237" t="s">
        <v>226</v>
      </c>
      <c r="E2237" t="s">
        <v>659</v>
      </c>
      <c r="F2237" s="538">
        <v>282335.35999999999</v>
      </c>
      <c r="G2237" s="538">
        <v>277367.84000000003</v>
      </c>
    </row>
    <row r="2238" spans="1:7" hidden="1" x14ac:dyDescent="0.25">
      <c r="A2238" t="s">
        <v>842</v>
      </c>
      <c r="B2238">
        <v>39584</v>
      </c>
      <c r="C2238" t="s">
        <v>2903</v>
      </c>
      <c r="D2238" t="s">
        <v>226</v>
      </c>
      <c r="E2238" t="s">
        <v>659</v>
      </c>
      <c r="F2238" s="538">
        <v>151999.1</v>
      </c>
      <c r="G2238" s="538">
        <v>149324.76</v>
      </c>
    </row>
    <row r="2239" spans="1:7" hidden="1" x14ac:dyDescent="0.25">
      <c r="A2239" t="s">
        <v>842</v>
      </c>
      <c r="B2239">
        <v>39590</v>
      </c>
      <c r="C2239" t="s">
        <v>2904</v>
      </c>
      <c r="D2239" t="s">
        <v>226</v>
      </c>
      <c r="E2239" t="s">
        <v>659</v>
      </c>
      <c r="F2239" s="538">
        <v>148354.4</v>
      </c>
      <c r="G2239" s="538">
        <v>145744.20000000001</v>
      </c>
    </row>
    <row r="2240" spans="1:7" hidden="1" x14ac:dyDescent="0.25">
      <c r="A2240" t="s">
        <v>842</v>
      </c>
      <c r="B2240">
        <v>39592</v>
      </c>
      <c r="C2240" t="s">
        <v>2905</v>
      </c>
      <c r="D2240" t="s">
        <v>226</v>
      </c>
      <c r="E2240" t="s">
        <v>659</v>
      </c>
      <c r="F2240" s="538">
        <v>213188.86</v>
      </c>
      <c r="G2240" s="538">
        <v>209437.93</v>
      </c>
    </row>
    <row r="2241" spans="1:7" hidden="1" x14ac:dyDescent="0.25">
      <c r="A2241" t="s">
        <v>842</v>
      </c>
      <c r="B2241">
        <v>39593</v>
      </c>
      <c r="C2241" t="s">
        <v>2906</v>
      </c>
      <c r="D2241" t="s">
        <v>226</v>
      </c>
      <c r="E2241" t="s">
        <v>659</v>
      </c>
      <c r="F2241" s="538">
        <v>243835.09</v>
      </c>
      <c r="G2241" s="538">
        <v>239544.95999999999</v>
      </c>
    </row>
    <row r="2242" spans="1:7" hidden="1" x14ac:dyDescent="0.25">
      <c r="A2242" t="s">
        <v>842</v>
      </c>
      <c r="B2242">
        <v>14254</v>
      </c>
      <c r="C2242" t="s">
        <v>2907</v>
      </c>
      <c r="D2242" t="s">
        <v>226</v>
      </c>
      <c r="E2242" t="s">
        <v>172</v>
      </c>
      <c r="F2242" s="538">
        <v>138601</v>
      </c>
      <c r="G2242" s="538">
        <v>136162.4</v>
      </c>
    </row>
    <row r="2243" spans="1:7" hidden="1" x14ac:dyDescent="0.25">
      <c r="A2243" t="s">
        <v>842</v>
      </c>
      <c r="B2243">
        <v>44494</v>
      </c>
      <c r="C2243" t="s">
        <v>2908</v>
      </c>
      <c r="D2243" t="s">
        <v>226</v>
      </c>
      <c r="E2243" t="s">
        <v>659</v>
      </c>
      <c r="F2243" s="538">
        <v>115742.89</v>
      </c>
      <c r="G2243" s="538">
        <v>113706.46</v>
      </c>
    </row>
    <row r="2244" spans="1:7" hidden="1" x14ac:dyDescent="0.25">
      <c r="A2244" t="s">
        <v>842</v>
      </c>
      <c r="B2244">
        <v>25019</v>
      </c>
      <c r="C2244" t="s">
        <v>2909</v>
      </c>
      <c r="D2244" t="s">
        <v>226</v>
      </c>
      <c r="E2244" t="s">
        <v>659</v>
      </c>
      <c r="F2244" s="538">
        <v>198396.25</v>
      </c>
      <c r="G2244" s="538">
        <v>194905.59</v>
      </c>
    </row>
    <row r="2245" spans="1:7" hidden="1" x14ac:dyDescent="0.25">
      <c r="A2245" t="s">
        <v>842</v>
      </c>
      <c r="B2245">
        <v>36501</v>
      </c>
      <c r="C2245" t="s">
        <v>2910</v>
      </c>
      <c r="D2245" t="s">
        <v>226</v>
      </c>
      <c r="E2245" t="s">
        <v>659</v>
      </c>
      <c r="F2245" s="538">
        <v>176641.04</v>
      </c>
      <c r="G2245" s="538">
        <v>173533.15</v>
      </c>
    </row>
    <row r="2246" spans="1:7" hidden="1" x14ac:dyDescent="0.25">
      <c r="A2246" t="s">
        <v>842</v>
      </c>
      <c r="B2246">
        <v>44493</v>
      </c>
      <c r="C2246" t="s">
        <v>2911</v>
      </c>
      <c r="D2246" t="s">
        <v>226</v>
      </c>
      <c r="E2246" t="s">
        <v>659</v>
      </c>
      <c r="F2246" s="538">
        <v>212356.37</v>
      </c>
      <c r="G2246" s="538">
        <v>208620.09</v>
      </c>
    </row>
    <row r="2247" spans="1:7" hidden="1" x14ac:dyDescent="0.25">
      <c r="A2247" t="s">
        <v>842</v>
      </c>
      <c r="B2247">
        <v>36500</v>
      </c>
      <c r="C2247" t="s">
        <v>2912</v>
      </c>
      <c r="D2247" t="s">
        <v>226</v>
      </c>
      <c r="E2247" t="s">
        <v>659</v>
      </c>
      <c r="F2247" s="538">
        <v>124827.4</v>
      </c>
      <c r="G2247" s="538">
        <v>122631.13</v>
      </c>
    </row>
    <row r="2248" spans="1:7" hidden="1" x14ac:dyDescent="0.25">
      <c r="A2248" t="s">
        <v>660</v>
      </c>
      <c r="B2248">
        <v>20017</v>
      </c>
      <c r="C2248" t="s">
        <v>2913</v>
      </c>
      <c r="D2248" t="s">
        <v>704</v>
      </c>
      <c r="E2248" t="s">
        <v>659</v>
      </c>
      <c r="F2248">
        <v>7.85</v>
      </c>
      <c r="G2248">
        <v>10.18</v>
      </c>
    </row>
    <row r="2249" spans="1:7" x14ac:dyDescent="0.25">
      <c r="A2249" t="s">
        <v>660</v>
      </c>
      <c r="B2249">
        <v>20007</v>
      </c>
      <c r="C2249" t="s">
        <v>2914</v>
      </c>
      <c r="D2249" t="s">
        <v>704</v>
      </c>
      <c r="E2249" t="s">
        <v>659</v>
      </c>
      <c r="F2249">
        <v>4.68</v>
      </c>
      <c r="G2249">
        <v>6.07</v>
      </c>
    </row>
    <row r="2250" spans="1:7" hidden="1" x14ac:dyDescent="0.25">
      <c r="A2250" t="s">
        <v>660</v>
      </c>
      <c r="B2250">
        <v>39831</v>
      </c>
      <c r="C2250" t="s">
        <v>2915</v>
      </c>
      <c r="D2250" t="s">
        <v>1121</v>
      </c>
      <c r="E2250" t="s">
        <v>659</v>
      </c>
      <c r="F2250">
        <v>346.11</v>
      </c>
      <c r="G2250">
        <v>321.63</v>
      </c>
    </row>
    <row r="2251" spans="1:7" hidden="1" x14ac:dyDescent="0.25">
      <c r="A2251" t="s">
        <v>660</v>
      </c>
      <c r="B2251">
        <v>36888</v>
      </c>
      <c r="C2251" t="s">
        <v>2916</v>
      </c>
      <c r="D2251" t="s">
        <v>704</v>
      </c>
      <c r="E2251" t="s">
        <v>659</v>
      </c>
      <c r="F2251">
        <v>24.19</v>
      </c>
      <c r="G2251">
        <v>30.5</v>
      </c>
    </row>
    <row r="2252" spans="1:7" hidden="1" x14ac:dyDescent="0.25">
      <c r="A2252" t="s">
        <v>660</v>
      </c>
      <c r="B2252">
        <v>39836</v>
      </c>
      <c r="C2252" t="s">
        <v>2917</v>
      </c>
      <c r="D2252" t="s">
        <v>1121</v>
      </c>
      <c r="E2252" t="s">
        <v>659</v>
      </c>
      <c r="F2252">
        <v>304.12</v>
      </c>
      <c r="G2252">
        <v>282.61</v>
      </c>
    </row>
    <row r="2253" spans="1:7" hidden="1" x14ac:dyDescent="0.25">
      <c r="A2253" t="s">
        <v>660</v>
      </c>
      <c r="B2253">
        <v>39830</v>
      </c>
      <c r="C2253" t="s">
        <v>2918</v>
      </c>
      <c r="D2253" t="s">
        <v>1121</v>
      </c>
      <c r="E2253" t="s">
        <v>659</v>
      </c>
      <c r="F2253">
        <v>346.85</v>
      </c>
      <c r="G2253">
        <v>322.31</v>
      </c>
    </row>
    <row r="2254" spans="1:7" hidden="1" x14ac:dyDescent="0.25">
      <c r="A2254" t="s">
        <v>842</v>
      </c>
      <c r="B2254">
        <v>36497</v>
      </c>
      <c r="C2254" t="s">
        <v>2919</v>
      </c>
      <c r="D2254" t="s">
        <v>226</v>
      </c>
      <c r="E2254" t="s">
        <v>659</v>
      </c>
      <c r="F2254" s="538">
        <v>2069.8000000000002</v>
      </c>
      <c r="G2254" s="538">
        <v>2666.5</v>
      </c>
    </row>
    <row r="2255" spans="1:7" hidden="1" x14ac:dyDescent="0.25">
      <c r="A2255" t="s">
        <v>842</v>
      </c>
      <c r="B2255">
        <v>40527</v>
      </c>
      <c r="C2255" t="s">
        <v>2920</v>
      </c>
      <c r="D2255" t="s">
        <v>226</v>
      </c>
      <c r="E2255" t="s">
        <v>659</v>
      </c>
      <c r="F2255" s="538">
        <v>1813.06</v>
      </c>
      <c r="G2255" s="538">
        <v>2335.7399999999998</v>
      </c>
    </row>
    <row r="2256" spans="1:7" hidden="1" x14ac:dyDescent="0.25">
      <c r="A2256" t="s">
        <v>842</v>
      </c>
      <c r="B2256">
        <v>36487</v>
      </c>
      <c r="C2256" t="s">
        <v>2921</v>
      </c>
      <c r="D2256" t="s">
        <v>226</v>
      </c>
      <c r="E2256" t="s">
        <v>659</v>
      </c>
      <c r="F2256" s="538">
        <v>3603.84</v>
      </c>
      <c r="G2256" s="538">
        <v>4642.79</v>
      </c>
    </row>
    <row r="2257" spans="1:7" hidden="1" x14ac:dyDescent="0.25">
      <c r="A2257" t="s">
        <v>842</v>
      </c>
      <c r="B2257">
        <v>44475</v>
      </c>
      <c r="C2257" t="s">
        <v>2922</v>
      </c>
      <c r="D2257" t="s">
        <v>226</v>
      </c>
      <c r="E2257" t="s">
        <v>659</v>
      </c>
      <c r="F2257">
        <f t="shared" ref="F2257:F2266" si="15">G2257</f>
        <v>1295335.74</v>
      </c>
      <c r="G2257" s="538">
        <v>1295335.74</v>
      </c>
    </row>
    <row r="2258" spans="1:7" hidden="1" x14ac:dyDescent="0.25">
      <c r="A2258" t="s">
        <v>842</v>
      </c>
      <c r="B2258">
        <v>44474</v>
      </c>
      <c r="C2258" t="s">
        <v>2923</v>
      </c>
      <c r="D2258" t="s">
        <v>226</v>
      </c>
      <c r="E2258" t="s">
        <v>659</v>
      </c>
      <c r="F2258">
        <f t="shared" si="15"/>
        <v>2491030.2799999998</v>
      </c>
      <c r="G2258" s="538">
        <v>2491030.2799999998</v>
      </c>
    </row>
    <row r="2259" spans="1:7" hidden="1" x14ac:dyDescent="0.25">
      <c r="A2259" t="s">
        <v>842</v>
      </c>
      <c r="B2259">
        <v>44490</v>
      </c>
      <c r="C2259" t="s">
        <v>2924</v>
      </c>
      <c r="D2259" t="s">
        <v>226</v>
      </c>
      <c r="E2259" t="s">
        <v>659</v>
      </c>
      <c r="F2259">
        <f t="shared" si="15"/>
        <v>4234751.46</v>
      </c>
      <c r="G2259" s="538">
        <v>4234751.46</v>
      </c>
    </row>
    <row r="2260" spans="1:7" hidden="1" x14ac:dyDescent="0.25">
      <c r="A2260" t="s">
        <v>842</v>
      </c>
      <c r="B2260">
        <v>37776</v>
      </c>
      <c r="C2260" t="s">
        <v>2925</v>
      </c>
      <c r="D2260" t="s">
        <v>226</v>
      </c>
      <c r="E2260" t="s">
        <v>659</v>
      </c>
      <c r="F2260">
        <f t="shared" si="15"/>
        <v>259536.14</v>
      </c>
      <c r="G2260" s="538">
        <v>259536.14</v>
      </c>
    </row>
    <row r="2261" spans="1:7" hidden="1" x14ac:dyDescent="0.25">
      <c r="A2261" t="s">
        <v>842</v>
      </c>
      <c r="B2261">
        <v>37775</v>
      </c>
      <c r="C2261" t="s">
        <v>2926</v>
      </c>
      <c r="D2261" t="s">
        <v>226</v>
      </c>
      <c r="E2261" t="s">
        <v>659</v>
      </c>
      <c r="F2261">
        <f t="shared" si="15"/>
        <v>408789.06</v>
      </c>
      <c r="G2261" s="538">
        <v>408789.06</v>
      </c>
    </row>
    <row r="2262" spans="1:7" hidden="1" x14ac:dyDescent="0.25">
      <c r="A2262" t="s">
        <v>842</v>
      </c>
      <c r="B2262">
        <v>36491</v>
      </c>
      <c r="C2262" t="s">
        <v>2927</v>
      </c>
      <c r="D2262" t="s">
        <v>226</v>
      </c>
      <c r="E2262" t="s">
        <v>659</v>
      </c>
      <c r="F2262">
        <f t="shared" si="15"/>
        <v>1513867.18</v>
      </c>
      <c r="G2262" s="538">
        <v>1513867.18</v>
      </c>
    </row>
    <row r="2263" spans="1:7" hidden="1" x14ac:dyDescent="0.25">
      <c r="A2263" t="s">
        <v>842</v>
      </c>
      <c r="B2263">
        <v>10712</v>
      </c>
      <c r="C2263" t="s">
        <v>2928</v>
      </c>
      <c r="D2263" t="s">
        <v>226</v>
      </c>
      <c r="E2263" t="s">
        <v>659</v>
      </c>
      <c r="F2263">
        <f t="shared" si="15"/>
        <v>102197.26</v>
      </c>
      <c r="G2263" s="538">
        <v>102197.26</v>
      </c>
    </row>
    <row r="2264" spans="1:7" hidden="1" x14ac:dyDescent="0.25">
      <c r="A2264" t="s">
        <v>842</v>
      </c>
      <c r="B2264">
        <v>3363</v>
      </c>
      <c r="C2264" t="s">
        <v>2929</v>
      </c>
      <c r="D2264" t="s">
        <v>226</v>
      </c>
      <c r="E2264" t="s">
        <v>172</v>
      </c>
      <c r="F2264">
        <f t="shared" si="15"/>
        <v>143750</v>
      </c>
      <c r="G2264" s="538">
        <v>143750</v>
      </c>
    </row>
    <row r="2265" spans="1:7" hidden="1" x14ac:dyDescent="0.25">
      <c r="A2265" t="s">
        <v>842</v>
      </c>
      <c r="B2265">
        <v>3365</v>
      </c>
      <c r="C2265" t="s">
        <v>2930</v>
      </c>
      <c r="D2265" t="s">
        <v>226</v>
      </c>
      <c r="E2265" t="s">
        <v>659</v>
      </c>
      <c r="F2265">
        <f t="shared" si="15"/>
        <v>336015.62</v>
      </c>
      <c r="G2265" s="538">
        <v>336015.62</v>
      </c>
    </row>
    <row r="2266" spans="1:7" hidden="1" x14ac:dyDescent="0.25">
      <c r="A2266" t="s">
        <v>660</v>
      </c>
      <c r="B2266">
        <v>7569</v>
      </c>
      <c r="C2266" t="s">
        <v>2931</v>
      </c>
      <c r="D2266" t="s">
        <v>226</v>
      </c>
      <c r="E2266" t="s">
        <v>659</v>
      </c>
      <c r="F2266">
        <f t="shared" si="15"/>
        <v>56.58</v>
      </c>
      <c r="G2266">
        <v>56.58</v>
      </c>
    </row>
    <row r="2267" spans="1:7" hidden="1" x14ac:dyDescent="0.25">
      <c r="A2267" t="s">
        <v>660</v>
      </c>
      <c r="B2267">
        <v>3378</v>
      </c>
      <c r="C2267" t="s">
        <v>2932</v>
      </c>
      <c r="D2267" t="s">
        <v>226</v>
      </c>
      <c r="E2267" t="s">
        <v>659</v>
      </c>
      <c r="F2267">
        <v>141.47</v>
      </c>
      <c r="G2267">
        <v>104.22</v>
      </c>
    </row>
    <row r="2268" spans="1:7" hidden="1" x14ac:dyDescent="0.25">
      <c r="A2268" t="s">
        <v>660</v>
      </c>
      <c r="B2268">
        <v>3380</v>
      </c>
      <c r="C2268" t="s">
        <v>2933</v>
      </c>
      <c r="D2268" t="s">
        <v>226</v>
      </c>
      <c r="E2268" t="s">
        <v>172</v>
      </c>
      <c r="F2268">
        <v>99.03</v>
      </c>
      <c r="G2268">
        <v>72.959999999999994</v>
      </c>
    </row>
    <row r="2269" spans="1:7" hidden="1" x14ac:dyDescent="0.25">
      <c r="A2269" t="s">
        <v>660</v>
      </c>
      <c r="B2269">
        <v>3379</v>
      </c>
      <c r="C2269" t="s">
        <v>2934</v>
      </c>
      <c r="D2269" t="s">
        <v>226</v>
      </c>
      <c r="E2269" t="s">
        <v>659</v>
      </c>
      <c r="F2269">
        <v>95.61</v>
      </c>
      <c r="G2269">
        <v>70.44</v>
      </c>
    </row>
    <row r="2270" spans="1:7" hidden="1" x14ac:dyDescent="0.25">
      <c r="A2270" t="s">
        <v>660</v>
      </c>
      <c r="B2270">
        <v>11991</v>
      </c>
      <c r="C2270" t="s">
        <v>2935</v>
      </c>
      <c r="D2270" t="s">
        <v>226</v>
      </c>
      <c r="E2270" t="s">
        <v>659</v>
      </c>
      <c r="F2270">
        <v>111.01</v>
      </c>
      <c r="G2270">
        <v>81.78</v>
      </c>
    </row>
    <row r="2271" spans="1:7" hidden="1" x14ac:dyDescent="0.25">
      <c r="A2271" t="s">
        <v>842</v>
      </c>
      <c r="B2271">
        <v>44305</v>
      </c>
      <c r="C2271" t="s">
        <v>2936</v>
      </c>
      <c r="D2271" t="s">
        <v>226</v>
      </c>
      <c r="E2271" t="s">
        <v>659</v>
      </c>
      <c r="F2271" s="538">
        <v>1894.52</v>
      </c>
      <c r="G2271" s="538">
        <v>1924.43</v>
      </c>
    </row>
    <row r="2272" spans="1:7" hidden="1" x14ac:dyDescent="0.25">
      <c r="A2272" t="s">
        <v>660</v>
      </c>
      <c r="B2272">
        <v>34349</v>
      </c>
      <c r="C2272" t="s">
        <v>2937</v>
      </c>
      <c r="D2272" t="s">
        <v>226</v>
      </c>
      <c r="E2272" t="s">
        <v>659</v>
      </c>
      <c r="F2272">
        <v>26.28</v>
      </c>
      <c r="G2272">
        <v>27.77</v>
      </c>
    </row>
    <row r="2273" spans="1:7" hidden="1" x14ac:dyDescent="0.25">
      <c r="A2273" t="s">
        <v>660</v>
      </c>
      <c r="B2273">
        <v>11029</v>
      </c>
      <c r="C2273" t="s">
        <v>2938</v>
      </c>
      <c r="D2273" t="s">
        <v>2051</v>
      </c>
      <c r="E2273" t="s">
        <v>659</v>
      </c>
      <c r="F2273">
        <v>1.92</v>
      </c>
      <c r="G2273">
        <v>2.09</v>
      </c>
    </row>
    <row r="2274" spans="1:7" hidden="1" x14ac:dyDescent="0.25">
      <c r="A2274" t="s">
        <v>660</v>
      </c>
      <c r="B2274">
        <v>4316</v>
      </c>
      <c r="C2274" t="s">
        <v>2939</v>
      </c>
      <c r="D2274" t="s">
        <v>226</v>
      </c>
      <c r="E2274" t="s">
        <v>659</v>
      </c>
      <c r="F2274">
        <v>1.94</v>
      </c>
      <c r="G2274">
        <v>2.11</v>
      </c>
    </row>
    <row r="2275" spans="1:7" hidden="1" x14ac:dyDescent="0.25">
      <c r="A2275" t="s">
        <v>660</v>
      </c>
      <c r="B2275">
        <v>4313</v>
      </c>
      <c r="C2275" t="s">
        <v>2940</v>
      </c>
      <c r="D2275" t="s">
        <v>2051</v>
      </c>
      <c r="E2275" t="s">
        <v>659</v>
      </c>
      <c r="F2275">
        <v>2.78</v>
      </c>
      <c r="G2275">
        <v>3.03</v>
      </c>
    </row>
    <row r="2276" spans="1:7" hidden="1" x14ac:dyDescent="0.25">
      <c r="A2276" t="s">
        <v>660</v>
      </c>
      <c r="B2276">
        <v>4317</v>
      </c>
      <c r="C2276" t="s">
        <v>2941</v>
      </c>
      <c r="D2276" t="s">
        <v>226</v>
      </c>
      <c r="E2276" t="s">
        <v>659</v>
      </c>
      <c r="F2276">
        <v>3.17</v>
      </c>
      <c r="G2276">
        <v>3.45</v>
      </c>
    </row>
    <row r="2277" spans="1:7" hidden="1" x14ac:dyDescent="0.25">
      <c r="A2277" t="s">
        <v>660</v>
      </c>
      <c r="B2277">
        <v>4314</v>
      </c>
      <c r="C2277" t="s">
        <v>2942</v>
      </c>
      <c r="D2277" t="s">
        <v>2051</v>
      </c>
      <c r="E2277" t="s">
        <v>659</v>
      </c>
      <c r="F2277">
        <v>3.71</v>
      </c>
      <c r="G2277">
        <v>4.04</v>
      </c>
    </row>
    <row r="2278" spans="1:7" hidden="1" x14ac:dyDescent="0.25">
      <c r="A2278" t="s">
        <v>660</v>
      </c>
      <c r="B2278">
        <v>10921</v>
      </c>
      <c r="C2278" t="s">
        <v>2943</v>
      </c>
      <c r="D2278" t="s">
        <v>226</v>
      </c>
      <c r="E2278" t="s">
        <v>172</v>
      </c>
      <c r="F2278">
        <f t="shared" ref="F2278:F2283" si="16">G2278</f>
        <v>5406.25</v>
      </c>
      <c r="G2278" s="538">
        <v>5406.25</v>
      </c>
    </row>
    <row r="2279" spans="1:7" hidden="1" x14ac:dyDescent="0.25">
      <c r="A2279" t="s">
        <v>660</v>
      </c>
      <c r="B2279">
        <v>10922</v>
      </c>
      <c r="C2279" t="s">
        <v>2944</v>
      </c>
      <c r="D2279" t="s">
        <v>226</v>
      </c>
      <c r="E2279" t="s">
        <v>659</v>
      </c>
      <c r="F2279">
        <f t="shared" si="16"/>
        <v>4896.84</v>
      </c>
      <c r="G2279" s="538">
        <v>4896.84</v>
      </c>
    </row>
    <row r="2280" spans="1:7" hidden="1" x14ac:dyDescent="0.25">
      <c r="A2280" t="s">
        <v>660</v>
      </c>
      <c r="B2280">
        <v>10923</v>
      </c>
      <c r="C2280" t="s">
        <v>2945</v>
      </c>
      <c r="D2280" t="s">
        <v>226</v>
      </c>
      <c r="E2280" t="s">
        <v>659</v>
      </c>
      <c r="F2280">
        <f t="shared" si="16"/>
        <v>2894.24</v>
      </c>
      <c r="G2280" s="538">
        <v>2894.24</v>
      </c>
    </row>
    <row r="2281" spans="1:7" hidden="1" x14ac:dyDescent="0.25">
      <c r="A2281" t="s">
        <v>660</v>
      </c>
      <c r="B2281">
        <v>10924</v>
      </c>
      <c r="C2281" t="s">
        <v>2946</v>
      </c>
      <c r="D2281" t="s">
        <v>226</v>
      </c>
      <c r="E2281" t="s">
        <v>659</v>
      </c>
      <c r="F2281">
        <f t="shared" si="16"/>
        <v>3048.2</v>
      </c>
      <c r="G2281" s="538">
        <v>3048.2</v>
      </c>
    </row>
    <row r="2282" spans="1:7" hidden="1" x14ac:dyDescent="0.25">
      <c r="A2282" t="s">
        <v>842</v>
      </c>
      <c r="B2282">
        <v>37772</v>
      </c>
      <c r="C2282" t="s">
        <v>2947</v>
      </c>
      <c r="D2282" t="s">
        <v>226</v>
      </c>
      <c r="E2282" t="s">
        <v>659</v>
      </c>
      <c r="F2282">
        <f t="shared" si="16"/>
        <v>342998.8</v>
      </c>
      <c r="G2282" s="538">
        <v>342998.8</v>
      </c>
    </row>
    <row r="2283" spans="1:7" hidden="1" x14ac:dyDescent="0.25">
      <c r="A2283" t="s">
        <v>842</v>
      </c>
      <c r="B2283">
        <v>37771</v>
      </c>
      <c r="C2283" t="s">
        <v>2948</v>
      </c>
      <c r="D2283" t="s">
        <v>226</v>
      </c>
      <c r="E2283" t="s">
        <v>659</v>
      </c>
      <c r="F2283">
        <f t="shared" si="16"/>
        <v>364896.09</v>
      </c>
      <c r="G2283" s="538">
        <v>364896.09</v>
      </c>
    </row>
    <row r="2284" spans="1:7" hidden="1" x14ac:dyDescent="0.25">
      <c r="A2284" t="s">
        <v>660</v>
      </c>
      <c r="B2284">
        <v>12772</v>
      </c>
      <c r="C2284" t="s">
        <v>2949</v>
      </c>
      <c r="D2284" t="s">
        <v>226</v>
      </c>
      <c r="E2284" t="s">
        <v>659</v>
      </c>
      <c r="F2284" s="538">
        <v>1190.4100000000001</v>
      </c>
      <c r="G2284">
        <v>906.69</v>
      </c>
    </row>
    <row r="2285" spans="1:7" hidden="1" x14ac:dyDescent="0.25">
      <c r="A2285" t="s">
        <v>660</v>
      </c>
      <c r="B2285">
        <v>12770</v>
      </c>
      <c r="C2285" t="s">
        <v>2950</v>
      </c>
      <c r="D2285" t="s">
        <v>226</v>
      </c>
      <c r="E2285" t="s">
        <v>659</v>
      </c>
      <c r="F2285">
        <v>716.26</v>
      </c>
      <c r="G2285">
        <v>545.54999999999995</v>
      </c>
    </row>
    <row r="2286" spans="1:7" hidden="1" x14ac:dyDescent="0.25">
      <c r="A2286" t="s">
        <v>660</v>
      </c>
      <c r="B2286">
        <v>12775</v>
      </c>
      <c r="C2286" t="s">
        <v>2951</v>
      </c>
      <c r="D2286" t="s">
        <v>226</v>
      </c>
      <c r="E2286" t="s">
        <v>659</v>
      </c>
      <c r="F2286">
        <v>524.58000000000004</v>
      </c>
      <c r="G2286">
        <v>399.55</v>
      </c>
    </row>
    <row r="2287" spans="1:7" hidden="1" x14ac:dyDescent="0.25">
      <c r="A2287" t="s">
        <v>660</v>
      </c>
      <c r="B2287">
        <v>12768</v>
      </c>
      <c r="C2287" t="s">
        <v>2952</v>
      </c>
      <c r="D2287" t="s">
        <v>226</v>
      </c>
      <c r="E2287" t="s">
        <v>659</v>
      </c>
      <c r="F2287" s="538">
        <v>1674.64</v>
      </c>
      <c r="G2287" s="538">
        <v>1275.51</v>
      </c>
    </row>
    <row r="2288" spans="1:7" hidden="1" x14ac:dyDescent="0.25">
      <c r="A2288" t="s">
        <v>660</v>
      </c>
      <c r="B2288">
        <v>12769</v>
      </c>
      <c r="C2288" t="s">
        <v>2953</v>
      </c>
      <c r="D2288" t="s">
        <v>226</v>
      </c>
      <c r="E2288" t="s">
        <v>172</v>
      </c>
      <c r="F2288">
        <v>137.19999999999999</v>
      </c>
      <c r="G2288">
        <v>104.5</v>
      </c>
    </row>
    <row r="2289" spans="1:7" hidden="1" x14ac:dyDescent="0.25">
      <c r="A2289" t="s">
        <v>660</v>
      </c>
      <c r="B2289">
        <v>12773</v>
      </c>
      <c r="C2289" t="s">
        <v>2954</v>
      </c>
      <c r="D2289" t="s">
        <v>226</v>
      </c>
      <c r="E2289" t="s">
        <v>659</v>
      </c>
      <c r="F2289">
        <v>147.28</v>
      </c>
      <c r="G2289">
        <v>112.18</v>
      </c>
    </row>
    <row r="2290" spans="1:7" hidden="1" x14ac:dyDescent="0.25">
      <c r="A2290" t="s">
        <v>660</v>
      </c>
      <c r="B2290">
        <v>12774</v>
      </c>
      <c r="C2290" t="s">
        <v>2955</v>
      </c>
      <c r="D2290" t="s">
        <v>226</v>
      </c>
      <c r="E2290" t="s">
        <v>659</v>
      </c>
      <c r="F2290">
        <v>181.58</v>
      </c>
      <c r="G2290">
        <v>138.30000000000001</v>
      </c>
    </row>
    <row r="2291" spans="1:7" hidden="1" x14ac:dyDescent="0.25">
      <c r="A2291" t="s">
        <v>660</v>
      </c>
      <c r="B2291">
        <v>12776</v>
      </c>
      <c r="C2291" t="s">
        <v>2956</v>
      </c>
      <c r="D2291" t="s">
        <v>226</v>
      </c>
      <c r="E2291" t="s">
        <v>659</v>
      </c>
      <c r="F2291" s="538">
        <v>2703.64</v>
      </c>
      <c r="G2291" s="538">
        <v>2059.2600000000002</v>
      </c>
    </row>
    <row r="2292" spans="1:7" hidden="1" x14ac:dyDescent="0.25">
      <c r="A2292" t="s">
        <v>660</v>
      </c>
      <c r="B2292">
        <v>12777</v>
      </c>
      <c r="C2292" t="s">
        <v>2957</v>
      </c>
      <c r="D2292" t="s">
        <v>226</v>
      </c>
      <c r="E2292" t="s">
        <v>659</v>
      </c>
      <c r="F2292" s="538">
        <v>3530.88</v>
      </c>
      <c r="G2292" s="538">
        <v>2689.33</v>
      </c>
    </row>
    <row r="2293" spans="1:7" hidden="1" x14ac:dyDescent="0.25">
      <c r="A2293" t="s">
        <v>807</v>
      </c>
      <c r="B2293">
        <v>12873</v>
      </c>
      <c r="C2293" t="s">
        <v>2958</v>
      </c>
      <c r="D2293" t="s">
        <v>809</v>
      </c>
      <c r="E2293" t="s">
        <v>659</v>
      </c>
      <c r="F2293">
        <v>11.13</v>
      </c>
      <c r="G2293">
        <v>12.11</v>
      </c>
    </row>
    <row r="2294" spans="1:7" hidden="1" x14ac:dyDescent="0.25">
      <c r="A2294" t="s">
        <v>807</v>
      </c>
      <c r="B2294">
        <v>41076</v>
      </c>
      <c r="C2294" t="s">
        <v>2959</v>
      </c>
      <c r="D2294" t="s">
        <v>811</v>
      </c>
      <c r="E2294" t="s">
        <v>659</v>
      </c>
      <c r="F2294" s="538">
        <v>2448.6</v>
      </c>
      <c r="G2294" s="538">
        <v>2664.2</v>
      </c>
    </row>
    <row r="2295" spans="1:7" hidden="1" x14ac:dyDescent="0.25">
      <c r="A2295" t="s">
        <v>660</v>
      </c>
      <c r="B2295">
        <v>140</v>
      </c>
      <c r="C2295" t="s">
        <v>2960</v>
      </c>
      <c r="D2295" t="s">
        <v>708</v>
      </c>
      <c r="E2295" t="s">
        <v>659</v>
      </c>
      <c r="F2295">
        <v>16.93</v>
      </c>
      <c r="G2295">
        <v>19.27</v>
      </c>
    </row>
    <row r="2296" spans="1:7" hidden="1" x14ac:dyDescent="0.25">
      <c r="A2296" t="s">
        <v>660</v>
      </c>
      <c r="B2296">
        <v>151</v>
      </c>
      <c r="C2296" t="s">
        <v>2961</v>
      </c>
      <c r="D2296" t="s">
        <v>710</v>
      </c>
      <c r="E2296" t="s">
        <v>659</v>
      </c>
      <c r="F2296">
        <v>24.98</v>
      </c>
      <c r="G2296">
        <v>28.44</v>
      </c>
    </row>
    <row r="2297" spans="1:7" hidden="1" x14ac:dyDescent="0.25">
      <c r="A2297" t="s">
        <v>660</v>
      </c>
      <c r="B2297">
        <v>7340</v>
      </c>
      <c r="C2297" t="s">
        <v>2962</v>
      </c>
      <c r="D2297" t="s">
        <v>710</v>
      </c>
      <c r="E2297" t="s">
        <v>659</v>
      </c>
      <c r="F2297">
        <v>25.19</v>
      </c>
      <c r="G2297">
        <v>26.86</v>
      </c>
    </row>
    <row r="2298" spans="1:7" hidden="1" x14ac:dyDescent="0.25">
      <c r="A2298" t="s">
        <v>807</v>
      </c>
      <c r="B2298">
        <v>40929</v>
      </c>
      <c r="C2298" t="s">
        <v>2963</v>
      </c>
      <c r="D2298" t="s">
        <v>811</v>
      </c>
      <c r="E2298" t="s">
        <v>659</v>
      </c>
      <c r="F2298" s="538">
        <v>2054.02</v>
      </c>
      <c r="G2298" s="538">
        <v>3467.33</v>
      </c>
    </row>
    <row r="2299" spans="1:7" hidden="1" x14ac:dyDescent="0.25">
      <c r="A2299" t="s">
        <v>807</v>
      </c>
      <c r="B2299">
        <v>2701</v>
      </c>
      <c r="C2299" t="s">
        <v>2964</v>
      </c>
      <c r="D2299" t="s">
        <v>809</v>
      </c>
      <c r="E2299" t="s">
        <v>659</v>
      </c>
      <c r="F2299">
        <v>9.33</v>
      </c>
      <c r="G2299">
        <v>15.76</v>
      </c>
    </row>
    <row r="2300" spans="1:7" hidden="1" x14ac:dyDescent="0.25">
      <c r="A2300" t="s">
        <v>660</v>
      </c>
      <c r="B2300">
        <v>38064</v>
      </c>
      <c r="C2300" t="s">
        <v>2965</v>
      </c>
      <c r="D2300" t="s">
        <v>226</v>
      </c>
      <c r="E2300" t="s">
        <v>659</v>
      </c>
      <c r="F2300">
        <v>18.41</v>
      </c>
      <c r="G2300">
        <v>20.34</v>
      </c>
    </row>
    <row r="2301" spans="1:7" hidden="1" x14ac:dyDescent="0.25">
      <c r="A2301" t="s">
        <v>660</v>
      </c>
      <c r="B2301">
        <v>38114</v>
      </c>
      <c r="C2301" t="s">
        <v>2966</v>
      </c>
      <c r="D2301" t="s">
        <v>226</v>
      </c>
      <c r="E2301" t="s">
        <v>659</v>
      </c>
      <c r="F2301">
        <v>16.47</v>
      </c>
      <c r="G2301">
        <v>18.190000000000001</v>
      </c>
    </row>
    <row r="2302" spans="1:7" hidden="1" x14ac:dyDescent="0.25">
      <c r="A2302" t="s">
        <v>660</v>
      </c>
      <c r="B2302">
        <v>38115</v>
      </c>
      <c r="C2302" t="s">
        <v>2967</v>
      </c>
      <c r="D2302" t="s">
        <v>226</v>
      </c>
      <c r="E2302" t="s">
        <v>659</v>
      </c>
      <c r="F2302">
        <v>17.579999999999998</v>
      </c>
      <c r="G2302">
        <v>19.420000000000002</v>
      </c>
    </row>
    <row r="2303" spans="1:7" hidden="1" x14ac:dyDescent="0.25">
      <c r="A2303" t="s">
        <v>660</v>
      </c>
      <c r="B2303">
        <v>38065</v>
      </c>
      <c r="C2303" t="s">
        <v>2968</v>
      </c>
      <c r="D2303" t="s">
        <v>226</v>
      </c>
      <c r="E2303" t="s">
        <v>659</v>
      </c>
      <c r="F2303">
        <v>26.12</v>
      </c>
      <c r="G2303">
        <v>28.86</v>
      </c>
    </row>
    <row r="2304" spans="1:7" hidden="1" x14ac:dyDescent="0.25">
      <c r="A2304" t="s">
        <v>660</v>
      </c>
      <c r="B2304">
        <v>38078</v>
      </c>
      <c r="C2304" t="s">
        <v>2969</v>
      </c>
      <c r="D2304" t="s">
        <v>226</v>
      </c>
      <c r="E2304" t="s">
        <v>659</v>
      </c>
      <c r="F2304">
        <v>15.24</v>
      </c>
      <c r="G2304">
        <v>16.84</v>
      </c>
    </row>
    <row r="2305" spans="1:7" hidden="1" x14ac:dyDescent="0.25">
      <c r="A2305" t="s">
        <v>660</v>
      </c>
      <c r="B2305">
        <v>38113</v>
      </c>
      <c r="C2305" t="s">
        <v>2970</v>
      </c>
      <c r="D2305" t="s">
        <v>226</v>
      </c>
      <c r="E2305" t="s">
        <v>659</v>
      </c>
      <c r="F2305">
        <v>8.2799999999999994</v>
      </c>
      <c r="G2305">
        <v>9.14</v>
      </c>
    </row>
    <row r="2306" spans="1:7" hidden="1" x14ac:dyDescent="0.25">
      <c r="A2306" t="s">
        <v>660</v>
      </c>
      <c r="B2306">
        <v>38063</v>
      </c>
      <c r="C2306" t="s">
        <v>2971</v>
      </c>
      <c r="D2306" t="s">
        <v>226</v>
      </c>
      <c r="E2306" t="s">
        <v>659</v>
      </c>
      <c r="F2306">
        <v>8.8800000000000008</v>
      </c>
      <c r="G2306">
        <v>9.81</v>
      </c>
    </row>
    <row r="2307" spans="1:7" hidden="1" x14ac:dyDescent="0.25">
      <c r="A2307" t="s">
        <v>660</v>
      </c>
      <c r="B2307">
        <v>38073</v>
      </c>
      <c r="C2307" t="s">
        <v>2972</v>
      </c>
      <c r="D2307" t="s">
        <v>226</v>
      </c>
      <c r="E2307" t="s">
        <v>659</v>
      </c>
      <c r="F2307">
        <v>21.55</v>
      </c>
      <c r="G2307">
        <v>23.81</v>
      </c>
    </row>
    <row r="2308" spans="1:7" hidden="1" x14ac:dyDescent="0.25">
      <c r="A2308" t="s">
        <v>660</v>
      </c>
      <c r="B2308">
        <v>38080</v>
      </c>
      <c r="C2308" t="s">
        <v>2973</v>
      </c>
      <c r="D2308" t="s">
        <v>226</v>
      </c>
      <c r="E2308" t="s">
        <v>659</v>
      </c>
      <c r="F2308">
        <v>26.47</v>
      </c>
      <c r="G2308">
        <v>29.24</v>
      </c>
    </row>
    <row r="2309" spans="1:7" hidden="1" x14ac:dyDescent="0.25">
      <c r="A2309" t="s">
        <v>660</v>
      </c>
      <c r="B2309">
        <v>38069</v>
      </c>
      <c r="C2309" t="s">
        <v>2974</v>
      </c>
      <c r="D2309" t="s">
        <v>226</v>
      </c>
      <c r="E2309" t="s">
        <v>659</v>
      </c>
      <c r="F2309">
        <v>14.48</v>
      </c>
      <c r="G2309">
        <v>15.99</v>
      </c>
    </row>
    <row r="2310" spans="1:7" hidden="1" x14ac:dyDescent="0.25">
      <c r="A2310" t="s">
        <v>660</v>
      </c>
      <c r="B2310">
        <v>38077</v>
      </c>
      <c r="C2310" t="s">
        <v>2975</v>
      </c>
      <c r="D2310" t="s">
        <v>226</v>
      </c>
      <c r="E2310" t="s">
        <v>659</v>
      </c>
      <c r="F2310">
        <v>14.15</v>
      </c>
      <c r="G2310">
        <v>15.63</v>
      </c>
    </row>
    <row r="2311" spans="1:7" hidden="1" x14ac:dyDescent="0.25">
      <c r="A2311" t="s">
        <v>660</v>
      </c>
      <c r="B2311">
        <v>38112</v>
      </c>
      <c r="C2311" t="s">
        <v>2976</v>
      </c>
      <c r="D2311" t="s">
        <v>226</v>
      </c>
      <c r="E2311" t="s">
        <v>659</v>
      </c>
      <c r="F2311">
        <v>6.35</v>
      </c>
      <c r="G2311">
        <v>7.02</v>
      </c>
    </row>
    <row r="2312" spans="1:7" hidden="1" x14ac:dyDescent="0.25">
      <c r="A2312" t="s">
        <v>660</v>
      </c>
      <c r="B2312">
        <v>38062</v>
      </c>
      <c r="C2312" t="s">
        <v>2977</v>
      </c>
      <c r="D2312" t="s">
        <v>226</v>
      </c>
      <c r="E2312" t="s">
        <v>659</v>
      </c>
      <c r="F2312">
        <v>6.52</v>
      </c>
      <c r="G2312">
        <v>7.21</v>
      </c>
    </row>
    <row r="2313" spans="1:7" hidden="1" x14ac:dyDescent="0.25">
      <c r="A2313" t="s">
        <v>660</v>
      </c>
      <c r="B2313">
        <v>12129</v>
      </c>
      <c r="C2313" t="s">
        <v>2978</v>
      </c>
      <c r="D2313" t="s">
        <v>226</v>
      </c>
      <c r="E2313" t="s">
        <v>659</v>
      </c>
      <c r="F2313">
        <v>11.53</v>
      </c>
      <c r="G2313">
        <v>12.73</v>
      </c>
    </row>
    <row r="2314" spans="1:7" hidden="1" x14ac:dyDescent="0.25">
      <c r="A2314" t="s">
        <v>660</v>
      </c>
      <c r="B2314">
        <v>12128</v>
      </c>
      <c r="C2314" t="s">
        <v>2979</v>
      </c>
      <c r="D2314" t="s">
        <v>226</v>
      </c>
      <c r="E2314" t="s">
        <v>659</v>
      </c>
      <c r="F2314">
        <v>8.7200000000000006</v>
      </c>
      <c r="G2314">
        <v>9.6300000000000008</v>
      </c>
    </row>
    <row r="2315" spans="1:7" hidden="1" x14ac:dyDescent="0.25">
      <c r="A2315" t="s">
        <v>660</v>
      </c>
      <c r="B2315">
        <v>38081</v>
      </c>
      <c r="C2315" t="s">
        <v>2980</v>
      </c>
      <c r="D2315" t="s">
        <v>226</v>
      </c>
      <c r="E2315" t="s">
        <v>659</v>
      </c>
      <c r="F2315">
        <v>22.45</v>
      </c>
      <c r="G2315">
        <v>24.8</v>
      </c>
    </row>
    <row r="2316" spans="1:7" hidden="1" x14ac:dyDescent="0.25">
      <c r="A2316" t="s">
        <v>660</v>
      </c>
      <c r="B2316">
        <v>38070</v>
      </c>
      <c r="C2316" t="s">
        <v>2981</v>
      </c>
      <c r="D2316" t="s">
        <v>226</v>
      </c>
      <c r="E2316" t="s">
        <v>659</v>
      </c>
      <c r="F2316">
        <v>15.47</v>
      </c>
      <c r="G2316">
        <v>17.09</v>
      </c>
    </row>
    <row r="2317" spans="1:7" hidden="1" x14ac:dyDescent="0.25">
      <c r="A2317" t="s">
        <v>660</v>
      </c>
      <c r="B2317">
        <v>38074</v>
      </c>
      <c r="C2317" t="s">
        <v>2982</v>
      </c>
      <c r="D2317" t="s">
        <v>226</v>
      </c>
      <c r="E2317" t="s">
        <v>659</v>
      </c>
      <c r="F2317">
        <v>23.52</v>
      </c>
      <c r="G2317">
        <v>25.99</v>
      </c>
    </row>
    <row r="2318" spans="1:7" hidden="1" x14ac:dyDescent="0.25">
      <c r="A2318" t="s">
        <v>660</v>
      </c>
      <c r="B2318">
        <v>38072</v>
      </c>
      <c r="C2318" t="s">
        <v>2983</v>
      </c>
      <c r="D2318" t="s">
        <v>226</v>
      </c>
      <c r="E2318" t="s">
        <v>659</v>
      </c>
      <c r="F2318">
        <v>19.399999999999999</v>
      </c>
      <c r="G2318">
        <v>21.43</v>
      </c>
    </row>
    <row r="2319" spans="1:7" hidden="1" x14ac:dyDescent="0.25">
      <c r="A2319" t="s">
        <v>660</v>
      </c>
      <c r="B2319">
        <v>38079</v>
      </c>
      <c r="C2319" t="s">
        <v>2984</v>
      </c>
      <c r="D2319" t="s">
        <v>226</v>
      </c>
      <c r="E2319" t="s">
        <v>659</v>
      </c>
      <c r="F2319">
        <v>20.190000000000001</v>
      </c>
      <c r="G2319">
        <v>22.31</v>
      </c>
    </row>
    <row r="2320" spans="1:7" hidden="1" x14ac:dyDescent="0.25">
      <c r="A2320" t="s">
        <v>660</v>
      </c>
      <c r="B2320">
        <v>38068</v>
      </c>
      <c r="C2320" t="s">
        <v>2985</v>
      </c>
      <c r="D2320" t="s">
        <v>226</v>
      </c>
      <c r="E2320" t="s">
        <v>659</v>
      </c>
      <c r="F2320">
        <v>13.39</v>
      </c>
      <c r="G2320">
        <v>14.8</v>
      </c>
    </row>
    <row r="2321" spans="1:7" hidden="1" x14ac:dyDescent="0.25">
      <c r="A2321" t="s">
        <v>660</v>
      </c>
      <c r="B2321">
        <v>38071</v>
      </c>
      <c r="C2321" t="s">
        <v>2986</v>
      </c>
      <c r="D2321" t="s">
        <v>226</v>
      </c>
      <c r="E2321" t="s">
        <v>659</v>
      </c>
      <c r="F2321">
        <v>16.010000000000002</v>
      </c>
      <c r="G2321">
        <v>17.690000000000001</v>
      </c>
    </row>
    <row r="2322" spans="1:7" hidden="1" x14ac:dyDescent="0.25">
      <c r="A2322" t="s">
        <v>842</v>
      </c>
      <c r="B2322">
        <v>45279</v>
      </c>
      <c r="C2322" t="s">
        <v>2987</v>
      </c>
      <c r="D2322" t="s">
        <v>226</v>
      </c>
      <c r="E2322" t="s">
        <v>172</v>
      </c>
      <c r="F2322" s="538">
        <v>1148</v>
      </c>
      <c r="G2322">
        <v>972.18</v>
      </c>
    </row>
    <row r="2323" spans="1:7" x14ac:dyDescent="0.25">
      <c r="A2323" t="s">
        <v>842</v>
      </c>
      <c r="B2323">
        <v>45280</v>
      </c>
      <c r="C2323" t="s">
        <v>2988</v>
      </c>
      <c r="D2323" t="s">
        <v>226</v>
      </c>
      <c r="E2323" t="s">
        <v>659</v>
      </c>
      <c r="F2323" s="538">
        <v>2876.7</v>
      </c>
      <c r="G2323" s="538">
        <v>2436.12</v>
      </c>
    </row>
    <row r="2324" spans="1:7" hidden="1" x14ac:dyDescent="0.25">
      <c r="A2324" t="s">
        <v>660</v>
      </c>
      <c r="B2324">
        <v>3405</v>
      </c>
      <c r="C2324" t="s">
        <v>2989</v>
      </c>
      <c r="D2324" t="s">
        <v>226</v>
      </c>
      <c r="E2324" t="s">
        <v>659</v>
      </c>
      <c r="F2324">
        <v>96.54</v>
      </c>
      <c r="G2324">
        <v>88.21</v>
      </c>
    </row>
    <row r="2325" spans="1:7" hidden="1" x14ac:dyDescent="0.25">
      <c r="A2325" t="s">
        <v>660</v>
      </c>
      <c r="B2325">
        <v>3394</v>
      </c>
      <c r="C2325" t="s">
        <v>2990</v>
      </c>
      <c r="D2325" t="s">
        <v>226</v>
      </c>
      <c r="E2325" t="s">
        <v>659</v>
      </c>
      <c r="F2325">
        <v>509.6</v>
      </c>
      <c r="G2325">
        <v>465.62</v>
      </c>
    </row>
    <row r="2326" spans="1:7" hidden="1" x14ac:dyDescent="0.25">
      <c r="A2326" t="s">
        <v>660</v>
      </c>
      <c r="B2326">
        <v>3393</v>
      </c>
      <c r="C2326" t="s">
        <v>2991</v>
      </c>
      <c r="D2326" t="s">
        <v>226</v>
      </c>
      <c r="E2326" t="s">
        <v>659</v>
      </c>
      <c r="F2326">
        <v>867.65</v>
      </c>
      <c r="G2326">
        <v>792.78</v>
      </c>
    </row>
    <row r="2327" spans="1:7" hidden="1" x14ac:dyDescent="0.25">
      <c r="A2327" t="s">
        <v>660</v>
      </c>
      <c r="B2327">
        <v>3406</v>
      </c>
      <c r="C2327" t="s">
        <v>2992</v>
      </c>
      <c r="D2327" t="s">
        <v>226</v>
      </c>
      <c r="E2327" t="s">
        <v>172</v>
      </c>
      <c r="F2327">
        <v>29.55</v>
      </c>
      <c r="G2327">
        <v>27</v>
      </c>
    </row>
    <row r="2328" spans="1:7" hidden="1" x14ac:dyDescent="0.25">
      <c r="A2328" t="s">
        <v>660</v>
      </c>
      <c r="B2328">
        <v>3395</v>
      </c>
      <c r="C2328" t="s">
        <v>2993</v>
      </c>
      <c r="D2328" t="s">
        <v>226</v>
      </c>
      <c r="E2328" t="s">
        <v>659</v>
      </c>
      <c r="F2328">
        <v>124.65</v>
      </c>
      <c r="G2328">
        <v>113.9</v>
      </c>
    </row>
    <row r="2329" spans="1:7" hidden="1" x14ac:dyDescent="0.25">
      <c r="A2329" t="s">
        <v>660</v>
      </c>
      <c r="B2329">
        <v>3398</v>
      </c>
      <c r="C2329" t="s">
        <v>2994</v>
      </c>
      <c r="D2329" t="s">
        <v>226</v>
      </c>
      <c r="E2329" t="s">
        <v>659</v>
      </c>
      <c r="F2329">
        <v>5.92</v>
      </c>
      <c r="G2329">
        <v>5.41</v>
      </c>
    </row>
    <row r="2330" spans="1:7" x14ac:dyDescent="0.25">
      <c r="A2330" t="s">
        <v>660</v>
      </c>
      <c r="B2330">
        <v>40662</v>
      </c>
      <c r="C2330" t="s">
        <v>2995</v>
      </c>
      <c r="D2330" t="s">
        <v>226</v>
      </c>
      <c r="E2330" t="s">
        <v>659</v>
      </c>
      <c r="F2330">
        <v>261.23</v>
      </c>
      <c r="G2330">
        <v>190.41</v>
      </c>
    </row>
    <row r="2331" spans="1:7" x14ac:dyDescent="0.25">
      <c r="A2331" t="s">
        <v>660</v>
      </c>
      <c r="B2331">
        <v>3437</v>
      </c>
      <c r="C2331" t="s">
        <v>2996</v>
      </c>
      <c r="D2331" t="s">
        <v>498</v>
      </c>
      <c r="E2331" t="s">
        <v>659</v>
      </c>
      <c r="F2331">
        <v>725.66</v>
      </c>
      <c r="G2331">
        <v>528.91999999999996</v>
      </c>
    </row>
    <row r="2332" spans="1:7" hidden="1" x14ac:dyDescent="0.25">
      <c r="A2332" t="s">
        <v>660</v>
      </c>
      <c r="B2332">
        <v>11190</v>
      </c>
      <c r="C2332" t="s">
        <v>2997</v>
      </c>
      <c r="D2332" t="s">
        <v>226</v>
      </c>
      <c r="E2332" t="s">
        <v>172</v>
      </c>
      <c r="F2332">
        <f>G2332</f>
        <v>184.69</v>
      </c>
      <c r="G2332">
        <v>184.69</v>
      </c>
    </row>
    <row r="2333" spans="1:7" hidden="1" x14ac:dyDescent="0.25">
      <c r="A2333" t="s">
        <v>660</v>
      </c>
      <c r="B2333">
        <v>34377</v>
      </c>
      <c r="C2333" t="s">
        <v>2998</v>
      </c>
      <c r="D2333" t="s">
        <v>226</v>
      </c>
      <c r="E2333" t="s">
        <v>659</v>
      </c>
      <c r="F2333">
        <v>170.37</v>
      </c>
      <c r="G2333">
        <v>214.81</v>
      </c>
    </row>
    <row r="2334" spans="1:7" hidden="1" x14ac:dyDescent="0.25">
      <c r="A2334" t="s">
        <v>660</v>
      </c>
      <c r="B2334">
        <v>40659</v>
      </c>
      <c r="C2334" t="s">
        <v>2999</v>
      </c>
      <c r="D2334" t="s">
        <v>498</v>
      </c>
      <c r="E2334" t="s">
        <v>659</v>
      </c>
      <c r="F2334" s="538">
        <v>1026.7</v>
      </c>
      <c r="G2334">
        <v>748.34</v>
      </c>
    </row>
    <row r="2335" spans="1:7" hidden="1" x14ac:dyDescent="0.25">
      <c r="A2335" t="s">
        <v>660</v>
      </c>
      <c r="B2335">
        <v>40660</v>
      </c>
      <c r="C2335" t="s">
        <v>3000</v>
      </c>
      <c r="D2335" t="s">
        <v>498</v>
      </c>
      <c r="E2335" t="s">
        <v>659</v>
      </c>
      <c r="F2335" s="538">
        <v>1301.22</v>
      </c>
      <c r="G2335">
        <v>948.43</v>
      </c>
    </row>
    <row r="2336" spans="1:7" x14ac:dyDescent="0.25">
      <c r="A2336" t="s">
        <v>660</v>
      </c>
      <c r="B2336">
        <v>40661</v>
      </c>
      <c r="C2336" t="s">
        <v>3001</v>
      </c>
      <c r="D2336" t="s">
        <v>498</v>
      </c>
      <c r="E2336" t="s">
        <v>659</v>
      </c>
      <c r="F2336">
        <v>800.03</v>
      </c>
      <c r="G2336">
        <v>583.12</v>
      </c>
    </row>
    <row r="2337" spans="1:7" hidden="1" x14ac:dyDescent="0.25">
      <c r="A2337" t="s">
        <v>660</v>
      </c>
      <c r="B2337">
        <v>3428</v>
      </c>
      <c r="C2337" t="s">
        <v>3002</v>
      </c>
      <c r="D2337" t="s">
        <v>498</v>
      </c>
      <c r="E2337" t="s">
        <v>172</v>
      </c>
      <c r="F2337" s="538">
        <v>1076.3900000000001</v>
      </c>
      <c r="G2337">
        <v>784.56</v>
      </c>
    </row>
    <row r="2338" spans="1:7" x14ac:dyDescent="0.25">
      <c r="A2338" t="s">
        <v>660</v>
      </c>
      <c r="B2338">
        <v>3429</v>
      </c>
      <c r="C2338" t="s">
        <v>3003</v>
      </c>
      <c r="D2338" t="s">
        <v>498</v>
      </c>
      <c r="E2338" t="s">
        <v>659</v>
      </c>
      <c r="F2338">
        <v>614.99</v>
      </c>
      <c r="G2338">
        <v>448.25</v>
      </c>
    </row>
    <row r="2339" spans="1:7" hidden="1" x14ac:dyDescent="0.25">
      <c r="A2339" t="s">
        <v>660</v>
      </c>
      <c r="B2339">
        <v>11199</v>
      </c>
      <c r="C2339" t="s">
        <v>3004</v>
      </c>
      <c r="D2339" t="s">
        <v>226</v>
      </c>
      <c r="E2339" t="s">
        <v>659</v>
      </c>
      <c r="F2339">
        <f>G2339</f>
        <v>1020.01</v>
      </c>
      <c r="G2339" s="538">
        <v>1020.01</v>
      </c>
    </row>
    <row r="2340" spans="1:7" hidden="1" x14ac:dyDescent="0.25">
      <c r="A2340" t="s">
        <v>660</v>
      </c>
      <c r="B2340">
        <v>36896</v>
      </c>
      <c r="C2340" t="s">
        <v>3005</v>
      </c>
      <c r="D2340" t="s">
        <v>226</v>
      </c>
      <c r="E2340" t="s">
        <v>172</v>
      </c>
      <c r="F2340">
        <v>329.98</v>
      </c>
      <c r="G2340">
        <v>416.04</v>
      </c>
    </row>
    <row r="2341" spans="1:7" hidden="1" x14ac:dyDescent="0.25">
      <c r="A2341" t="s">
        <v>660</v>
      </c>
      <c r="B2341">
        <v>34367</v>
      </c>
      <c r="C2341" t="s">
        <v>3006</v>
      </c>
      <c r="D2341" t="s">
        <v>226</v>
      </c>
      <c r="E2341" t="s">
        <v>659</v>
      </c>
      <c r="F2341">
        <v>425.29</v>
      </c>
      <c r="G2341">
        <v>536.21</v>
      </c>
    </row>
    <row r="2342" spans="1:7" hidden="1" x14ac:dyDescent="0.25">
      <c r="A2342" t="s">
        <v>660</v>
      </c>
      <c r="B2342">
        <v>36897</v>
      </c>
      <c r="C2342" t="s">
        <v>3007</v>
      </c>
      <c r="D2342" t="s">
        <v>226</v>
      </c>
      <c r="E2342" t="s">
        <v>659</v>
      </c>
      <c r="F2342">
        <v>514.91999999999996</v>
      </c>
      <c r="G2342">
        <v>649.22</v>
      </c>
    </row>
    <row r="2343" spans="1:7" hidden="1" x14ac:dyDescent="0.25">
      <c r="A2343" t="s">
        <v>660</v>
      </c>
      <c r="B2343">
        <v>34369</v>
      </c>
      <c r="C2343" t="s">
        <v>3008</v>
      </c>
      <c r="D2343" t="s">
        <v>226</v>
      </c>
      <c r="E2343" t="s">
        <v>659</v>
      </c>
      <c r="F2343">
        <v>592.58000000000004</v>
      </c>
      <c r="G2343">
        <v>747.13</v>
      </c>
    </row>
    <row r="2344" spans="1:7" hidden="1" x14ac:dyDescent="0.25">
      <c r="A2344" t="s">
        <v>660</v>
      </c>
      <c r="B2344">
        <v>34364</v>
      </c>
      <c r="C2344" t="s">
        <v>3009</v>
      </c>
      <c r="D2344" t="s">
        <v>226</v>
      </c>
      <c r="E2344" t="s">
        <v>659</v>
      </c>
      <c r="F2344">
        <v>559.03</v>
      </c>
      <c r="G2344">
        <v>704.83</v>
      </c>
    </row>
    <row r="2345" spans="1:7" hidden="1" x14ac:dyDescent="0.25">
      <c r="A2345" t="s">
        <v>660</v>
      </c>
      <c r="B2345">
        <v>3421</v>
      </c>
      <c r="C2345" t="s">
        <v>3010</v>
      </c>
      <c r="D2345" t="s">
        <v>498</v>
      </c>
      <c r="E2345" t="s">
        <v>659</v>
      </c>
      <c r="F2345">
        <v>806.15</v>
      </c>
      <c r="G2345">
        <v>587.58000000000004</v>
      </c>
    </row>
    <row r="2346" spans="1:7" hidden="1" x14ac:dyDescent="0.25">
      <c r="A2346" t="s">
        <v>660</v>
      </c>
      <c r="B2346">
        <v>599</v>
      </c>
      <c r="C2346" t="s">
        <v>3011</v>
      </c>
      <c r="D2346" t="s">
        <v>498</v>
      </c>
      <c r="E2346" t="s">
        <v>659</v>
      </c>
      <c r="F2346">
        <v>601.80999999999995</v>
      </c>
      <c r="G2346">
        <v>758.76</v>
      </c>
    </row>
    <row r="2347" spans="1:7" hidden="1" x14ac:dyDescent="0.25">
      <c r="A2347" t="s">
        <v>660</v>
      </c>
      <c r="B2347">
        <v>44053</v>
      </c>
      <c r="C2347" t="s">
        <v>3012</v>
      </c>
      <c r="D2347" t="s">
        <v>226</v>
      </c>
      <c r="E2347" t="s">
        <v>659</v>
      </c>
      <c r="F2347" s="538">
        <v>1335.74</v>
      </c>
      <c r="G2347" s="538">
        <v>1684.11</v>
      </c>
    </row>
    <row r="2348" spans="1:7" hidden="1" x14ac:dyDescent="0.25">
      <c r="A2348" t="s">
        <v>660</v>
      </c>
      <c r="B2348">
        <v>3423</v>
      </c>
      <c r="C2348" t="s">
        <v>3013</v>
      </c>
      <c r="D2348" t="s">
        <v>498</v>
      </c>
      <c r="E2348" t="s">
        <v>659</v>
      </c>
      <c r="F2348" s="538">
        <v>1136.8599999999999</v>
      </c>
      <c r="G2348">
        <v>828.63</v>
      </c>
    </row>
    <row r="2349" spans="1:7" hidden="1" x14ac:dyDescent="0.25">
      <c r="A2349" t="s">
        <v>660</v>
      </c>
      <c r="B2349">
        <v>34797</v>
      </c>
      <c r="C2349" t="s">
        <v>3014</v>
      </c>
      <c r="D2349" t="s">
        <v>226</v>
      </c>
      <c r="E2349" t="s">
        <v>659</v>
      </c>
      <c r="F2349">
        <f>G2349</f>
        <v>402.28</v>
      </c>
      <c r="G2349">
        <v>402.28</v>
      </c>
    </row>
    <row r="2350" spans="1:7" hidden="1" x14ac:dyDescent="0.25">
      <c r="A2350" t="s">
        <v>660</v>
      </c>
      <c r="B2350">
        <v>34381</v>
      </c>
      <c r="C2350" t="s">
        <v>3015</v>
      </c>
      <c r="D2350" t="s">
        <v>226</v>
      </c>
      <c r="E2350" t="s">
        <v>659</v>
      </c>
      <c r="F2350">
        <v>243</v>
      </c>
      <c r="G2350">
        <v>306.37</v>
      </c>
    </row>
    <row r="2351" spans="1:7" hidden="1" x14ac:dyDescent="0.25">
      <c r="A2351" t="s">
        <v>660</v>
      </c>
      <c r="B2351">
        <v>44054</v>
      </c>
      <c r="C2351" t="s">
        <v>3016</v>
      </c>
      <c r="D2351" t="s">
        <v>226</v>
      </c>
      <c r="E2351" t="s">
        <v>659</v>
      </c>
      <c r="F2351">
        <v>479.18</v>
      </c>
      <c r="G2351">
        <v>604.15</v>
      </c>
    </row>
    <row r="2352" spans="1:7" hidden="1" x14ac:dyDescent="0.25">
      <c r="A2352" t="s">
        <v>660</v>
      </c>
      <c r="B2352">
        <v>44399</v>
      </c>
      <c r="C2352" t="s">
        <v>3017</v>
      </c>
      <c r="D2352" t="s">
        <v>226</v>
      </c>
      <c r="E2352" t="s">
        <v>659</v>
      </c>
      <c r="F2352">
        <v>654.72</v>
      </c>
      <c r="G2352">
        <v>825.47</v>
      </c>
    </row>
    <row r="2353" spans="1:7" hidden="1" x14ac:dyDescent="0.25">
      <c r="A2353" t="s">
        <v>807</v>
      </c>
      <c r="B2353">
        <v>44503</v>
      </c>
      <c r="C2353" t="s">
        <v>3018</v>
      </c>
      <c r="D2353" t="s">
        <v>809</v>
      </c>
      <c r="E2353" t="s">
        <v>659</v>
      </c>
      <c r="F2353">
        <v>9.1300000000000008</v>
      </c>
      <c r="G2353">
        <v>10.66</v>
      </c>
    </row>
    <row r="2354" spans="1:7" hidden="1" x14ac:dyDescent="0.25">
      <c r="A2354" t="s">
        <v>807</v>
      </c>
      <c r="B2354">
        <v>41077</v>
      </c>
      <c r="C2354" t="s">
        <v>3019</v>
      </c>
      <c r="D2354" t="s">
        <v>811</v>
      </c>
      <c r="E2354" t="s">
        <v>659</v>
      </c>
      <c r="F2354" s="538">
        <v>2009.17</v>
      </c>
      <c r="G2354" s="538">
        <v>2346.73</v>
      </c>
    </row>
    <row r="2355" spans="1:7" hidden="1" x14ac:dyDescent="0.25">
      <c r="A2355" t="s">
        <v>660</v>
      </c>
      <c r="B2355">
        <v>37963</v>
      </c>
      <c r="C2355" t="s">
        <v>3020</v>
      </c>
      <c r="D2355" t="s">
        <v>226</v>
      </c>
      <c r="E2355" t="s">
        <v>659</v>
      </c>
      <c r="F2355">
        <v>4.88</v>
      </c>
      <c r="G2355">
        <v>4.6500000000000004</v>
      </c>
    </row>
    <row r="2356" spans="1:7" hidden="1" x14ac:dyDescent="0.25">
      <c r="A2356" t="s">
        <v>660</v>
      </c>
      <c r="B2356">
        <v>37964</v>
      </c>
      <c r="C2356" t="s">
        <v>3021</v>
      </c>
      <c r="D2356" t="s">
        <v>226</v>
      </c>
      <c r="E2356" t="s">
        <v>659</v>
      </c>
      <c r="F2356">
        <v>6.52</v>
      </c>
      <c r="G2356">
        <v>6.22</v>
      </c>
    </row>
    <row r="2357" spans="1:7" hidden="1" x14ac:dyDescent="0.25">
      <c r="A2357" t="s">
        <v>660</v>
      </c>
      <c r="B2357">
        <v>37965</v>
      </c>
      <c r="C2357" t="s">
        <v>3022</v>
      </c>
      <c r="D2357" t="s">
        <v>226</v>
      </c>
      <c r="E2357" t="s">
        <v>659</v>
      </c>
      <c r="F2357">
        <v>9.4</v>
      </c>
      <c r="G2357">
        <v>8.98</v>
      </c>
    </row>
    <row r="2358" spans="1:7" hidden="1" x14ac:dyDescent="0.25">
      <c r="A2358" t="s">
        <v>660</v>
      </c>
      <c r="B2358">
        <v>37966</v>
      </c>
      <c r="C2358" t="s">
        <v>3023</v>
      </c>
      <c r="D2358" t="s">
        <v>226</v>
      </c>
      <c r="E2358" t="s">
        <v>659</v>
      </c>
      <c r="F2358">
        <v>16.510000000000002</v>
      </c>
      <c r="G2358">
        <v>15.76</v>
      </c>
    </row>
    <row r="2359" spans="1:7" hidden="1" x14ac:dyDescent="0.25">
      <c r="A2359" t="s">
        <v>660</v>
      </c>
      <c r="B2359">
        <v>37967</v>
      </c>
      <c r="C2359" t="s">
        <v>3024</v>
      </c>
      <c r="D2359" t="s">
        <v>226</v>
      </c>
      <c r="E2359" t="s">
        <v>659</v>
      </c>
      <c r="F2359">
        <v>27.75</v>
      </c>
      <c r="G2359">
        <v>26.49</v>
      </c>
    </row>
    <row r="2360" spans="1:7" hidden="1" x14ac:dyDescent="0.25">
      <c r="A2360" t="s">
        <v>660</v>
      </c>
      <c r="B2360">
        <v>37968</v>
      </c>
      <c r="C2360" t="s">
        <v>3025</v>
      </c>
      <c r="D2360" t="s">
        <v>226</v>
      </c>
      <c r="E2360" t="s">
        <v>659</v>
      </c>
      <c r="F2360">
        <v>58.91</v>
      </c>
      <c r="G2360">
        <v>56.24</v>
      </c>
    </row>
    <row r="2361" spans="1:7" hidden="1" x14ac:dyDescent="0.25">
      <c r="A2361" t="s">
        <v>660</v>
      </c>
      <c r="B2361">
        <v>37969</v>
      </c>
      <c r="C2361" t="s">
        <v>3026</v>
      </c>
      <c r="D2361" t="s">
        <v>226</v>
      </c>
      <c r="E2361" t="s">
        <v>659</v>
      </c>
      <c r="F2361">
        <v>148.86000000000001</v>
      </c>
      <c r="G2361">
        <v>142.12</v>
      </c>
    </row>
    <row r="2362" spans="1:7" hidden="1" x14ac:dyDescent="0.25">
      <c r="A2362" t="s">
        <v>660</v>
      </c>
      <c r="B2362">
        <v>37970</v>
      </c>
      <c r="C2362" t="s">
        <v>3027</v>
      </c>
      <c r="D2362" t="s">
        <v>226</v>
      </c>
      <c r="E2362" t="s">
        <v>659</v>
      </c>
      <c r="F2362">
        <v>215.37</v>
      </c>
      <c r="G2362">
        <v>205.61</v>
      </c>
    </row>
    <row r="2363" spans="1:7" hidden="1" x14ac:dyDescent="0.25">
      <c r="A2363" t="s">
        <v>660</v>
      </c>
      <c r="B2363">
        <v>44251</v>
      </c>
      <c r="C2363" t="s">
        <v>3028</v>
      </c>
      <c r="D2363" t="s">
        <v>226</v>
      </c>
      <c r="E2363" t="s">
        <v>659</v>
      </c>
      <c r="F2363">
        <v>248.77</v>
      </c>
      <c r="G2363">
        <v>237.5</v>
      </c>
    </row>
    <row r="2364" spans="1:7" hidden="1" x14ac:dyDescent="0.25">
      <c r="A2364" t="s">
        <v>660</v>
      </c>
      <c r="B2364">
        <v>21118</v>
      </c>
      <c r="C2364" t="s">
        <v>3029</v>
      </c>
      <c r="D2364" t="s">
        <v>226</v>
      </c>
      <c r="E2364" t="s">
        <v>659</v>
      </c>
      <c r="F2364">
        <v>3.87</v>
      </c>
      <c r="G2364">
        <v>3.7</v>
      </c>
    </row>
    <row r="2365" spans="1:7" hidden="1" x14ac:dyDescent="0.25">
      <c r="A2365" t="s">
        <v>660</v>
      </c>
      <c r="B2365">
        <v>37956</v>
      </c>
      <c r="C2365" t="s">
        <v>3030</v>
      </c>
      <c r="D2365" t="s">
        <v>226</v>
      </c>
      <c r="E2365" t="s">
        <v>659</v>
      </c>
      <c r="F2365">
        <v>4.76</v>
      </c>
      <c r="G2365">
        <v>4.54</v>
      </c>
    </row>
    <row r="2366" spans="1:7" hidden="1" x14ac:dyDescent="0.25">
      <c r="A2366" t="s">
        <v>660</v>
      </c>
      <c r="B2366">
        <v>37957</v>
      </c>
      <c r="C2366" t="s">
        <v>3031</v>
      </c>
      <c r="D2366" t="s">
        <v>226</v>
      </c>
      <c r="E2366" t="s">
        <v>659</v>
      </c>
      <c r="F2366">
        <v>10.130000000000001</v>
      </c>
      <c r="G2366">
        <v>9.67</v>
      </c>
    </row>
    <row r="2367" spans="1:7" hidden="1" x14ac:dyDescent="0.25">
      <c r="A2367" t="s">
        <v>660</v>
      </c>
      <c r="B2367">
        <v>37958</v>
      </c>
      <c r="C2367" t="s">
        <v>3032</v>
      </c>
      <c r="D2367" t="s">
        <v>226</v>
      </c>
      <c r="E2367" t="s">
        <v>659</v>
      </c>
      <c r="F2367">
        <v>18.309999999999999</v>
      </c>
      <c r="G2367">
        <v>17.48</v>
      </c>
    </row>
    <row r="2368" spans="1:7" hidden="1" x14ac:dyDescent="0.25">
      <c r="A2368" t="s">
        <v>660</v>
      </c>
      <c r="B2368">
        <v>37959</v>
      </c>
      <c r="C2368" t="s">
        <v>3033</v>
      </c>
      <c r="D2368" t="s">
        <v>226</v>
      </c>
      <c r="E2368" t="s">
        <v>659</v>
      </c>
      <c r="F2368">
        <v>28.19</v>
      </c>
      <c r="G2368">
        <v>26.91</v>
      </c>
    </row>
    <row r="2369" spans="1:7" hidden="1" x14ac:dyDescent="0.25">
      <c r="A2369" t="s">
        <v>660</v>
      </c>
      <c r="B2369">
        <v>37960</v>
      </c>
      <c r="C2369" t="s">
        <v>3034</v>
      </c>
      <c r="D2369" t="s">
        <v>226</v>
      </c>
      <c r="E2369" t="s">
        <v>659</v>
      </c>
      <c r="F2369">
        <v>72.03</v>
      </c>
      <c r="G2369">
        <v>68.760000000000005</v>
      </c>
    </row>
    <row r="2370" spans="1:7" hidden="1" x14ac:dyDescent="0.25">
      <c r="A2370" t="s">
        <v>660</v>
      </c>
      <c r="B2370">
        <v>37961</v>
      </c>
      <c r="C2370" t="s">
        <v>3035</v>
      </c>
      <c r="D2370" t="s">
        <v>226</v>
      </c>
      <c r="E2370" t="s">
        <v>659</v>
      </c>
      <c r="F2370">
        <v>154.80000000000001</v>
      </c>
      <c r="G2370">
        <v>147.78</v>
      </c>
    </row>
    <row r="2371" spans="1:7" hidden="1" x14ac:dyDescent="0.25">
      <c r="A2371" t="s">
        <v>660</v>
      </c>
      <c r="B2371">
        <v>37962</v>
      </c>
      <c r="C2371" t="s">
        <v>3036</v>
      </c>
      <c r="D2371" t="s">
        <v>226</v>
      </c>
      <c r="E2371" t="s">
        <v>659</v>
      </c>
      <c r="F2371">
        <v>178.46</v>
      </c>
      <c r="G2371">
        <v>170.37</v>
      </c>
    </row>
    <row r="2372" spans="1:7" hidden="1" x14ac:dyDescent="0.25">
      <c r="A2372" t="s">
        <v>660</v>
      </c>
      <c r="B2372">
        <v>3533</v>
      </c>
      <c r="C2372" t="s">
        <v>3037</v>
      </c>
      <c r="D2372" t="s">
        <v>226</v>
      </c>
      <c r="E2372" t="s">
        <v>659</v>
      </c>
      <c r="F2372">
        <v>2.8</v>
      </c>
      <c r="G2372">
        <v>2.87</v>
      </c>
    </row>
    <row r="2373" spans="1:7" hidden="1" x14ac:dyDescent="0.25">
      <c r="A2373" t="s">
        <v>660</v>
      </c>
      <c r="B2373">
        <v>3538</v>
      </c>
      <c r="C2373" t="s">
        <v>3038</v>
      </c>
      <c r="D2373" t="s">
        <v>226</v>
      </c>
      <c r="E2373" t="s">
        <v>659</v>
      </c>
      <c r="F2373">
        <v>5.3</v>
      </c>
      <c r="G2373">
        <v>5.42</v>
      </c>
    </row>
    <row r="2374" spans="1:7" hidden="1" x14ac:dyDescent="0.25">
      <c r="A2374" t="s">
        <v>660</v>
      </c>
      <c r="B2374">
        <v>3498</v>
      </c>
      <c r="C2374" t="s">
        <v>3039</v>
      </c>
      <c r="D2374" t="s">
        <v>226</v>
      </c>
      <c r="E2374" t="s">
        <v>659</v>
      </c>
      <c r="F2374">
        <v>5.14</v>
      </c>
      <c r="G2374">
        <v>5.26</v>
      </c>
    </row>
    <row r="2375" spans="1:7" hidden="1" x14ac:dyDescent="0.25">
      <c r="A2375" t="s">
        <v>660</v>
      </c>
      <c r="B2375">
        <v>3496</v>
      </c>
      <c r="C2375" t="s">
        <v>3040</v>
      </c>
      <c r="D2375" t="s">
        <v>226</v>
      </c>
      <c r="E2375" t="s">
        <v>659</v>
      </c>
      <c r="F2375">
        <v>3.44</v>
      </c>
      <c r="G2375">
        <v>3.52</v>
      </c>
    </row>
    <row r="2376" spans="1:7" hidden="1" x14ac:dyDescent="0.25">
      <c r="A2376" t="s">
        <v>660</v>
      </c>
      <c r="B2376">
        <v>38429</v>
      </c>
      <c r="C2376" t="s">
        <v>3041</v>
      </c>
      <c r="D2376" t="s">
        <v>226</v>
      </c>
      <c r="E2376" t="s">
        <v>659</v>
      </c>
      <c r="F2376">
        <v>13.18</v>
      </c>
      <c r="G2376">
        <v>12.58</v>
      </c>
    </row>
    <row r="2377" spans="1:7" hidden="1" x14ac:dyDescent="0.25">
      <c r="A2377" t="s">
        <v>660</v>
      </c>
      <c r="B2377">
        <v>38431</v>
      </c>
      <c r="C2377" t="s">
        <v>3042</v>
      </c>
      <c r="D2377" t="s">
        <v>226</v>
      </c>
      <c r="E2377" t="s">
        <v>659</v>
      </c>
      <c r="F2377">
        <v>16.53</v>
      </c>
      <c r="G2377">
        <v>15.78</v>
      </c>
    </row>
    <row r="2378" spans="1:7" hidden="1" x14ac:dyDescent="0.25">
      <c r="A2378" t="s">
        <v>660</v>
      </c>
      <c r="B2378">
        <v>38430</v>
      </c>
      <c r="C2378" t="s">
        <v>3043</v>
      </c>
      <c r="D2378" t="s">
        <v>226</v>
      </c>
      <c r="E2378" t="s">
        <v>659</v>
      </c>
      <c r="F2378">
        <v>25.63</v>
      </c>
      <c r="G2378">
        <v>24.47</v>
      </c>
    </row>
    <row r="2379" spans="1:7" hidden="1" x14ac:dyDescent="0.25">
      <c r="A2379" t="s">
        <v>660</v>
      </c>
      <c r="B2379">
        <v>36348</v>
      </c>
      <c r="C2379" t="s">
        <v>3044</v>
      </c>
      <c r="D2379" t="s">
        <v>226</v>
      </c>
      <c r="E2379" t="s">
        <v>659</v>
      </c>
      <c r="F2379">
        <f t="shared" ref="F2379:F2395" si="17">G2379</f>
        <v>2.23</v>
      </c>
      <c r="G2379">
        <v>2.23</v>
      </c>
    </row>
    <row r="2380" spans="1:7" hidden="1" x14ac:dyDescent="0.25">
      <c r="A2380" t="s">
        <v>660</v>
      </c>
      <c r="B2380">
        <v>36349</v>
      </c>
      <c r="C2380" t="s">
        <v>3045</v>
      </c>
      <c r="D2380" t="s">
        <v>226</v>
      </c>
      <c r="E2380" t="s">
        <v>659</v>
      </c>
      <c r="F2380">
        <f t="shared" si="17"/>
        <v>3.08</v>
      </c>
      <c r="G2380">
        <v>3.08</v>
      </c>
    </row>
    <row r="2381" spans="1:7" hidden="1" x14ac:dyDescent="0.25">
      <c r="A2381" t="s">
        <v>660</v>
      </c>
      <c r="B2381">
        <v>38987</v>
      </c>
      <c r="C2381" t="s">
        <v>3046</v>
      </c>
      <c r="D2381" t="s">
        <v>226</v>
      </c>
      <c r="E2381" t="s">
        <v>659</v>
      </c>
      <c r="F2381">
        <f t="shared" si="17"/>
        <v>14.8</v>
      </c>
      <c r="G2381">
        <v>14.8</v>
      </c>
    </row>
    <row r="2382" spans="1:7" hidden="1" x14ac:dyDescent="0.25">
      <c r="A2382" t="s">
        <v>660</v>
      </c>
      <c r="B2382">
        <v>38988</v>
      </c>
      <c r="C2382" t="s">
        <v>3047</v>
      </c>
      <c r="D2382" t="s">
        <v>226</v>
      </c>
      <c r="E2382" t="s">
        <v>659</v>
      </c>
      <c r="F2382">
        <f t="shared" si="17"/>
        <v>24.11</v>
      </c>
      <c r="G2382">
        <v>24.11</v>
      </c>
    </row>
    <row r="2383" spans="1:7" hidden="1" x14ac:dyDescent="0.25">
      <c r="A2383" t="s">
        <v>660</v>
      </c>
      <c r="B2383">
        <v>38989</v>
      </c>
      <c r="C2383" t="s">
        <v>3048</v>
      </c>
      <c r="D2383" t="s">
        <v>226</v>
      </c>
      <c r="E2383" t="s">
        <v>659</v>
      </c>
      <c r="F2383">
        <f t="shared" si="17"/>
        <v>40.57</v>
      </c>
      <c r="G2383">
        <v>40.57</v>
      </c>
    </row>
    <row r="2384" spans="1:7" hidden="1" x14ac:dyDescent="0.25">
      <c r="A2384" t="s">
        <v>660</v>
      </c>
      <c r="B2384">
        <v>38990</v>
      </c>
      <c r="C2384" t="s">
        <v>3049</v>
      </c>
      <c r="D2384" t="s">
        <v>226</v>
      </c>
      <c r="E2384" t="s">
        <v>659</v>
      </c>
      <c r="F2384">
        <f t="shared" si="17"/>
        <v>81.06</v>
      </c>
      <c r="G2384">
        <v>81.06</v>
      </c>
    </row>
    <row r="2385" spans="1:7" hidden="1" x14ac:dyDescent="0.25">
      <c r="A2385" t="s">
        <v>660</v>
      </c>
      <c r="B2385">
        <v>38991</v>
      </c>
      <c r="C2385" t="s">
        <v>3050</v>
      </c>
      <c r="D2385" t="s">
        <v>226</v>
      </c>
      <c r="E2385" t="s">
        <v>659</v>
      </c>
      <c r="F2385">
        <f t="shared" si="17"/>
        <v>145.87</v>
      </c>
      <c r="G2385">
        <v>145.87</v>
      </c>
    </row>
    <row r="2386" spans="1:7" hidden="1" x14ac:dyDescent="0.25">
      <c r="A2386" t="s">
        <v>660</v>
      </c>
      <c r="B2386">
        <v>38433</v>
      </c>
      <c r="C2386" t="s">
        <v>3051</v>
      </c>
      <c r="D2386" t="s">
        <v>226</v>
      </c>
      <c r="E2386" t="s">
        <v>659</v>
      </c>
      <c r="F2386">
        <f t="shared" si="17"/>
        <v>7.54</v>
      </c>
      <c r="G2386">
        <v>7.54</v>
      </c>
    </row>
    <row r="2387" spans="1:7" hidden="1" x14ac:dyDescent="0.25">
      <c r="A2387" t="s">
        <v>660</v>
      </c>
      <c r="B2387">
        <v>38440</v>
      </c>
      <c r="C2387" t="s">
        <v>3052</v>
      </c>
      <c r="D2387" t="s">
        <v>226</v>
      </c>
      <c r="E2387" t="s">
        <v>659</v>
      </c>
      <c r="F2387">
        <f t="shared" si="17"/>
        <v>317.89999999999998</v>
      </c>
      <c r="G2387">
        <v>317.89999999999998</v>
      </c>
    </row>
    <row r="2388" spans="1:7" hidden="1" x14ac:dyDescent="0.25">
      <c r="A2388" t="s">
        <v>660</v>
      </c>
      <c r="B2388">
        <v>36359</v>
      </c>
      <c r="C2388" t="s">
        <v>3053</v>
      </c>
      <c r="D2388" t="s">
        <v>226</v>
      </c>
      <c r="E2388" t="s">
        <v>659</v>
      </c>
      <c r="F2388">
        <f t="shared" si="17"/>
        <v>1.98</v>
      </c>
      <c r="G2388">
        <v>1.98</v>
      </c>
    </row>
    <row r="2389" spans="1:7" hidden="1" x14ac:dyDescent="0.25">
      <c r="A2389" t="s">
        <v>660</v>
      </c>
      <c r="B2389">
        <v>36360</v>
      </c>
      <c r="C2389" t="s">
        <v>3054</v>
      </c>
      <c r="D2389" t="s">
        <v>226</v>
      </c>
      <c r="E2389" t="s">
        <v>659</v>
      </c>
      <c r="F2389">
        <f t="shared" si="17"/>
        <v>2.66</v>
      </c>
      <c r="G2389">
        <v>2.66</v>
      </c>
    </row>
    <row r="2390" spans="1:7" hidden="1" x14ac:dyDescent="0.25">
      <c r="A2390" t="s">
        <v>660</v>
      </c>
      <c r="B2390">
        <v>38434</v>
      </c>
      <c r="C2390" t="s">
        <v>3055</v>
      </c>
      <c r="D2390" t="s">
        <v>226</v>
      </c>
      <c r="E2390" t="s">
        <v>659</v>
      </c>
      <c r="F2390">
        <f t="shared" si="17"/>
        <v>4.0599999999999996</v>
      </c>
      <c r="G2390">
        <v>4.0599999999999996</v>
      </c>
    </row>
    <row r="2391" spans="1:7" hidden="1" x14ac:dyDescent="0.25">
      <c r="A2391" t="s">
        <v>660</v>
      </c>
      <c r="B2391">
        <v>38435</v>
      </c>
      <c r="C2391" t="s">
        <v>3056</v>
      </c>
      <c r="D2391" t="s">
        <v>226</v>
      </c>
      <c r="E2391" t="s">
        <v>659</v>
      </c>
      <c r="F2391">
        <f t="shared" si="17"/>
        <v>9.14</v>
      </c>
      <c r="G2391">
        <v>9.14</v>
      </c>
    </row>
    <row r="2392" spans="1:7" hidden="1" x14ac:dyDescent="0.25">
      <c r="A2392" t="s">
        <v>660</v>
      </c>
      <c r="B2392">
        <v>38436</v>
      </c>
      <c r="C2392" t="s">
        <v>3057</v>
      </c>
      <c r="D2392" t="s">
        <v>226</v>
      </c>
      <c r="E2392" t="s">
        <v>659</v>
      </c>
      <c r="F2392">
        <f t="shared" si="17"/>
        <v>15.16</v>
      </c>
      <c r="G2392">
        <v>15.16</v>
      </c>
    </row>
    <row r="2393" spans="1:7" hidden="1" x14ac:dyDescent="0.25">
      <c r="A2393" t="s">
        <v>660</v>
      </c>
      <c r="B2393">
        <v>38437</v>
      </c>
      <c r="C2393" t="s">
        <v>3058</v>
      </c>
      <c r="D2393" t="s">
        <v>226</v>
      </c>
      <c r="E2393" t="s">
        <v>659</v>
      </c>
      <c r="F2393">
        <f t="shared" si="17"/>
        <v>24.59</v>
      </c>
      <c r="G2393">
        <v>24.59</v>
      </c>
    </row>
    <row r="2394" spans="1:7" hidden="1" x14ac:dyDescent="0.25">
      <c r="A2394" t="s">
        <v>660</v>
      </c>
      <c r="B2394">
        <v>38438</v>
      </c>
      <c r="C2394" t="s">
        <v>3059</v>
      </c>
      <c r="D2394" t="s">
        <v>226</v>
      </c>
      <c r="E2394" t="s">
        <v>659</v>
      </c>
      <c r="F2394">
        <f t="shared" si="17"/>
        <v>71.319999999999993</v>
      </c>
      <c r="G2394">
        <v>71.319999999999993</v>
      </c>
    </row>
    <row r="2395" spans="1:7" hidden="1" x14ac:dyDescent="0.25">
      <c r="A2395" t="s">
        <v>660</v>
      </c>
      <c r="B2395">
        <v>38439</v>
      </c>
      <c r="C2395" t="s">
        <v>3060</v>
      </c>
      <c r="D2395" t="s">
        <v>226</v>
      </c>
      <c r="E2395" t="s">
        <v>659</v>
      </c>
      <c r="F2395">
        <f t="shared" si="17"/>
        <v>90.62</v>
      </c>
      <c r="G2395">
        <v>90.62</v>
      </c>
    </row>
    <row r="2396" spans="1:7" hidden="1" x14ac:dyDescent="0.25">
      <c r="A2396" t="s">
        <v>660</v>
      </c>
      <c r="B2396">
        <v>10836</v>
      </c>
      <c r="C2396" t="s">
        <v>3061</v>
      </c>
      <c r="D2396" t="s">
        <v>226</v>
      </c>
      <c r="E2396" t="s">
        <v>659</v>
      </c>
      <c r="F2396">
        <v>21.32</v>
      </c>
      <c r="G2396">
        <v>22.04</v>
      </c>
    </row>
    <row r="2397" spans="1:7" hidden="1" x14ac:dyDescent="0.25">
      <c r="A2397" t="s">
        <v>660</v>
      </c>
      <c r="B2397">
        <v>3510</v>
      </c>
      <c r="C2397" t="s">
        <v>3062</v>
      </c>
      <c r="D2397" t="s">
        <v>226</v>
      </c>
      <c r="E2397" t="s">
        <v>659</v>
      </c>
      <c r="F2397">
        <v>12.9</v>
      </c>
      <c r="G2397">
        <v>13.2</v>
      </c>
    </row>
    <row r="2398" spans="1:7" hidden="1" x14ac:dyDescent="0.25">
      <c r="A2398" t="s">
        <v>660</v>
      </c>
      <c r="B2398">
        <v>10835</v>
      </c>
      <c r="C2398" t="s">
        <v>3063</v>
      </c>
      <c r="D2398" t="s">
        <v>226</v>
      </c>
      <c r="E2398" t="s">
        <v>659</v>
      </c>
      <c r="F2398">
        <v>5.95</v>
      </c>
      <c r="G2398">
        <v>6.15</v>
      </c>
    </row>
    <row r="2399" spans="1:7" hidden="1" x14ac:dyDescent="0.25">
      <c r="A2399" t="s">
        <v>660</v>
      </c>
      <c r="B2399">
        <v>3485</v>
      </c>
      <c r="C2399" t="s">
        <v>3064</v>
      </c>
      <c r="D2399" t="s">
        <v>226</v>
      </c>
      <c r="E2399" t="s">
        <v>659</v>
      </c>
      <c r="F2399">
        <v>13.56</v>
      </c>
      <c r="G2399">
        <v>13.88</v>
      </c>
    </row>
    <row r="2400" spans="1:7" hidden="1" x14ac:dyDescent="0.25">
      <c r="A2400" t="s">
        <v>660</v>
      </c>
      <c r="B2400">
        <v>3475</v>
      </c>
      <c r="C2400" t="s">
        <v>3065</v>
      </c>
      <c r="D2400" t="s">
        <v>226</v>
      </c>
      <c r="E2400" t="s">
        <v>659</v>
      </c>
      <c r="F2400">
        <v>4.91</v>
      </c>
      <c r="G2400">
        <v>5.0199999999999996</v>
      </c>
    </row>
    <row r="2401" spans="1:7" hidden="1" x14ac:dyDescent="0.25">
      <c r="A2401" t="s">
        <v>660</v>
      </c>
      <c r="B2401">
        <v>3534</v>
      </c>
      <c r="C2401" t="s">
        <v>3066</v>
      </c>
      <c r="D2401" t="s">
        <v>226</v>
      </c>
      <c r="E2401" t="s">
        <v>659</v>
      </c>
      <c r="F2401">
        <v>7.78</v>
      </c>
      <c r="G2401">
        <v>7.96</v>
      </c>
    </row>
    <row r="2402" spans="1:7" hidden="1" x14ac:dyDescent="0.25">
      <c r="A2402" t="s">
        <v>660</v>
      </c>
      <c r="B2402">
        <v>3482</v>
      </c>
      <c r="C2402" t="s">
        <v>3067</v>
      </c>
      <c r="D2402" t="s">
        <v>226</v>
      </c>
      <c r="E2402" t="s">
        <v>659</v>
      </c>
      <c r="F2402">
        <v>5.56</v>
      </c>
      <c r="G2402">
        <v>5.69</v>
      </c>
    </row>
    <row r="2403" spans="1:7" hidden="1" x14ac:dyDescent="0.25">
      <c r="A2403" t="s">
        <v>660</v>
      </c>
      <c r="B2403">
        <v>3543</v>
      </c>
      <c r="C2403" t="s">
        <v>3068</v>
      </c>
      <c r="D2403" t="s">
        <v>226</v>
      </c>
      <c r="E2403" t="s">
        <v>659</v>
      </c>
      <c r="F2403">
        <v>1.8</v>
      </c>
      <c r="G2403">
        <v>1.85</v>
      </c>
    </row>
    <row r="2404" spans="1:7" hidden="1" x14ac:dyDescent="0.25">
      <c r="A2404" t="s">
        <v>660</v>
      </c>
      <c r="B2404">
        <v>3505</v>
      </c>
      <c r="C2404" t="s">
        <v>3069</v>
      </c>
      <c r="D2404" t="s">
        <v>226</v>
      </c>
      <c r="E2404" t="s">
        <v>659</v>
      </c>
      <c r="F2404">
        <v>2.68</v>
      </c>
      <c r="G2404">
        <v>2.75</v>
      </c>
    </row>
    <row r="2405" spans="1:7" hidden="1" x14ac:dyDescent="0.25">
      <c r="A2405" t="s">
        <v>660</v>
      </c>
      <c r="B2405">
        <v>3521</v>
      </c>
      <c r="C2405" t="s">
        <v>3070</v>
      </c>
      <c r="D2405" t="s">
        <v>226</v>
      </c>
      <c r="E2405" t="s">
        <v>659</v>
      </c>
      <c r="F2405">
        <v>2.02</v>
      </c>
      <c r="G2405">
        <v>2.0699999999999998</v>
      </c>
    </row>
    <row r="2406" spans="1:7" hidden="1" x14ac:dyDescent="0.25">
      <c r="A2406" t="s">
        <v>660</v>
      </c>
      <c r="B2406">
        <v>3531</v>
      </c>
      <c r="C2406" t="s">
        <v>3071</v>
      </c>
      <c r="D2406" t="s">
        <v>226</v>
      </c>
      <c r="E2406" t="s">
        <v>659</v>
      </c>
      <c r="F2406">
        <v>3.85</v>
      </c>
      <c r="G2406">
        <v>3.94</v>
      </c>
    </row>
    <row r="2407" spans="1:7" hidden="1" x14ac:dyDescent="0.25">
      <c r="A2407" t="s">
        <v>660</v>
      </c>
      <c r="B2407">
        <v>3522</v>
      </c>
      <c r="C2407" t="s">
        <v>3072</v>
      </c>
      <c r="D2407" t="s">
        <v>226</v>
      </c>
      <c r="E2407" t="s">
        <v>659</v>
      </c>
      <c r="F2407">
        <v>2.48</v>
      </c>
      <c r="G2407">
        <v>2.54</v>
      </c>
    </row>
    <row r="2408" spans="1:7" hidden="1" x14ac:dyDescent="0.25">
      <c r="A2408" t="s">
        <v>660</v>
      </c>
      <c r="B2408">
        <v>3527</v>
      </c>
      <c r="C2408" t="s">
        <v>3073</v>
      </c>
      <c r="D2408" t="s">
        <v>226</v>
      </c>
      <c r="E2408" t="s">
        <v>659</v>
      </c>
      <c r="F2408">
        <v>13.07</v>
      </c>
      <c r="G2408">
        <v>13.38</v>
      </c>
    </row>
    <row r="2409" spans="1:7" hidden="1" x14ac:dyDescent="0.25">
      <c r="A2409" t="s">
        <v>660</v>
      </c>
      <c r="B2409">
        <v>3530</v>
      </c>
      <c r="C2409" t="s">
        <v>3074</v>
      </c>
      <c r="D2409" t="s">
        <v>226</v>
      </c>
      <c r="E2409" t="s">
        <v>659</v>
      </c>
      <c r="F2409">
        <v>211.65</v>
      </c>
      <c r="G2409">
        <v>216.63</v>
      </c>
    </row>
    <row r="2410" spans="1:7" hidden="1" x14ac:dyDescent="0.25">
      <c r="A2410" t="s">
        <v>660</v>
      </c>
      <c r="B2410">
        <v>3542</v>
      </c>
      <c r="C2410" t="s">
        <v>3075</v>
      </c>
      <c r="D2410" t="s">
        <v>226</v>
      </c>
      <c r="E2410" t="s">
        <v>659</v>
      </c>
      <c r="F2410">
        <v>0.61</v>
      </c>
      <c r="G2410">
        <v>0.62</v>
      </c>
    </row>
    <row r="2411" spans="1:7" hidden="1" x14ac:dyDescent="0.25">
      <c r="A2411" t="s">
        <v>660</v>
      </c>
      <c r="B2411">
        <v>3529</v>
      </c>
      <c r="C2411" t="s">
        <v>3076</v>
      </c>
      <c r="D2411" t="s">
        <v>226</v>
      </c>
      <c r="E2411" t="s">
        <v>659</v>
      </c>
      <c r="F2411">
        <v>0.74</v>
      </c>
      <c r="G2411">
        <v>0.76</v>
      </c>
    </row>
    <row r="2412" spans="1:7" hidden="1" x14ac:dyDescent="0.25">
      <c r="A2412" t="s">
        <v>660</v>
      </c>
      <c r="B2412">
        <v>3536</v>
      </c>
      <c r="C2412" t="s">
        <v>3077</v>
      </c>
      <c r="D2412" t="s">
        <v>226</v>
      </c>
      <c r="E2412" t="s">
        <v>659</v>
      </c>
      <c r="F2412">
        <v>2.48</v>
      </c>
      <c r="G2412">
        <v>2.54</v>
      </c>
    </row>
    <row r="2413" spans="1:7" hidden="1" x14ac:dyDescent="0.25">
      <c r="A2413" t="s">
        <v>660</v>
      </c>
      <c r="B2413">
        <v>3535</v>
      </c>
      <c r="C2413" t="s">
        <v>3078</v>
      </c>
      <c r="D2413" t="s">
        <v>226</v>
      </c>
      <c r="E2413" t="s">
        <v>659</v>
      </c>
      <c r="F2413">
        <v>6.04</v>
      </c>
      <c r="G2413">
        <v>6.18</v>
      </c>
    </row>
    <row r="2414" spans="1:7" hidden="1" x14ac:dyDescent="0.25">
      <c r="A2414" t="s">
        <v>660</v>
      </c>
      <c r="B2414">
        <v>3540</v>
      </c>
      <c r="C2414" t="s">
        <v>3079</v>
      </c>
      <c r="D2414" t="s">
        <v>226</v>
      </c>
      <c r="E2414" t="s">
        <v>659</v>
      </c>
      <c r="F2414">
        <v>5.1100000000000003</v>
      </c>
      <c r="G2414">
        <v>5.23</v>
      </c>
    </row>
    <row r="2415" spans="1:7" hidden="1" x14ac:dyDescent="0.25">
      <c r="A2415" t="s">
        <v>660</v>
      </c>
      <c r="B2415">
        <v>3539</v>
      </c>
      <c r="C2415" t="s">
        <v>3080</v>
      </c>
      <c r="D2415" t="s">
        <v>226</v>
      </c>
      <c r="E2415" t="s">
        <v>659</v>
      </c>
      <c r="F2415">
        <v>29.62</v>
      </c>
      <c r="G2415">
        <v>30.32</v>
      </c>
    </row>
    <row r="2416" spans="1:7" hidden="1" x14ac:dyDescent="0.25">
      <c r="A2416" t="s">
        <v>660</v>
      </c>
      <c r="B2416">
        <v>3513</v>
      </c>
      <c r="C2416" t="s">
        <v>3081</v>
      </c>
      <c r="D2416" t="s">
        <v>226</v>
      </c>
      <c r="E2416" t="s">
        <v>659</v>
      </c>
      <c r="F2416">
        <v>104.45</v>
      </c>
      <c r="G2416">
        <v>106.91</v>
      </c>
    </row>
    <row r="2417" spans="1:7" hidden="1" x14ac:dyDescent="0.25">
      <c r="A2417" t="s">
        <v>660</v>
      </c>
      <c r="B2417">
        <v>3516</v>
      </c>
      <c r="C2417" t="s">
        <v>3082</v>
      </c>
      <c r="D2417" t="s">
        <v>226</v>
      </c>
      <c r="E2417" t="s">
        <v>659</v>
      </c>
      <c r="F2417">
        <v>2.46</v>
      </c>
      <c r="G2417">
        <v>2.54</v>
      </c>
    </row>
    <row r="2418" spans="1:7" hidden="1" x14ac:dyDescent="0.25">
      <c r="A2418" t="s">
        <v>660</v>
      </c>
      <c r="B2418">
        <v>3517</v>
      </c>
      <c r="C2418" t="s">
        <v>3083</v>
      </c>
      <c r="D2418" t="s">
        <v>226</v>
      </c>
      <c r="E2418" t="s">
        <v>659</v>
      </c>
      <c r="F2418">
        <v>2.2200000000000002</v>
      </c>
      <c r="G2418">
        <v>2.29</v>
      </c>
    </row>
    <row r="2419" spans="1:7" hidden="1" x14ac:dyDescent="0.25">
      <c r="A2419" t="s">
        <v>660</v>
      </c>
      <c r="B2419">
        <v>3515</v>
      </c>
      <c r="C2419" t="s">
        <v>3084</v>
      </c>
      <c r="D2419" t="s">
        <v>226</v>
      </c>
      <c r="E2419" t="s">
        <v>659</v>
      </c>
      <c r="F2419">
        <v>6.66</v>
      </c>
      <c r="G2419">
        <v>6.82</v>
      </c>
    </row>
    <row r="2420" spans="1:7" hidden="1" x14ac:dyDescent="0.25">
      <c r="A2420" t="s">
        <v>660</v>
      </c>
      <c r="B2420">
        <v>20147</v>
      </c>
      <c r="C2420" t="s">
        <v>3085</v>
      </c>
      <c r="D2420" t="s">
        <v>226</v>
      </c>
      <c r="E2420" t="s">
        <v>659</v>
      </c>
      <c r="F2420">
        <v>5.48</v>
      </c>
      <c r="G2420">
        <v>5.61</v>
      </c>
    </row>
    <row r="2421" spans="1:7" hidden="1" x14ac:dyDescent="0.25">
      <c r="A2421" t="s">
        <v>660</v>
      </c>
      <c r="B2421">
        <v>3524</v>
      </c>
      <c r="C2421" t="s">
        <v>3086</v>
      </c>
      <c r="D2421" t="s">
        <v>226</v>
      </c>
      <c r="E2421" t="s">
        <v>659</v>
      </c>
      <c r="F2421">
        <v>8.25</v>
      </c>
      <c r="G2421">
        <v>8.44</v>
      </c>
    </row>
    <row r="2422" spans="1:7" hidden="1" x14ac:dyDescent="0.25">
      <c r="A2422" t="s">
        <v>660</v>
      </c>
      <c r="B2422">
        <v>3532</v>
      </c>
      <c r="C2422" t="s">
        <v>3087</v>
      </c>
      <c r="D2422" t="s">
        <v>226</v>
      </c>
      <c r="E2422" t="s">
        <v>659</v>
      </c>
      <c r="F2422">
        <v>19.059999999999999</v>
      </c>
      <c r="G2422">
        <v>19.510000000000002</v>
      </c>
    </row>
    <row r="2423" spans="1:7" hidden="1" x14ac:dyDescent="0.25">
      <c r="A2423" t="s">
        <v>660</v>
      </c>
      <c r="B2423">
        <v>3528</v>
      </c>
      <c r="C2423" t="s">
        <v>3088</v>
      </c>
      <c r="D2423" t="s">
        <v>226</v>
      </c>
      <c r="E2423" t="s">
        <v>659</v>
      </c>
      <c r="F2423">
        <v>9.6</v>
      </c>
      <c r="G2423">
        <v>9.93</v>
      </c>
    </row>
    <row r="2424" spans="1:7" hidden="1" x14ac:dyDescent="0.25">
      <c r="A2424" t="s">
        <v>660</v>
      </c>
      <c r="B2424">
        <v>37952</v>
      </c>
      <c r="C2424" t="s">
        <v>3089</v>
      </c>
      <c r="D2424" t="s">
        <v>226</v>
      </c>
      <c r="E2424" t="s">
        <v>659</v>
      </c>
      <c r="F2424">
        <v>68.8</v>
      </c>
      <c r="G2424">
        <v>71.13</v>
      </c>
    </row>
    <row r="2425" spans="1:7" hidden="1" x14ac:dyDescent="0.25">
      <c r="A2425" t="s">
        <v>660</v>
      </c>
      <c r="B2425">
        <v>37951</v>
      </c>
      <c r="C2425" t="s">
        <v>3090</v>
      </c>
      <c r="D2425" t="s">
        <v>226</v>
      </c>
      <c r="E2425" t="s">
        <v>659</v>
      </c>
      <c r="F2425">
        <v>2.59</v>
      </c>
      <c r="G2425">
        <v>2.67</v>
      </c>
    </row>
    <row r="2426" spans="1:7" hidden="1" x14ac:dyDescent="0.25">
      <c r="A2426" t="s">
        <v>660</v>
      </c>
      <c r="B2426">
        <v>3518</v>
      </c>
      <c r="C2426" t="s">
        <v>3091</v>
      </c>
      <c r="D2426" t="s">
        <v>226</v>
      </c>
      <c r="E2426" t="s">
        <v>659</v>
      </c>
      <c r="F2426">
        <v>3.98</v>
      </c>
      <c r="G2426">
        <v>4.1100000000000003</v>
      </c>
    </row>
    <row r="2427" spans="1:7" hidden="1" x14ac:dyDescent="0.25">
      <c r="A2427" t="s">
        <v>660</v>
      </c>
      <c r="B2427">
        <v>3519</v>
      </c>
      <c r="C2427" t="s">
        <v>3092</v>
      </c>
      <c r="D2427" t="s">
        <v>226</v>
      </c>
      <c r="E2427" t="s">
        <v>659</v>
      </c>
      <c r="F2427">
        <v>8.32</v>
      </c>
      <c r="G2427">
        <v>8.61</v>
      </c>
    </row>
    <row r="2428" spans="1:7" hidden="1" x14ac:dyDescent="0.25">
      <c r="A2428" t="s">
        <v>660</v>
      </c>
      <c r="B2428">
        <v>3520</v>
      </c>
      <c r="C2428" t="s">
        <v>3093</v>
      </c>
      <c r="D2428" t="s">
        <v>226</v>
      </c>
      <c r="E2428" t="s">
        <v>659</v>
      </c>
      <c r="F2428">
        <v>8.7200000000000006</v>
      </c>
      <c r="G2428">
        <v>9.02</v>
      </c>
    </row>
    <row r="2429" spans="1:7" hidden="1" x14ac:dyDescent="0.25">
      <c r="A2429" t="s">
        <v>660</v>
      </c>
      <c r="B2429">
        <v>37950</v>
      </c>
      <c r="C2429" t="s">
        <v>3094</v>
      </c>
      <c r="D2429" t="s">
        <v>226</v>
      </c>
      <c r="E2429" t="s">
        <v>659</v>
      </c>
      <c r="F2429">
        <v>63.34</v>
      </c>
      <c r="G2429">
        <v>65.48</v>
      </c>
    </row>
    <row r="2430" spans="1:7" hidden="1" x14ac:dyDescent="0.25">
      <c r="A2430" t="s">
        <v>660</v>
      </c>
      <c r="B2430">
        <v>37949</v>
      </c>
      <c r="C2430" t="s">
        <v>3095</v>
      </c>
      <c r="D2430" t="s">
        <v>226</v>
      </c>
      <c r="E2430" t="s">
        <v>659</v>
      </c>
      <c r="F2430">
        <v>2.33</v>
      </c>
      <c r="G2430">
        <v>2.41</v>
      </c>
    </row>
    <row r="2431" spans="1:7" hidden="1" x14ac:dyDescent="0.25">
      <c r="A2431" t="s">
        <v>660</v>
      </c>
      <c r="B2431">
        <v>3526</v>
      </c>
      <c r="C2431" t="s">
        <v>3096</v>
      </c>
      <c r="D2431" t="s">
        <v>226</v>
      </c>
      <c r="E2431" t="s">
        <v>659</v>
      </c>
      <c r="F2431">
        <v>3.21</v>
      </c>
      <c r="G2431">
        <v>3.32</v>
      </c>
    </row>
    <row r="2432" spans="1:7" hidden="1" x14ac:dyDescent="0.25">
      <c r="A2432" t="s">
        <v>660</v>
      </c>
      <c r="B2432">
        <v>3509</v>
      </c>
      <c r="C2432" t="s">
        <v>3097</v>
      </c>
      <c r="D2432" t="s">
        <v>226</v>
      </c>
      <c r="E2432" t="s">
        <v>659</v>
      </c>
      <c r="F2432">
        <v>7.3</v>
      </c>
      <c r="G2432">
        <v>7.55</v>
      </c>
    </row>
    <row r="2433" spans="1:7" hidden="1" x14ac:dyDescent="0.25">
      <c r="A2433" t="s">
        <v>660</v>
      </c>
      <c r="B2433">
        <v>20151</v>
      </c>
      <c r="C2433" t="s">
        <v>3098</v>
      </c>
      <c r="D2433" t="s">
        <v>226</v>
      </c>
      <c r="E2433" t="s">
        <v>659</v>
      </c>
      <c r="F2433">
        <v>21.45</v>
      </c>
      <c r="G2433">
        <v>22.18</v>
      </c>
    </row>
    <row r="2434" spans="1:7" hidden="1" x14ac:dyDescent="0.25">
      <c r="A2434" t="s">
        <v>660</v>
      </c>
      <c r="B2434">
        <v>20152</v>
      </c>
      <c r="C2434" t="s">
        <v>3099</v>
      </c>
      <c r="D2434" t="s">
        <v>226</v>
      </c>
      <c r="E2434" t="s">
        <v>659</v>
      </c>
      <c r="F2434">
        <v>77.64</v>
      </c>
      <c r="G2434">
        <v>80.27</v>
      </c>
    </row>
    <row r="2435" spans="1:7" hidden="1" x14ac:dyDescent="0.25">
      <c r="A2435" t="s">
        <v>660</v>
      </c>
      <c r="B2435">
        <v>20148</v>
      </c>
      <c r="C2435" t="s">
        <v>3100</v>
      </c>
      <c r="D2435" t="s">
        <v>226</v>
      </c>
      <c r="E2435" t="s">
        <v>659</v>
      </c>
      <c r="F2435">
        <v>4.22</v>
      </c>
      <c r="G2435">
        <v>4.3600000000000003</v>
      </c>
    </row>
    <row r="2436" spans="1:7" hidden="1" x14ac:dyDescent="0.25">
      <c r="A2436" t="s">
        <v>660</v>
      </c>
      <c r="B2436">
        <v>20149</v>
      </c>
      <c r="C2436" t="s">
        <v>3101</v>
      </c>
      <c r="D2436" t="s">
        <v>226</v>
      </c>
      <c r="E2436" t="s">
        <v>659</v>
      </c>
      <c r="F2436">
        <v>7.04</v>
      </c>
      <c r="G2436">
        <v>7.28</v>
      </c>
    </row>
    <row r="2437" spans="1:7" hidden="1" x14ac:dyDescent="0.25">
      <c r="A2437" t="s">
        <v>660</v>
      </c>
      <c r="B2437">
        <v>20150</v>
      </c>
      <c r="C2437" t="s">
        <v>3102</v>
      </c>
      <c r="D2437" t="s">
        <v>226</v>
      </c>
      <c r="E2437" t="s">
        <v>659</v>
      </c>
      <c r="F2437">
        <v>18.16</v>
      </c>
      <c r="G2437">
        <v>18.77</v>
      </c>
    </row>
    <row r="2438" spans="1:7" hidden="1" x14ac:dyDescent="0.25">
      <c r="A2438" t="s">
        <v>660</v>
      </c>
      <c r="B2438">
        <v>20157</v>
      </c>
      <c r="C2438" t="s">
        <v>3103</v>
      </c>
      <c r="D2438" t="s">
        <v>226</v>
      </c>
      <c r="E2438" t="s">
        <v>659</v>
      </c>
      <c r="F2438">
        <v>20.38</v>
      </c>
      <c r="G2438">
        <v>21.07</v>
      </c>
    </row>
    <row r="2439" spans="1:7" hidden="1" x14ac:dyDescent="0.25">
      <c r="A2439" t="s">
        <v>660</v>
      </c>
      <c r="B2439">
        <v>20158</v>
      </c>
      <c r="C2439" t="s">
        <v>3104</v>
      </c>
      <c r="D2439" t="s">
        <v>226</v>
      </c>
      <c r="E2439" t="s">
        <v>659</v>
      </c>
      <c r="F2439">
        <v>80.930000000000007</v>
      </c>
      <c r="G2439">
        <v>83.67</v>
      </c>
    </row>
    <row r="2440" spans="1:7" hidden="1" x14ac:dyDescent="0.25">
      <c r="A2440" t="s">
        <v>660</v>
      </c>
      <c r="B2440">
        <v>20154</v>
      </c>
      <c r="C2440" t="s">
        <v>3105</v>
      </c>
      <c r="D2440" t="s">
        <v>226</v>
      </c>
      <c r="E2440" t="s">
        <v>659</v>
      </c>
      <c r="F2440">
        <v>4.13</v>
      </c>
      <c r="G2440">
        <v>4.2699999999999996</v>
      </c>
    </row>
    <row r="2441" spans="1:7" hidden="1" x14ac:dyDescent="0.25">
      <c r="A2441" t="s">
        <v>660</v>
      </c>
      <c r="B2441">
        <v>20155</v>
      </c>
      <c r="C2441" t="s">
        <v>3106</v>
      </c>
      <c r="D2441" t="s">
        <v>226</v>
      </c>
      <c r="E2441" t="s">
        <v>659</v>
      </c>
      <c r="F2441">
        <v>6.29</v>
      </c>
      <c r="G2441">
        <v>6.5</v>
      </c>
    </row>
    <row r="2442" spans="1:7" hidden="1" x14ac:dyDescent="0.25">
      <c r="A2442" t="s">
        <v>660</v>
      </c>
      <c r="B2442">
        <v>20156</v>
      </c>
      <c r="C2442" t="s">
        <v>3107</v>
      </c>
      <c r="D2442" t="s">
        <v>226</v>
      </c>
      <c r="E2442" t="s">
        <v>659</v>
      </c>
      <c r="F2442">
        <v>17.68</v>
      </c>
      <c r="G2442">
        <v>18.28</v>
      </c>
    </row>
    <row r="2443" spans="1:7" hidden="1" x14ac:dyDescent="0.25">
      <c r="A2443" t="s">
        <v>660</v>
      </c>
      <c r="B2443">
        <v>3499</v>
      </c>
      <c r="C2443" t="s">
        <v>3108</v>
      </c>
      <c r="D2443" t="s">
        <v>226</v>
      </c>
      <c r="E2443" t="s">
        <v>659</v>
      </c>
      <c r="F2443">
        <v>1.1599999999999999</v>
      </c>
      <c r="G2443">
        <v>1.18</v>
      </c>
    </row>
    <row r="2444" spans="1:7" hidden="1" x14ac:dyDescent="0.25">
      <c r="A2444" t="s">
        <v>660</v>
      </c>
      <c r="B2444">
        <v>3500</v>
      </c>
      <c r="C2444" t="s">
        <v>3109</v>
      </c>
      <c r="D2444" t="s">
        <v>226</v>
      </c>
      <c r="E2444" t="s">
        <v>659</v>
      </c>
      <c r="F2444">
        <v>1.54</v>
      </c>
      <c r="G2444">
        <v>1.57</v>
      </c>
    </row>
    <row r="2445" spans="1:7" hidden="1" x14ac:dyDescent="0.25">
      <c r="A2445" t="s">
        <v>660</v>
      </c>
      <c r="B2445">
        <v>3501</v>
      </c>
      <c r="C2445" t="s">
        <v>3110</v>
      </c>
      <c r="D2445" t="s">
        <v>226</v>
      </c>
      <c r="E2445" t="s">
        <v>659</v>
      </c>
      <c r="F2445">
        <v>4.24</v>
      </c>
      <c r="G2445">
        <v>4.34</v>
      </c>
    </row>
    <row r="2446" spans="1:7" hidden="1" x14ac:dyDescent="0.25">
      <c r="A2446" t="s">
        <v>660</v>
      </c>
      <c r="B2446">
        <v>3502</v>
      </c>
      <c r="C2446" t="s">
        <v>3111</v>
      </c>
      <c r="D2446" t="s">
        <v>226</v>
      </c>
      <c r="E2446" t="s">
        <v>659</v>
      </c>
      <c r="F2446">
        <v>6.1</v>
      </c>
      <c r="G2446">
        <v>6.24</v>
      </c>
    </row>
    <row r="2447" spans="1:7" hidden="1" x14ac:dyDescent="0.25">
      <c r="A2447" t="s">
        <v>660</v>
      </c>
      <c r="B2447">
        <v>3503</v>
      </c>
      <c r="C2447" t="s">
        <v>3112</v>
      </c>
      <c r="D2447" t="s">
        <v>226</v>
      </c>
      <c r="E2447" t="s">
        <v>659</v>
      </c>
      <c r="F2447">
        <v>7.66</v>
      </c>
      <c r="G2447">
        <v>7.84</v>
      </c>
    </row>
    <row r="2448" spans="1:7" hidden="1" x14ac:dyDescent="0.25">
      <c r="A2448" t="s">
        <v>660</v>
      </c>
      <c r="B2448">
        <v>3477</v>
      </c>
      <c r="C2448" t="s">
        <v>3113</v>
      </c>
      <c r="D2448" t="s">
        <v>226</v>
      </c>
      <c r="E2448" t="s">
        <v>659</v>
      </c>
      <c r="F2448">
        <v>27.83</v>
      </c>
      <c r="G2448">
        <v>28.49</v>
      </c>
    </row>
    <row r="2449" spans="1:7" hidden="1" x14ac:dyDescent="0.25">
      <c r="A2449" t="s">
        <v>660</v>
      </c>
      <c r="B2449">
        <v>3478</v>
      </c>
      <c r="C2449" t="s">
        <v>3114</v>
      </c>
      <c r="D2449" t="s">
        <v>226</v>
      </c>
      <c r="E2449" t="s">
        <v>659</v>
      </c>
      <c r="F2449">
        <v>66.739999999999995</v>
      </c>
      <c r="G2449">
        <v>68.31</v>
      </c>
    </row>
    <row r="2450" spans="1:7" hidden="1" x14ac:dyDescent="0.25">
      <c r="A2450" t="s">
        <v>660</v>
      </c>
      <c r="B2450">
        <v>3525</v>
      </c>
      <c r="C2450" t="s">
        <v>3115</v>
      </c>
      <c r="D2450" t="s">
        <v>226</v>
      </c>
      <c r="E2450" t="s">
        <v>659</v>
      </c>
      <c r="F2450">
        <v>82.37</v>
      </c>
      <c r="G2450">
        <v>84.3</v>
      </c>
    </row>
    <row r="2451" spans="1:7" hidden="1" x14ac:dyDescent="0.25">
      <c r="A2451" t="s">
        <v>660</v>
      </c>
      <c r="B2451">
        <v>3511</v>
      </c>
      <c r="C2451" t="s">
        <v>3116</v>
      </c>
      <c r="D2451" t="s">
        <v>226</v>
      </c>
      <c r="E2451" t="s">
        <v>659</v>
      </c>
      <c r="F2451">
        <v>87.36</v>
      </c>
      <c r="G2451">
        <v>89.42</v>
      </c>
    </row>
    <row r="2452" spans="1:7" hidden="1" x14ac:dyDescent="0.25">
      <c r="A2452" t="s">
        <v>660</v>
      </c>
      <c r="B2452">
        <v>38913</v>
      </c>
      <c r="C2452" t="s">
        <v>3117</v>
      </c>
      <c r="D2452" t="s">
        <v>226</v>
      </c>
      <c r="E2452" t="s">
        <v>659</v>
      </c>
      <c r="F2452">
        <f t="shared" ref="F2452:F2470" si="18">G2452</f>
        <v>11.01</v>
      </c>
      <c r="G2452">
        <v>11.01</v>
      </c>
    </row>
    <row r="2453" spans="1:7" hidden="1" x14ac:dyDescent="0.25">
      <c r="A2453" t="s">
        <v>660</v>
      </c>
      <c r="B2453">
        <v>38914</v>
      </c>
      <c r="C2453" t="s">
        <v>3118</v>
      </c>
      <c r="D2453" t="s">
        <v>226</v>
      </c>
      <c r="E2453" t="s">
        <v>659</v>
      </c>
      <c r="F2453">
        <f t="shared" si="18"/>
        <v>13.52</v>
      </c>
      <c r="G2453">
        <v>13.52</v>
      </c>
    </row>
    <row r="2454" spans="1:7" hidden="1" x14ac:dyDescent="0.25">
      <c r="A2454" t="s">
        <v>660</v>
      </c>
      <c r="B2454">
        <v>38915</v>
      </c>
      <c r="C2454" t="s">
        <v>3119</v>
      </c>
      <c r="D2454" t="s">
        <v>226</v>
      </c>
      <c r="E2454" t="s">
        <v>659</v>
      </c>
      <c r="F2454">
        <f t="shared" si="18"/>
        <v>26.06</v>
      </c>
      <c r="G2454">
        <v>26.06</v>
      </c>
    </row>
    <row r="2455" spans="1:7" hidden="1" x14ac:dyDescent="0.25">
      <c r="A2455" t="s">
        <v>660</v>
      </c>
      <c r="B2455">
        <v>38916</v>
      </c>
      <c r="C2455" t="s">
        <v>3120</v>
      </c>
      <c r="D2455" t="s">
        <v>226</v>
      </c>
      <c r="E2455" t="s">
        <v>659</v>
      </c>
      <c r="F2455">
        <f t="shared" si="18"/>
        <v>36.06</v>
      </c>
      <c r="G2455">
        <v>36.06</v>
      </c>
    </row>
    <row r="2456" spans="1:7" hidden="1" x14ac:dyDescent="0.25">
      <c r="A2456" t="s">
        <v>660</v>
      </c>
      <c r="B2456">
        <v>39300</v>
      </c>
      <c r="C2456" t="s">
        <v>3121</v>
      </c>
      <c r="D2456" t="s">
        <v>226</v>
      </c>
      <c r="E2456" t="s">
        <v>659</v>
      </c>
      <c r="F2456">
        <f t="shared" si="18"/>
        <v>9.83</v>
      </c>
      <c r="G2456">
        <v>9.83</v>
      </c>
    </row>
    <row r="2457" spans="1:7" hidden="1" x14ac:dyDescent="0.25">
      <c r="A2457" t="s">
        <v>660</v>
      </c>
      <c r="B2457">
        <v>39301</v>
      </c>
      <c r="C2457" t="s">
        <v>3122</v>
      </c>
      <c r="D2457" t="s">
        <v>226</v>
      </c>
      <c r="E2457" t="s">
        <v>659</v>
      </c>
      <c r="F2457">
        <f t="shared" si="18"/>
        <v>13.16</v>
      </c>
      <c r="G2457">
        <v>13.16</v>
      </c>
    </row>
    <row r="2458" spans="1:7" hidden="1" x14ac:dyDescent="0.25">
      <c r="A2458" t="s">
        <v>660</v>
      </c>
      <c r="B2458">
        <v>39302</v>
      </c>
      <c r="C2458" t="s">
        <v>3123</v>
      </c>
      <c r="D2458" t="s">
        <v>226</v>
      </c>
      <c r="E2458" t="s">
        <v>659</v>
      </c>
      <c r="F2458">
        <f t="shared" si="18"/>
        <v>23.93</v>
      </c>
      <c r="G2458">
        <v>23.93</v>
      </c>
    </row>
    <row r="2459" spans="1:7" hidden="1" x14ac:dyDescent="0.25">
      <c r="A2459" t="s">
        <v>660</v>
      </c>
      <c r="B2459">
        <v>38941</v>
      </c>
      <c r="C2459" t="s">
        <v>3124</v>
      </c>
      <c r="D2459" t="s">
        <v>226</v>
      </c>
      <c r="E2459" t="s">
        <v>659</v>
      </c>
      <c r="F2459">
        <f t="shared" si="18"/>
        <v>17.77</v>
      </c>
      <c r="G2459">
        <v>17.77</v>
      </c>
    </row>
    <row r="2460" spans="1:7" hidden="1" x14ac:dyDescent="0.25">
      <c r="A2460" t="s">
        <v>660</v>
      </c>
      <c r="B2460">
        <v>38923</v>
      </c>
      <c r="C2460" t="s">
        <v>3125</v>
      </c>
      <c r="D2460" t="s">
        <v>226</v>
      </c>
      <c r="E2460" t="s">
        <v>659</v>
      </c>
      <c r="F2460">
        <f t="shared" si="18"/>
        <v>11.78</v>
      </c>
      <c r="G2460">
        <v>11.78</v>
      </c>
    </row>
    <row r="2461" spans="1:7" hidden="1" x14ac:dyDescent="0.25">
      <c r="A2461" t="s">
        <v>660</v>
      </c>
      <c r="B2461">
        <v>38925</v>
      </c>
      <c r="C2461" t="s">
        <v>3126</v>
      </c>
      <c r="D2461" t="s">
        <v>226</v>
      </c>
      <c r="E2461" t="s">
        <v>659</v>
      </c>
      <c r="F2461">
        <f t="shared" si="18"/>
        <v>13.67</v>
      </c>
      <c r="G2461">
        <v>13.67</v>
      </c>
    </row>
    <row r="2462" spans="1:7" hidden="1" x14ac:dyDescent="0.25">
      <c r="A2462" t="s">
        <v>660</v>
      </c>
      <c r="B2462">
        <v>38926</v>
      </c>
      <c r="C2462" t="s">
        <v>3127</v>
      </c>
      <c r="D2462" t="s">
        <v>226</v>
      </c>
      <c r="E2462" t="s">
        <v>659</v>
      </c>
      <c r="F2462">
        <f t="shared" si="18"/>
        <v>16.22</v>
      </c>
      <c r="G2462">
        <v>16.22</v>
      </c>
    </row>
    <row r="2463" spans="1:7" hidden="1" x14ac:dyDescent="0.25">
      <c r="A2463" t="s">
        <v>660</v>
      </c>
      <c r="B2463">
        <v>38927</v>
      </c>
      <c r="C2463" t="s">
        <v>3128</v>
      </c>
      <c r="D2463" t="s">
        <v>226</v>
      </c>
      <c r="E2463" t="s">
        <v>659</v>
      </c>
      <c r="F2463">
        <f t="shared" si="18"/>
        <v>20.48</v>
      </c>
      <c r="G2463">
        <v>20.48</v>
      </c>
    </row>
    <row r="2464" spans="1:7" hidden="1" x14ac:dyDescent="0.25">
      <c r="A2464" t="s">
        <v>660</v>
      </c>
      <c r="B2464">
        <v>39304</v>
      </c>
      <c r="C2464" t="s">
        <v>3129</v>
      </c>
      <c r="D2464" t="s">
        <v>226</v>
      </c>
      <c r="E2464" t="s">
        <v>659</v>
      </c>
      <c r="F2464">
        <f t="shared" si="18"/>
        <v>11.63</v>
      </c>
      <c r="G2464">
        <v>11.63</v>
      </c>
    </row>
    <row r="2465" spans="1:7" hidden="1" x14ac:dyDescent="0.25">
      <c r="A2465" t="s">
        <v>660</v>
      </c>
      <c r="B2465">
        <v>39305</v>
      </c>
      <c r="C2465" t="s">
        <v>3130</v>
      </c>
      <c r="D2465" t="s">
        <v>226</v>
      </c>
      <c r="E2465" t="s">
        <v>659</v>
      </c>
      <c r="F2465">
        <f t="shared" si="18"/>
        <v>12.76</v>
      </c>
      <c r="G2465">
        <v>12.76</v>
      </c>
    </row>
    <row r="2466" spans="1:7" hidden="1" x14ac:dyDescent="0.25">
      <c r="A2466" t="s">
        <v>660</v>
      </c>
      <c r="B2466">
        <v>39306</v>
      </c>
      <c r="C2466" t="s">
        <v>3131</v>
      </c>
      <c r="D2466" t="s">
        <v>226</v>
      </c>
      <c r="E2466" t="s">
        <v>659</v>
      </c>
      <c r="F2466">
        <f t="shared" si="18"/>
        <v>17.149999999999999</v>
      </c>
      <c r="G2466">
        <v>17.149999999999999</v>
      </c>
    </row>
    <row r="2467" spans="1:7" hidden="1" x14ac:dyDescent="0.25">
      <c r="A2467" t="s">
        <v>660</v>
      </c>
      <c r="B2467">
        <v>38928</v>
      </c>
      <c r="C2467" t="s">
        <v>3132</v>
      </c>
      <c r="D2467" t="s">
        <v>226</v>
      </c>
      <c r="E2467" t="s">
        <v>659</v>
      </c>
      <c r="F2467">
        <f t="shared" si="18"/>
        <v>22.67</v>
      </c>
      <c r="G2467">
        <v>22.67</v>
      </c>
    </row>
    <row r="2468" spans="1:7" hidden="1" x14ac:dyDescent="0.25">
      <c r="A2468" t="s">
        <v>660</v>
      </c>
      <c r="B2468">
        <v>38917</v>
      </c>
      <c r="C2468" t="s">
        <v>3133</v>
      </c>
      <c r="D2468" t="s">
        <v>226</v>
      </c>
      <c r="E2468" t="s">
        <v>659</v>
      </c>
      <c r="F2468">
        <f t="shared" si="18"/>
        <v>12.67</v>
      </c>
      <c r="G2468">
        <v>12.67</v>
      </c>
    </row>
    <row r="2469" spans="1:7" hidden="1" x14ac:dyDescent="0.25">
      <c r="A2469" t="s">
        <v>660</v>
      </c>
      <c r="B2469">
        <v>38919</v>
      </c>
      <c r="C2469" t="s">
        <v>3134</v>
      </c>
      <c r="D2469" t="s">
        <v>226</v>
      </c>
      <c r="E2469" t="s">
        <v>659</v>
      </c>
      <c r="F2469">
        <f t="shared" si="18"/>
        <v>14.87</v>
      </c>
      <c r="G2469">
        <v>14.87</v>
      </c>
    </row>
    <row r="2470" spans="1:7" hidden="1" x14ac:dyDescent="0.25">
      <c r="A2470" t="s">
        <v>660</v>
      </c>
      <c r="B2470">
        <v>38922</v>
      </c>
      <c r="C2470" t="s">
        <v>3135</v>
      </c>
      <c r="D2470" t="s">
        <v>226</v>
      </c>
      <c r="E2470" t="s">
        <v>659</v>
      </c>
      <c r="F2470">
        <f t="shared" si="18"/>
        <v>19.95</v>
      </c>
      <c r="G2470">
        <v>19.95</v>
      </c>
    </row>
    <row r="2471" spans="1:7" hidden="1" x14ac:dyDescent="0.25">
      <c r="A2471" t="s">
        <v>660</v>
      </c>
      <c r="B2471">
        <v>45198</v>
      </c>
      <c r="C2471" t="s">
        <v>3136</v>
      </c>
      <c r="D2471" t="s">
        <v>226</v>
      </c>
      <c r="E2471" t="s">
        <v>659</v>
      </c>
      <c r="F2471">
        <v>59.85</v>
      </c>
      <c r="G2471">
        <v>51.74</v>
      </c>
    </row>
    <row r="2472" spans="1:7" hidden="1" x14ac:dyDescent="0.25">
      <c r="A2472" t="s">
        <v>660</v>
      </c>
      <c r="B2472">
        <v>45196</v>
      </c>
      <c r="C2472" t="s">
        <v>3137</v>
      </c>
      <c r="D2472" t="s">
        <v>226</v>
      </c>
      <c r="E2472" t="s">
        <v>659</v>
      </c>
      <c r="F2472">
        <v>123.4</v>
      </c>
      <c r="G2472">
        <v>106.67</v>
      </c>
    </row>
    <row r="2473" spans="1:7" hidden="1" x14ac:dyDescent="0.25">
      <c r="A2473" t="s">
        <v>660</v>
      </c>
      <c r="B2473">
        <v>12032</v>
      </c>
      <c r="C2473" t="s">
        <v>3138</v>
      </c>
      <c r="D2473" t="s">
        <v>1121</v>
      </c>
      <c r="E2473" t="s">
        <v>659</v>
      </c>
      <c r="F2473">
        <v>61.17</v>
      </c>
      <c r="G2473">
        <v>54.61</v>
      </c>
    </row>
    <row r="2474" spans="1:7" hidden="1" x14ac:dyDescent="0.25">
      <c r="A2474" t="s">
        <v>660</v>
      </c>
      <c r="B2474">
        <v>12030</v>
      </c>
      <c r="C2474" t="s">
        <v>3139</v>
      </c>
      <c r="D2474" t="s">
        <v>1121</v>
      </c>
      <c r="E2474" t="s">
        <v>659</v>
      </c>
      <c r="F2474">
        <v>57.47</v>
      </c>
      <c r="G2474">
        <v>51.31</v>
      </c>
    </row>
    <row r="2475" spans="1:7" hidden="1" x14ac:dyDescent="0.25">
      <c r="A2475" t="s">
        <v>660</v>
      </c>
      <c r="B2475">
        <v>45207</v>
      </c>
      <c r="C2475" t="s">
        <v>3140</v>
      </c>
      <c r="D2475" t="s">
        <v>226</v>
      </c>
      <c r="E2475" t="s">
        <v>659</v>
      </c>
      <c r="F2475">
        <v>394.19</v>
      </c>
      <c r="G2475">
        <v>340.75</v>
      </c>
    </row>
    <row r="2476" spans="1:7" hidden="1" x14ac:dyDescent="0.25">
      <c r="A2476" t="s">
        <v>660</v>
      </c>
      <c r="B2476">
        <v>14157</v>
      </c>
      <c r="C2476" t="s">
        <v>3141</v>
      </c>
      <c r="D2476" t="s">
        <v>226</v>
      </c>
      <c r="E2476" t="s">
        <v>659</v>
      </c>
      <c r="F2476">
        <v>2.79</v>
      </c>
      <c r="G2476">
        <v>1.32</v>
      </c>
    </row>
    <row r="2477" spans="1:7" hidden="1" x14ac:dyDescent="0.25">
      <c r="A2477" t="s">
        <v>660</v>
      </c>
      <c r="B2477">
        <v>10908</v>
      </c>
      <c r="C2477" t="s">
        <v>3142</v>
      </c>
      <c r="D2477" t="s">
        <v>226</v>
      </c>
      <c r="E2477" t="s">
        <v>659</v>
      </c>
      <c r="F2477">
        <v>20.03</v>
      </c>
      <c r="G2477">
        <v>20.71</v>
      </c>
    </row>
    <row r="2478" spans="1:7" hidden="1" x14ac:dyDescent="0.25">
      <c r="A2478" t="s">
        <v>660</v>
      </c>
      <c r="B2478">
        <v>10909</v>
      </c>
      <c r="C2478" t="s">
        <v>3143</v>
      </c>
      <c r="D2478" t="s">
        <v>226</v>
      </c>
      <c r="E2478" t="s">
        <v>659</v>
      </c>
      <c r="F2478">
        <v>23.3</v>
      </c>
      <c r="G2478">
        <v>24.09</v>
      </c>
    </row>
    <row r="2479" spans="1:7" hidden="1" x14ac:dyDescent="0.25">
      <c r="A2479" t="s">
        <v>660</v>
      </c>
      <c r="B2479">
        <v>3669</v>
      </c>
      <c r="C2479" t="s">
        <v>3144</v>
      </c>
      <c r="D2479" t="s">
        <v>226</v>
      </c>
      <c r="E2479" t="s">
        <v>659</v>
      </c>
      <c r="F2479">
        <v>14.32</v>
      </c>
      <c r="G2479">
        <v>14.8</v>
      </c>
    </row>
    <row r="2480" spans="1:7" hidden="1" x14ac:dyDescent="0.25">
      <c r="A2480" t="s">
        <v>660</v>
      </c>
      <c r="B2480">
        <v>20139</v>
      </c>
      <c r="C2480" t="s">
        <v>3145</v>
      </c>
      <c r="D2480" t="s">
        <v>226</v>
      </c>
      <c r="E2480" t="s">
        <v>659</v>
      </c>
      <c r="F2480">
        <v>123.12</v>
      </c>
      <c r="G2480">
        <v>127.29</v>
      </c>
    </row>
    <row r="2481" spans="1:7" hidden="1" x14ac:dyDescent="0.25">
      <c r="A2481" t="s">
        <v>660</v>
      </c>
      <c r="B2481">
        <v>3668</v>
      </c>
      <c r="C2481" t="s">
        <v>3146</v>
      </c>
      <c r="D2481" t="s">
        <v>226</v>
      </c>
      <c r="E2481" t="s">
        <v>659</v>
      </c>
      <c r="F2481">
        <v>43.98</v>
      </c>
      <c r="G2481">
        <v>45.47</v>
      </c>
    </row>
    <row r="2482" spans="1:7" hidden="1" x14ac:dyDescent="0.25">
      <c r="A2482" t="s">
        <v>660</v>
      </c>
      <c r="B2482">
        <v>10911</v>
      </c>
      <c r="C2482" t="s">
        <v>3147</v>
      </c>
      <c r="D2482" t="s">
        <v>226</v>
      </c>
      <c r="E2482" t="s">
        <v>659</v>
      </c>
      <c r="F2482">
        <v>19.28</v>
      </c>
      <c r="G2482">
        <v>19.93</v>
      </c>
    </row>
    <row r="2483" spans="1:7" hidden="1" x14ac:dyDescent="0.25">
      <c r="A2483" t="s">
        <v>660</v>
      </c>
      <c r="B2483">
        <v>3659</v>
      </c>
      <c r="C2483" t="s">
        <v>3148</v>
      </c>
      <c r="D2483" t="s">
        <v>226</v>
      </c>
      <c r="E2483" t="s">
        <v>659</v>
      </c>
      <c r="F2483">
        <v>19.649999999999999</v>
      </c>
      <c r="G2483">
        <v>20.309999999999999</v>
      </c>
    </row>
    <row r="2484" spans="1:7" hidden="1" x14ac:dyDescent="0.25">
      <c r="A2484" t="s">
        <v>660</v>
      </c>
      <c r="B2484">
        <v>3660</v>
      </c>
      <c r="C2484" t="s">
        <v>3149</v>
      </c>
      <c r="D2484" t="s">
        <v>226</v>
      </c>
      <c r="E2484" t="s">
        <v>659</v>
      </c>
      <c r="F2484">
        <v>25.4</v>
      </c>
      <c r="G2484">
        <v>26.26</v>
      </c>
    </row>
    <row r="2485" spans="1:7" hidden="1" x14ac:dyDescent="0.25">
      <c r="A2485" t="s">
        <v>660</v>
      </c>
      <c r="B2485">
        <v>20144</v>
      </c>
      <c r="C2485" t="s">
        <v>3150</v>
      </c>
      <c r="D2485" t="s">
        <v>226</v>
      </c>
      <c r="E2485" t="s">
        <v>659</v>
      </c>
      <c r="F2485">
        <v>56.89</v>
      </c>
      <c r="G2485">
        <v>58.81</v>
      </c>
    </row>
    <row r="2486" spans="1:7" hidden="1" x14ac:dyDescent="0.25">
      <c r="A2486" t="s">
        <v>660</v>
      </c>
      <c r="B2486">
        <v>20143</v>
      </c>
      <c r="C2486" t="s">
        <v>3151</v>
      </c>
      <c r="D2486" t="s">
        <v>226</v>
      </c>
      <c r="E2486" t="s">
        <v>659</v>
      </c>
      <c r="F2486">
        <v>72.78</v>
      </c>
      <c r="G2486">
        <v>75.25</v>
      </c>
    </row>
    <row r="2487" spans="1:7" hidden="1" x14ac:dyDescent="0.25">
      <c r="A2487" t="s">
        <v>660</v>
      </c>
      <c r="B2487">
        <v>20145</v>
      </c>
      <c r="C2487" t="s">
        <v>3152</v>
      </c>
      <c r="D2487" t="s">
        <v>226</v>
      </c>
      <c r="E2487" t="s">
        <v>659</v>
      </c>
      <c r="F2487">
        <v>140.4</v>
      </c>
      <c r="G2487">
        <v>145.15</v>
      </c>
    </row>
    <row r="2488" spans="1:7" hidden="1" x14ac:dyDescent="0.25">
      <c r="A2488" t="s">
        <v>660</v>
      </c>
      <c r="B2488">
        <v>20146</v>
      </c>
      <c r="C2488" t="s">
        <v>3153</v>
      </c>
      <c r="D2488" t="s">
        <v>226</v>
      </c>
      <c r="E2488" t="s">
        <v>659</v>
      </c>
      <c r="F2488">
        <v>191.92</v>
      </c>
      <c r="G2488">
        <v>198.42</v>
      </c>
    </row>
    <row r="2489" spans="1:7" hidden="1" x14ac:dyDescent="0.25">
      <c r="A2489" t="s">
        <v>660</v>
      </c>
      <c r="B2489">
        <v>20140</v>
      </c>
      <c r="C2489" t="s">
        <v>3154</v>
      </c>
      <c r="D2489" t="s">
        <v>226</v>
      </c>
      <c r="E2489" t="s">
        <v>659</v>
      </c>
      <c r="F2489">
        <v>9</v>
      </c>
      <c r="G2489">
        <v>9.31</v>
      </c>
    </row>
    <row r="2490" spans="1:7" hidden="1" x14ac:dyDescent="0.25">
      <c r="A2490" t="s">
        <v>660</v>
      </c>
      <c r="B2490">
        <v>20141</v>
      </c>
      <c r="C2490" t="s">
        <v>3155</v>
      </c>
      <c r="D2490" t="s">
        <v>226</v>
      </c>
      <c r="E2490" t="s">
        <v>659</v>
      </c>
      <c r="F2490">
        <v>22.05</v>
      </c>
      <c r="G2490">
        <v>22.8</v>
      </c>
    </row>
    <row r="2491" spans="1:7" hidden="1" x14ac:dyDescent="0.25">
      <c r="A2491" t="s">
        <v>660</v>
      </c>
      <c r="B2491">
        <v>20142</v>
      </c>
      <c r="C2491" t="s">
        <v>3156</v>
      </c>
      <c r="D2491" t="s">
        <v>226</v>
      </c>
      <c r="E2491" t="s">
        <v>659</v>
      </c>
      <c r="F2491">
        <v>38.79</v>
      </c>
      <c r="G2491">
        <v>40.1</v>
      </c>
    </row>
    <row r="2492" spans="1:7" hidden="1" x14ac:dyDescent="0.25">
      <c r="A2492" t="s">
        <v>660</v>
      </c>
      <c r="B2492">
        <v>3670</v>
      </c>
      <c r="C2492" t="s">
        <v>3157</v>
      </c>
      <c r="D2492" t="s">
        <v>226</v>
      </c>
      <c r="E2492" t="s">
        <v>659</v>
      </c>
      <c r="F2492">
        <v>25.22</v>
      </c>
      <c r="G2492">
        <v>26.08</v>
      </c>
    </row>
    <row r="2493" spans="1:7" hidden="1" x14ac:dyDescent="0.25">
      <c r="A2493" t="s">
        <v>660</v>
      </c>
      <c r="B2493">
        <v>3666</v>
      </c>
      <c r="C2493" t="s">
        <v>3158</v>
      </c>
      <c r="D2493" t="s">
        <v>226</v>
      </c>
      <c r="E2493" t="s">
        <v>659</v>
      </c>
      <c r="F2493">
        <v>3.97</v>
      </c>
      <c r="G2493">
        <v>4.0999999999999996</v>
      </c>
    </row>
    <row r="2494" spans="1:7" hidden="1" x14ac:dyDescent="0.25">
      <c r="A2494" t="s">
        <v>660</v>
      </c>
      <c r="B2494">
        <v>3662</v>
      </c>
      <c r="C2494" t="s">
        <v>3159</v>
      </c>
      <c r="D2494" t="s">
        <v>226</v>
      </c>
      <c r="E2494" t="s">
        <v>659</v>
      </c>
      <c r="F2494">
        <v>10.35</v>
      </c>
      <c r="G2494">
        <v>10.7</v>
      </c>
    </row>
    <row r="2495" spans="1:7" hidden="1" x14ac:dyDescent="0.25">
      <c r="A2495" t="s">
        <v>660</v>
      </c>
      <c r="B2495">
        <v>3658</v>
      </c>
      <c r="C2495" t="s">
        <v>3160</v>
      </c>
      <c r="D2495" t="s">
        <v>226</v>
      </c>
      <c r="E2495" t="s">
        <v>659</v>
      </c>
      <c r="F2495">
        <v>19.61</v>
      </c>
      <c r="G2495">
        <v>20.27</v>
      </c>
    </row>
    <row r="2496" spans="1:7" hidden="1" x14ac:dyDescent="0.25">
      <c r="A2496" t="s">
        <v>660</v>
      </c>
      <c r="B2496">
        <v>42696</v>
      </c>
      <c r="C2496" t="s">
        <v>3161</v>
      </c>
      <c r="D2496" t="s">
        <v>226</v>
      </c>
      <c r="E2496" t="s">
        <v>659</v>
      </c>
      <c r="F2496">
        <v>155.52000000000001</v>
      </c>
      <c r="G2496">
        <v>160.78</v>
      </c>
    </row>
    <row r="2497" spans="1:7" hidden="1" x14ac:dyDescent="0.25">
      <c r="A2497" t="s">
        <v>660</v>
      </c>
      <c r="B2497">
        <v>39875</v>
      </c>
      <c r="C2497" t="s">
        <v>3162</v>
      </c>
      <c r="D2497" t="s">
        <v>226</v>
      </c>
      <c r="E2497" t="s">
        <v>659</v>
      </c>
      <c r="F2497">
        <f t="shared" ref="F2497:F2503" si="19">G2497</f>
        <v>689.33</v>
      </c>
      <c r="G2497">
        <v>689.33</v>
      </c>
    </row>
    <row r="2498" spans="1:7" hidden="1" x14ac:dyDescent="0.25">
      <c r="A2498" t="s">
        <v>660</v>
      </c>
      <c r="B2498">
        <v>39876</v>
      </c>
      <c r="C2498" t="s">
        <v>3163</v>
      </c>
      <c r="D2498" t="s">
        <v>226</v>
      </c>
      <c r="E2498" t="s">
        <v>659</v>
      </c>
      <c r="F2498">
        <f t="shared" si="19"/>
        <v>863.04</v>
      </c>
      <c r="G2498">
        <v>863.04</v>
      </c>
    </row>
    <row r="2499" spans="1:7" hidden="1" x14ac:dyDescent="0.25">
      <c r="A2499" t="s">
        <v>660</v>
      </c>
      <c r="B2499">
        <v>39877</v>
      </c>
      <c r="C2499" t="s">
        <v>3164</v>
      </c>
      <c r="D2499" t="s">
        <v>226</v>
      </c>
      <c r="E2499" t="s">
        <v>659</v>
      </c>
      <c r="F2499">
        <f t="shared" si="19"/>
        <v>1197</v>
      </c>
      <c r="G2499" s="538">
        <v>1197</v>
      </c>
    </row>
    <row r="2500" spans="1:7" hidden="1" x14ac:dyDescent="0.25">
      <c r="A2500" t="s">
        <v>660</v>
      </c>
      <c r="B2500">
        <v>39878</v>
      </c>
      <c r="C2500" t="s">
        <v>3165</v>
      </c>
      <c r="D2500" t="s">
        <v>226</v>
      </c>
      <c r="E2500" t="s">
        <v>659</v>
      </c>
      <c r="F2500">
        <f t="shared" si="19"/>
        <v>1581.04</v>
      </c>
      <c r="G2500" s="538">
        <v>1581.04</v>
      </c>
    </row>
    <row r="2501" spans="1:7" hidden="1" x14ac:dyDescent="0.25">
      <c r="A2501" t="s">
        <v>660</v>
      </c>
      <c r="B2501">
        <v>39872</v>
      </c>
      <c r="C2501" t="s">
        <v>3166</v>
      </c>
      <c r="D2501" t="s">
        <v>226</v>
      </c>
      <c r="E2501" t="s">
        <v>659</v>
      </c>
      <c r="F2501">
        <f t="shared" si="19"/>
        <v>472.72</v>
      </c>
      <c r="G2501">
        <v>472.72</v>
      </c>
    </row>
    <row r="2502" spans="1:7" hidden="1" x14ac:dyDescent="0.25">
      <c r="A2502" t="s">
        <v>660</v>
      </c>
      <c r="B2502">
        <v>39873</v>
      </c>
      <c r="C2502" t="s">
        <v>3167</v>
      </c>
      <c r="D2502" t="s">
        <v>226</v>
      </c>
      <c r="E2502" t="s">
        <v>659</v>
      </c>
      <c r="F2502">
        <f t="shared" si="19"/>
        <v>548.33000000000004</v>
      </c>
      <c r="G2502">
        <v>548.33000000000004</v>
      </c>
    </row>
    <row r="2503" spans="1:7" hidden="1" x14ac:dyDescent="0.25">
      <c r="A2503" t="s">
        <v>660</v>
      </c>
      <c r="B2503">
        <v>39874</v>
      </c>
      <c r="C2503" t="s">
        <v>3168</v>
      </c>
      <c r="D2503" t="s">
        <v>226</v>
      </c>
      <c r="E2503" t="s">
        <v>659</v>
      </c>
      <c r="F2503">
        <f t="shared" si="19"/>
        <v>602.27</v>
      </c>
      <c r="G2503">
        <v>602.27</v>
      </c>
    </row>
    <row r="2504" spans="1:7" hidden="1" x14ac:dyDescent="0.25">
      <c r="A2504" t="s">
        <v>660</v>
      </c>
      <c r="B2504">
        <v>3674</v>
      </c>
      <c r="C2504" t="s">
        <v>3169</v>
      </c>
      <c r="D2504" t="s">
        <v>704</v>
      </c>
      <c r="E2504" t="s">
        <v>659</v>
      </c>
      <c r="F2504">
        <v>192.58</v>
      </c>
      <c r="G2504">
        <v>91.92</v>
      </c>
    </row>
    <row r="2505" spans="1:7" hidden="1" x14ac:dyDescent="0.25">
      <c r="A2505" t="s">
        <v>660</v>
      </c>
      <c r="B2505">
        <v>3681</v>
      </c>
      <c r="C2505" t="s">
        <v>3170</v>
      </c>
      <c r="D2505" t="s">
        <v>704</v>
      </c>
      <c r="E2505" t="s">
        <v>659</v>
      </c>
      <c r="F2505">
        <v>286.52999999999997</v>
      </c>
      <c r="G2505">
        <v>136.77000000000001</v>
      </c>
    </row>
    <row r="2506" spans="1:7" hidden="1" x14ac:dyDescent="0.25">
      <c r="A2506" t="s">
        <v>660</v>
      </c>
      <c r="B2506">
        <v>3676</v>
      </c>
      <c r="C2506" t="s">
        <v>3171</v>
      </c>
      <c r="D2506" t="s">
        <v>704</v>
      </c>
      <c r="E2506" t="s">
        <v>659</v>
      </c>
      <c r="F2506" s="538">
        <v>1078.29</v>
      </c>
      <c r="G2506">
        <v>514.72</v>
      </c>
    </row>
    <row r="2507" spans="1:7" hidden="1" x14ac:dyDescent="0.25">
      <c r="A2507" t="s">
        <v>660</v>
      </c>
      <c r="B2507">
        <v>3679</v>
      </c>
      <c r="C2507" t="s">
        <v>3172</v>
      </c>
      <c r="D2507" t="s">
        <v>704</v>
      </c>
      <c r="E2507" t="s">
        <v>659</v>
      </c>
      <c r="F2507">
        <v>892.1</v>
      </c>
      <c r="G2507">
        <v>425.84</v>
      </c>
    </row>
    <row r="2508" spans="1:7" hidden="1" x14ac:dyDescent="0.25">
      <c r="A2508" t="s">
        <v>660</v>
      </c>
      <c r="B2508">
        <v>3672</v>
      </c>
      <c r="C2508" t="s">
        <v>3173</v>
      </c>
      <c r="D2508" t="s">
        <v>704</v>
      </c>
      <c r="E2508" t="s">
        <v>659</v>
      </c>
      <c r="F2508">
        <v>3.04</v>
      </c>
      <c r="G2508">
        <v>1.45</v>
      </c>
    </row>
    <row r="2509" spans="1:7" hidden="1" x14ac:dyDescent="0.25">
      <c r="A2509" t="s">
        <v>660</v>
      </c>
      <c r="B2509">
        <v>3671</v>
      </c>
      <c r="C2509" t="s">
        <v>3174</v>
      </c>
      <c r="D2509" t="s">
        <v>704</v>
      </c>
      <c r="E2509" t="s">
        <v>172</v>
      </c>
      <c r="F2509">
        <v>2.87</v>
      </c>
      <c r="G2509">
        <v>1.37</v>
      </c>
    </row>
    <row r="2510" spans="1:7" hidden="1" x14ac:dyDescent="0.25">
      <c r="A2510" t="s">
        <v>660</v>
      </c>
      <c r="B2510">
        <v>3673</v>
      </c>
      <c r="C2510" t="s">
        <v>3175</v>
      </c>
      <c r="D2510" t="s">
        <v>704</v>
      </c>
      <c r="E2510" t="s">
        <v>659</v>
      </c>
      <c r="F2510">
        <v>4.51</v>
      </c>
      <c r="G2510">
        <v>2.15</v>
      </c>
    </row>
    <row r="2511" spans="1:7" x14ac:dyDescent="0.25">
      <c r="A2511" t="s">
        <v>660</v>
      </c>
      <c r="B2511">
        <v>38394</v>
      </c>
      <c r="C2511" t="s">
        <v>3176</v>
      </c>
      <c r="D2511" t="s">
        <v>226</v>
      </c>
      <c r="E2511" t="s">
        <v>659</v>
      </c>
      <c r="F2511">
        <v>231.96</v>
      </c>
      <c r="G2511">
        <v>200.52</v>
      </c>
    </row>
    <row r="2512" spans="1:7" hidden="1" x14ac:dyDescent="0.25">
      <c r="A2512" t="s">
        <v>660</v>
      </c>
      <c r="B2512">
        <v>3729</v>
      </c>
      <c r="C2512" t="s">
        <v>3177</v>
      </c>
      <c r="D2512" t="s">
        <v>226</v>
      </c>
      <c r="E2512" t="s">
        <v>659</v>
      </c>
      <c r="F2512">
        <v>141.91</v>
      </c>
      <c r="G2512">
        <v>145.25</v>
      </c>
    </row>
    <row r="2513" spans="1:7" hidden="1" x14ac:dyDescent="0.25">
      <c r="A2513" t="s">
        <v>660</v>
      </c>
      <c r="B2513">
        <v>39357</v>
      </c>
      <c r="C2513" t="s">
        <v>3178</v>
      </c>
      <c r="D2513" t="s">
        <v>226</v>
      </c>
      <c r="E2513" t="s">
        <v>659</v>
      </c>
      <c r="F2513">
        <f t="shared" ref="F2513:F2518" si="20">G2513</f>
        <v>61.02</v>
      </c>
      <c r="G2513">
        <v>61.02</v>
      </c>
    </row>
    <row r="2514" spans="1:7" hidden="1" x14ac:dyDescent="0.25">
      <c r="A2514" t="s">
        <v>660</v>
      </c>
      <c r="B2514">
        <v>39358</v>
      </c>
      <c r="C2514" t="s">
        <v>3179</v>
      </c>
      <c r="D2514" t="s">
        <v>226</v>
      </c>
      <c r="E2514" t="s">
        <v>659</v>
      </c>
      <c r="F2514">
        <f t="shared" si="20"/>
        <v>61.02</v>
      </c>
      <c r="G2514">
        <v>61.02</v>
      </c>
    </row>
    <row r="2515" spans="1:7" hidden="1" x14ac:dyDescent="0.25">
      <c r="A2515" t="s">
        <v>660</v>
      </c>
      <c r="B2515">
        <v>39355</v>
      </c>
      <c r="C2515" t="s">
        <v>3180</v>
      </c>
      <c r="D2515" t="s">
        <v>226</v>
      </c>
      <c r="E2515" t="s">
        <v>659</v>
      </c>
      <c r="F2515">
        <f t="shared" si="20"/>
        <v>88.91</v>
      </c>
      <c r="G2515">
        <v>88.91</v>
      </c>
    </row>
    <row r="2516" spans="1:7" hidden="1" x14ac:dyDescent="0.25">
      <c r="A2516" t="s">
        <v>660</v>
      </c>
      <c r="B2516">
        <v>39356</v>
      </c>
      <c r="C2516" t="s">
        <v>3181</v>
      </c>
      <c r="D2516" t="s">
        <v>226</v>
      </c>
      <c r="E2516" t="s">
        <v>659</v>
      </c>
      <c r="F2516">
        <f t="shared" si="20"/>
        <v>84.86</v>
      </c>
      <c r="G2516">
        <v>84.86</v>
      </c>
    </row>
    <row r="2517" spans="1:7" hidden="1" x14ac:dyDescent="0.25">
      <c r="A2517" t="s">
        <v>660</v>
      </c>
      <c r="B2517">
        <v>39353</v>
      </c>
      <c r="C2517" t="s">
        <v>3182</v>
      </c>
      <c r="D2517" t="s">
        <v>226</v>
      </c>
      <c r="E2517" t="s">
        <v>659</v>
      </c>
      <c r="F2517">
        <f t="shared" si="20"/>
        <v>194.8</v>
      </c>
      <c r="G2517">
        <v>194.8</v>
      </c>
    </row>
    <row r="2518" spans="1:7" hidden="1" x14ac:dyDescent="0.25">
      <c r="A2518" t="s">
        <v>660</v>
      </c>
      <c r="B2518">
        <v>39354</v>
      </c>
      <c r="C2518" t="s">
        <v>3183</v>
      </c>
      <c r="D2518" t="s">
        <v>226</v>
      </c>
      <c r="E2518" t="s">
        <v>659</v>
      </c>
      <c r="F2518">
        <f t="shared" si="20"/>
        <v>410.99</v>
      </c>
      <c r="G2518">
        <v>410.99</v>
      </c>
    </row>
    <row r="2519" spans="1:7" hidden="1" x14ac:dyDescent="0.25">
      <c r="A2519" t="s">
        <v>660</v>
      </c>
      <c r="B2519">
        <v>39398</v>
      </c>
      <c r="C2519" t="s">
        <v>3184</v>
      </c>
      <c r="D2519" t="s">
        <v>226</v>
      </c>
      <c r="E2519" t="s">
        <v>659</v>
      </c>
      <c r="F2519">
        <v>79.09</v>
      </c>
      <c r="G2519">
        <v>121.27</v>
      </c>
    </row>
    <row r="2520" spans="1:7" hidden="1" x14ac:dyDescent="0.25">
      <c r="A2520" t="s">
        <v>660</v>
      </c>
      <c r="B2520">
        <v>13343</v>
      </c>
      <c r="C2520" t="s">
        <v>3185</v>
      </c>
      <c r="D2520" t="s">
        <v>226</v>
      </c>
      <c r="E2520" t="s">
        <v>659</v>
      </c>
      <c r="F2520">
        <v>57.29</v>
      </c>
      <c r="G2520">
        <v>45.33</v>
      </c>
    </row>
    <row r="2521" spans="1:7" hidden="1" x14ac:dyDescent="0.25">
      <c r="A2521" t="s">
        <v>660</v>
      </c>
      <c r="B2521">
        <v>12118</v>
      </c>
      <c r="C2521" t="s">
        <v>3186</v>
      </c>
      <c r="D2521" t="s">
        <v>226</v>
      </c>
      <c r="E2521" t="s">
        <v>659</v>
      </c>
      <c r="F2521">
        <v>20.92</v>
      </c>
      <c r="G2521">
        <v>23.11</v>
      </c>
    </row>
    <row r="2522" spans="1:7" hidden="1" x14ac:dyDescent="0.25">
      <c r="A2522" t="s">
        <v>660</v>
      </c>
      <c r="B2522">
        <v>39482</v>
      </c>
      <c r="C2522" t="s">
        <v>3187</v>
      </c>
      <c r="D2522" t="s">
        <v>226</v>
      </c>
      <c r="E2522" t="s">
        <v>659</v>
      </c>
      <c r="F2522">
        <v>617.76</v>
      </c>
      <c r="G2522">
        <v>687.44</v>
      </c>
    </row>
    <row r="2523" spans="1:7" hidden="1" x14ac:dyDescent="0.25">
      <c r="A2523" t="s">
        <v>660</v>
      </c>
      <c r="B2523">
        <v>39486</v>
      </c>
      <c r="C2523" t="s">
        <v>3188</v>
      </c>
      <c r="D2523" t="s">
        <v>226</v>
      </c>
      <c r="E2523" t="s">
        <v>659</v>
      </c>
      <c r="F2523">
        <v>504.18</v>
      </c>
      <c r="G2523">
        <v>561.04999999999995</v>
      </c>
    </row>
    <row r="2524" spans="1:7" hidden="1" x14ac:dyDescent="0.25">
      <c r="A2524" t="s">
        <v>660</v>
      </c>
      <c r="B2524">
        <v>39484</v>
      </c>
      <c r="C2524" t="s">
        <v>3189</v>
      </c>
      <c r="D2524" t="s">
        <v>226</v>
      </c>
      <c r="E2524" t="s">
        <v>659</v>
      </c>
      <c r="F2524">
        <v>617.76</v>
      </c>
      <c r="G2524">
        <v>687.44</v>
      </c>
    </row>
    <row r="2525" spans="1:7" hidden="1" x14ac:dyDescent="0.25">
      <c r="A2525" t="s">
        <v>660</v>
      </c>
      <c r="B2525">
        <v>39488</v>
      </c>
      <c r="C2525" t="s">
        <v>3190</v>
      </c>
      <c r="D2525" t="s">
        <v>226</v>
      </c>
      <c r="E2525" t="s">
        <v>659</v>
      </c>
      <c r="F2525">
        <v>512.44000000000005</v>
      </c>
      <c r="G2525">
        <v>570.24</v>
      </c>
    </row>
    <row r="2526" spans="1:7" hidden="1" x14ac:dyDescent="0.25">
      <c r="A2526" t="s">
        <v>660</v>
      </c>
      <c r="B2526">
        <v>39485</v>
      </c>
      <c r="C2526" t="s">
        <v>3191</v>
      </c>
      <c r="D2526" t="s">
        <v>226</v>
      </c>
      <c r="E2526" t="s">
        <v>659</v>
      </c>
      <c r="F2526">
        <v>617.76</v>
      </c>
      <c r="G2526">
        <v>687.44</v>
      </c>
    </row>
    <row r="2527" spans="1:7" hidden="1" x14ac:dyDescent="0.25">
      <c r="A2527" t="s">
        <v>660</v>
      </c>
      <c r="B2527">
        <v>39489</v>
      </c>
      <c r="C2527" t="s">
        <v>3192</v>
      </c>
      <c r="D2527" t="s">
        <v>226</v>
      </c>
      <c r="E2527" t="s">
        <v>659</v>
      </c>
      <c r="F2527">
        <v>521.13</v>
      </c>
      <c r="G2527">
        <v>579.9</v>
      </c>
    </row>
    <row r="2528" spans="1:7" hidden="1" x14ac:dyDescent="0.25">
      <c r="A2528" t="s">
        <v>660</v>
      </c>
      <c r="B2528">
        <v>39490</v>
      </c>
      <c r="C2528" t="s">
        <v>3193</v>
      </c>
      <c r="D2528" t="s">
        <v>226</v>
      </c>
      <c r="E2528" t="s">
        <v>659</v>
      </c>
      <c r="F2528">
        <v>776.54</v>
      </c>
      <c r="G2528">
        <v>864.13</v>
      </c>
    </row>
    <row r="2529" spans="1:7" hidden="1" x14ac:dyDescent="0.25">
      <c r="A2529" t="s">
        <v>660</v>
      </c>
      <c r="B2529">
        <v>39494</v>
      </c>
      <c r="C2529" t="s">
        <v>3194</v>
      </c>
      <c r="D2529" t="s">
        <v>226</v>
      </c>
      <c r="E2529" t="s">
        <v>659</v>
      </c>
      <c r="F2529">
        <v>557.62</v>
      </c>
      <c r="G2529">
        <v>620.52</v>
      </c>
    </row>
    <row r="2530" spans="1:7" hidden="1" x14ac:dyDescent="0.25">
      <c r="A2530" t="s">
        <v>660</v>
      </c>
      <c r="B2530">
        <v>39495</v>
      </c>
      <c r="C2530" t="s">
        <v>3195</v>
      </c>
      <c r="D2530" t="s">
        <v>226</v>
      </c>
      <c r="E2530" t="s">
        <v>659</v>
      </c>
      <c r="F2530">
        <v>628.37</v>
      </c>
      <c r="G2530">
        <v>699.24</v>
      </c>
    </row>
    <row r="2531" spans="1:7" hidden="1" x14ac:dyDescent="0.25">
      <c r="A2531" t="s">
        <v>660</v>
      </c>
      <c r="B2531">
        <v>39496</v>
      </c>
      <c r="C2531" t="s">
        <v>3196</v>
      </c>
      <c r="D2531" t="s">
        <v>226</v>
      </c>
      <c r="E2531" t="s">
        <v>659</v>
      </c>
      <c r="F2531">
        <v>691.2</v>
      </c>
      <c r="G2531">
        <v>769.16</v>
      </c>
    </row>
    <row r="2532" spans="1:7" hidden="1" x14ac:dyDescent="0.25">
      <c r="A2532" t="s">
        <v>660</v>
      </c>
      <c r="B2532">
        <v>39492</v>
      </c>
      <c r="C2532" t="s">
        <v>3197</v>
      </c>
      <c r="D2532" t="s">
        <v>226</v>
      </c>
      <c r="E2532" t="s">
        <v>659</v>
      </c>
      <c r="F2532">
        <v>800.22</v>
      </c>
      <c r="G2532">
        <v>890.48</v>
      </c>
    </row>
    <row r="2533" spans="1:7" hidden="1" x14ac:dyDescent="0.25">
      <c r="A2533" t="s">
        <v>660</v>
      </c>
      <c r="B2533">
        <v>39497</v>
      </c>
      <c r="C2533" t="s">
        <v>3198</v>
      </c>
      <c r="D2533" t="s">
        <v>226</v>
      </c>
      <c r="E2533" t="s">
        <v>659</v>
      </c>
      <c r="F2533">
        <v>722.81</v>
      </c>
      <c r="G2533">
        <v>804.34</v>
      </c>
    </row>
    <row r="2534" spans="1:7" hidden="1" x14ac:dyDescent="0.25">
      <c r="A2534" t="s">
        <v>660</v>
      </c>
      <c r="B2534">
        <v>39493</v>
      </c>
      <c r="C2534" t="s">
        <v>3199</v>
      </c>
      <c r="D2534" t="s">
        <v>226</v>
      </c>
      <c r="E2534" t="s">
        <v>659</v>
      </c>
      <c r="F2534">
        <v>858.32</v>
      </c>
      <c r="G2534">
        <v>955.13</v>
      </c>
    </row>
    <row r="2535" spans="1:7" hidden="1" x14ac:dyDescent="0.25">
      <c r="A2535" t="s">
        <v>660</v>
      </c>
      <c r="B2535">
        <v>43628</v>
      </c>
      <c r="C2535" t="s">
        <v>3200</v>
      </c>
      <c r="D2535" t="s">
        <v>226</v>
      </c>
      <c r="E2535" t="s">
        <v>659</v>
      </c>
      <c r="F2535">
        <v>910.39</v>
      </c>
      <c r="G2535" s="538">
        <v>1013.08</v>
      </c>
    </row>
    <row r="2536" spans="1:7" hidden="1" x14ac:dyDescent="0.25">
      <c r="A2536" t="s">
        <v>660</v>
      </c>
      <c r="B2536">
        <v>39500</v>
      </c>
      <c r="C2536" t="s">
        <v>3201</v>
      </c>
      <c r="D2536" t="s">
        <v>226</v>
      </c>
      <c r="E2536" t="s">
        <v>659</v>
      </c>
      <c r="F2536">
        <v>936.49</v>
      </c>
      <c r="G2536" s="538">
        <v>1042.1199999999999</v>
      </c>
    </row>
    <row r="2537" spans="1:7" hidden="1" x14ac:dyDescent="0.25">
      <c r="A2537" t="s">
        <v>660</v>
      </c>
      <c r="B2537">
        <v>39498</v>
      </c>
      <c r="C2537" t="s">
        <v>3202</v>
      </c>
      <c r="D2537" t="s">
        <v>226</v>
      </c>
      <c r="E2537" t="s">
        <v>659</v>
      </c>
      <c r="F2537" s="538">
        <v>1155.01</v>
      </c>
      <c r="G2537" s="538">
        <v>1285.28</v>
      </c>
    </row>
    <row r="2538" spans="1:7" hidden="1" x14ac:dyDescent="0.25">
      <c r="A2538" t="s">
        <v>660</v>
      </c>
      <c r="B2538">
        <v>43621</v>
      </c>
      <c r="C2538" t="s">
        <v>3203</v>
      </c>
      <c r="D2538" t="s">
        <v>226</v>
      </c>
      <c r="E2538" t="s">
        <v>659</v>
      </c>
      <c r="F2538">
        <v>967.29</v>
      </c>
      <c r="G2538" s="538">
        <v>1076.3900000000001</v>
      </c>
    </row>
    <row r="2539" spans="1:7" hidden="1" x14ac:dyDescent="0.25">
      <c r="A2539" t="s">
        <v>660</v>
      </c>
      <c r="B2539">
        <v>39501</v>
      </c>
      <c r="C2539" t="s">
        <v>3204</v>
      </c>
      <c r="D2539" t="s">
        <v>226</v>
      </c>
      <c r="E2539" t="s">
        <v>659</v>
      </c>
      <c r="F2539">
        <v>961.85</v>
      </c>
      <c r="G2539" s="538">
        <v>1070.3399999999999</v>
      </c>
    </row>
    <row r="2540" spans="1:7" hidden="1" x14ac:dyDescent="0.25">
      <c r="A2540" t="s">
        <v>660</v>
      </c>
      <c r="B2540">
        <v>39499</v>
      </c>
      <c r="C2540" t="s">
        <v>3205</v>
      </c>
      <c r="D2540" t="s">
        <v>226</v>
      </c>
      <c r="E2540" t="s">
        <v>659</v>
      </c>
      <c r="F2540" s="538">
        <v>1171.4100000000001</v>
      </c>
      <c r="G2540" s="538">
        <v>1303.53</v>
      </c>
    </row>
    <row r="2541" spans="1:7" hidden="1" x14ac:dyDescent="0.25">
      <c r="A2541" t="s">
        <v>660</v>
      </c>
      <c r="B2541">
        <v>3733</v>
      </c>
      <c r="C2541" t="s">
        <v>3206</v>
      </c>
      <c r="D2541" t="s">
        <v>498</v>
      </c>
      <c r="E2541" t="s">
        <v>659</v>
      </c>
      <c r="F2541">
        <v>88.06</v>
      </c>
      <c r="G2541">
        <v>113.12</v>
      </c>
    </row>
    <row r="2542" spans="1:7" hidden="1" x14ac:dyDescent="0.25">
      <c r="A2542" t="s">
        <v>660</v>
      </c>
      <c r="B2542">
        <v>3731</v>
      </c>
      <c r="C2542" t="s">
        <v>3207</v>
      </c>
      <c r="D2542" t="s">
        <v>498</v>
      </c>
      <c r="E2542" t="s">
        <v>659</v>
      </c>
      <c r="F2542">
        <v>78.790000000000006</v>
      </c>
      <c r="G2542">
        <v>101.21</v>
      </c>
    </row>
    <row r="2543" spans="1:7" hidden="1" x14ac:dyDescent="0.25">
      <c r="A2543" t="s">
        <v>660</v>
      </c>
      <c r="B2543">
        <v>38137</v>
      </c>
      <c r="C2543" t="s">
        <v>3208</v>
      </c>
      <c r="D2543" t="s">
        <v>498</v>
      </c>
      <c r="E2543" t="s">
        <v>659</v>
      </c>
      <c r="F2543">
        <v>94.24</v>
      </c>
      <c r="G2543">
        <v>121.06</v>
      </c>
    </row>
    <row r="2544" spans="1:7" hidden="1" x14ac:dyDescent="0.25">
      <c r="A2544" t="s">
        <v>660</v>
      </c>
      <c r="B2544">
        <v>38138</v>
      </c>
      <c r="C2544" t="s">
        <v>3209</v>
      </c>
      <c r="D2544" t="s">
        <v>498</v>
      </c>
      <c r="E2544" t="s">
        <v>659</v>
      </c>
      <c r="F2544">
        <v>97.85</v>
      </c>
      <c r="G2544">
        <v>125.69</v>
      </c>
    </row>
    <row r="2545" spans="1:7" hidden="1" x14ac:dyDescent="0.25">
      <c r="A2545" t="s">
        <v>660</v>
      </c>
      <c r="B2545">
        <v>3736</v>
      </c>
      <c r="C2545" t="s">
        <v>3210</v>
      </c>
      <c r="D2545" t="s">
        <v>498</v>
      </c>
      <c r="E2545" t="s">
        <v>172</v>
      </c>
      <c r="F2545">
        <v>64</v>
      </c>
      <c r="G2545">
        <v>49.08</v>
      </c>
    </row>
    <row r="2546" spans="1:7" hidden="1" x14ac:dyDescent="0.25">
      <c r="A2546" t="s">
        <v>660</v>
      </c>
      <c r="B2546">
        <v>3741</v>
      </c>
      <c r="C2546" t="s">
        <v>3211</v>
      </c>
      <c r="D2546" t="s">
        <v>498</v>
      </c>
      <c r="E2546" t="s">
        <v>659</v>
      </c>
      <c r="F2546">
        <v>66.709999999999994</v>
      </c>
      <c r="G2546">
        <v>51.16</v>
      </c>
    </row>
    <row r="2547" spans="1:7" hidden="1" x14ac:dyDescent="0.25">
      <c r="A2547" t="s">
        <v>660</v>
      </c>
      <c r="B2547">
        <v>3743</v>
      </c>
      <c r="C2547" t="s">
        <v>3212</v>
      </c>
      <c r="D2547" t="s">
        <v>498</v>
      </c>
      <c r="E2547" t="s">
        <v>659</v>
      </c>
      <c r="F2547">
        <v>66.48</v>
      </c>
      <c r="G2547">
        <v>50.98</v>
      </c>
    </row>
    <row r="2548" spans="1:7" hidden="1" x14ac:dyDescent="0.25">
      <c r="A2548" t="s">
        <v>660</v>
      </c>
      <c r="B2548">
        <v>3737</v>
      </c>
      <c r="C2548" t="s">
        <v>3213</v>
      </c>
      <c r="D2548" t="s">
        <v>498</v>
      </c>
      <c r="E2548" t="s">
        <v>659</v>
      </c>
      <c r="F2548">
        <v>80.62</v>
      </c>
      <c r="G2548">
        <v>61.82</v>
      </c>
    </row>
    <row r="2549" spans="1:7" hidden="1" x14ac:dyDescent="0.25">
      <c r="A2549" t="s">
        <v>660</v>
      </c>
      <c r="B2549">
        <v>3742</v>
      </c>
      <c r="C2549" t="s">
        <v>3214</v>
      </c>
      <c r="D2549" t="s">
        <v>498</v>
      </c>
      <c r="E2549" t="s">
        <v>659</v>
      </c>
      <c r="F2549">
        <v>96.49</v>
      </c>
      <c r="G2549">
        <v>74</v>
      </c>
    </row>
    <row r="2550" spans="1:7" hidden="1" x14ac:dyDescent="0.25">
      <c r="A2550" t="s">
        <v>660</v>
      </c>
      <c r="B2550">
        <v>3746</v>
      </c>
      <c r="C2550" t="s">
        <v>3215</v>
      </c>
      <c r="D2550" t="s">
        <v>498</v>
      </c>
      <c r="E2550" t="s">
        <v>659</v>
      </c>
      <c r="F2550">
        <v>112.66</v>
      </c>
      <c r="G2550">
        <v>86.4</v>
      </c>
    </row>
    <row r="2551" spans="1:7" hidden="1" x14ac:dyDescent="0.25">
      <c r="A2551" t="s">
        <v>660</v>
      </c>
      <c r="B2551">
        <v>21106</v>
      </c>
      <c r="C2551" t="s">
        <v>3216</v>
      </c>
      <c r="D2551" t="s">
        <v>708</v>
      </c>
      <c r="E2551" t="s">
        <v>659</v>
      </c>
      <c r="F2551">
        <v>54.37</v>
      </c>
      <c r="G2551">
        <v>41.02</v>
      </c>
    </row>
    <row r="2552" spans="1:7" hidden="1" x14ac:dyDescent="0.25">
      <c r="A2552" t="s">
        <v>660</v>
      </c>
      <c r="B2552">
        <v>38194</v>
      </c>
      <c r="C2552" t="s">
        <v>3217</v>
      </c>
      <c r="D2552" t="s">
        <v>226</v>
      </c>
      <c r="E2552" t="s">
        <v>172</v>
      </c>
      <c r="F2552">
        <v>5</v>
      </c>
      <c r="G2552">
        <v>4.5999999999999996</v>
      </c>
    </row>
    <row r="2553" spans="1:7" hidden="1" x14ac:dyDescent="0.25">
      <c r="A2553" t="s">
        <v>660</v>
      </c>
      <c r="B2553">
        <v>38193</v>
      </c>
      <c r="C2553" t="s">
        <v>3218</v>
      </c>
      <c r="D2553" t="s">
        <v>226</v>
      </c>
      <c r="E2553" t="s">
        <v>659</v>
      </c>
      <c r="F2553">
        <v>4.34</v>
      </c>
      <c r="G2553">
        <v>3.99</v>
      </c>
    </row>
    <row r="2554" spans="1:7" hidden="1" x14ac:dyDescent="0.25">
      <c r="A2554" t="s">
        <v>660</v>
      </c>
      <c r="B2554">
        <v>39388</v>
      </c>
      <c r="C2554" t="s">
        <v>3219</v>
      </c>
      <c r="D2554" t="s">
        <v>226</v>
      </c>
      <c r="E2554" t="s">
        <v>659</v>
      </c>
      <c r="F2554">
        <v>6.15</v>
      </c>
      <c r="G2554">
        <v>5.65</v>
      </c>
    </row>
    <row r="2555" spans="1:7" hidden="1" x14ac:dyDescent="0.25">
      <c r="A2555" t="s">
        <v>660</v>
      </c>
      <c r="B2555">
        <v>39387</v>
      </c>
      <c r="C2555" t="s">
        <v>3220</v>
      </c>
      <c r="D2555" t="s">
        <v>226</v>
      </c>
      <c r="E2555" t="s">
        <v>659</v>
      </c>
      <c r="F2555">
        <v>9.58</v>
      </c>
      <c r="G2555">
        <v>8.82</v>
      </c>
    </row>
    <row r="2556" spans="1:7" hidden="1" x14ac:dyDescent="0.25">
      <c r="A2556" t="s">
        <v>660</v>
      </c>
      <c r="B2556">
        <v>39386</v>
      </c>
      <c r="C2556" t="s">
        <v>3221</v>
      </c>
      <c r="D2556" t="s">
        <v>226</v>
      </c>
      <c r="E2556" t="s">
        <v>659</v>
      </c>
      <c r="F2556">
        <v>6.68</v>
      </c>
      <c r="G2556">
        <v>6.15</v>
      </c>
    </row>
    <row r="2557" spans="1:7" hidden="1" x14ac:dyDescent="0.25">
      <c r="A2557" t="s">
        <v>660</v>
      </c>
      <c r="B2557">
        <v>45229</v>
      </c>
      <c r="C2557" t="s">
        <v>3222</v>
      </c>
      <c r="D2557" t="s">
        <v>226</v>
      </c>
      <c r="E2557" t="s">
        <v>659</v>
      </c>
      <c r="F2557">
        <v>2.8</v>
      </c>
      <c r="G2557">
        <v>2.67</v>
      </c>
    </row>
    <row r="2558" spans="1:7" hidden="1" x14ac:dyDescent="0.25">
      <c r="A2558" t="s">
        <v>842</v>
      </c>
      <c r="B2558">
        <v>746</v>
      </c>
      <c r="C2558" t="s">
        <v>3223</v>
      </c>
      <c r="D2558" t="s">
        <v>226</v>
      </c>
      <c r="E2558" t="s">
        <v>172</v>
      </c>
      <c r="F2558" s="538">
        <v>2838</v>
      </c>
      <c r="G2558" s="538">
        <v>2287</v>
      </c>
    </row>
    <row r="2559" spans="1:7" hidden="1" x14ac:dyDescent="0.25">
      <c r="A2559" t="s">
        <v>660</v>
      </c>
      <c r="B2559">
        <v>20269</v>
      </c>
      <c r="C2559" t="s">
        <v>3224</v>
      </c>
      <c r="D2559" t="s">
        <v>226</v>
      </c>
      <c r="E2559" t="s">
        <v>659</v>
      </c>
      <c r="F2559">
        <v>111.5</v>
      </c>
      <c r="G2559">
        <v>93.61</v>
      </c>
    </row>
    <row r="2560" spans="1:7" hidden="1" x14ac:dyDescent="0.25">
      <c r="A2560" t="s">
        <v>660</v>
      </c>
      <c r="B2560">
        <v>20270</v>
      </c>
      <c r="C2560" t="s">
        <v>3225</v>
      </c>
      <c r="D2560" t="s">
        <v>226</v>
      </c>
      <c r="E2560" t="s">
        <v>659</v>
      </c>
      <c r="F2560">
        <v>123.2</v>
      </c>
      <c r="G2560">
        <v>103.44</v>
      </c>
    </row>
    <row r="2561" spans="1:7" hidden="1" x14ac:dyDescent="0.25">
      <c r="A2561" t="s">
        <v>660</v>
      </c>
      <c r="B2561">
        <v>11696</v>
      </c>
      <c r="C2561" t="s">
        <v>3226</v>
      </c>
      <c r="D2561" t="s">
        <v>226</v>
      </c>
      <c r="E2561" t="s">
        <v>659</v>
      </c>
      <c r="F2561">
        <v>197.22</v>
      </c>
      <c r="G2561">
        <v>165.59</v>
      </c>
    </row>
    <row r="2562" spans="1:7" hidden="1" x14ac:dyDescent="0.25">
      <c r="A2562" t="s">
        <v>660</v>
      </c>
      <c r="B2562">
        <v>10427</v>
      </c>
      <c r="C2562" t="s">
        <v>3227</v>
      </c>
      <c r="D2562" t="s">
        <v>226</v>
      </c>
      <c r="E2562" t="s">
        <v>659</v>
      </c>
      <c r="F2562">
        <v>551.9</v>
      </c>
      <c r="G2562">
        <v>463.38</v>
      </c>
    </row>
    <row r="2563" spans="1:7" hidden="1" x14ac:dyDescent="0.25">
      <c r="A2563" t="s">
        <v>660</v>
      </c>
      <c r="B2563">
        <v>10428</v>
      </c>
      <c r="C2563" t="s">
        <v>3228</v>
      </c>
      <c r="D2563" t="s">
        <v>226</v>
      </c>
      <c r="E2563" t="s">
        <v>659</v>
      </c>
      <c r="F2563">
        <v>568.63</v>
      </c>
      <c r="G2563">
        <v>477.43</v>
      </c>
    </row>
    <row r="2564" spans="1:7" hidden="1" x14ac:dyDescent="0.25">
      <c r="A2564" t="s">
        <v>660</v>
      </c>
      <c r="B2564">
        <v>36521</v>
      </c>
      <c r="C2564" t="s">
        <v>3229</v>
      </c>
      <c r="D2564" t="s">
        <v>226</v>
      </c>
      <c r="E2564" t="s">
        <v>659</v>
      </c>
      <c r="F2564">
        <v>177.42</v>
      </c>
      <c r="G2564">
        <v>148.96</v>
      </c>
    </row>
    <row r="2565" spans="1:7" hidden="1" x14ac:dyDescent="0.25">
      <c r="A2565" t="s">
        <v>660</v>
      </c>
      <c r="B2565">
        <v>36794</v>
      </c>
      <c r="C2565" t="s">
        <v>3230</v>
      </c>
      <c r="D2565" t="s">
        <v>226</v>
      </c>
      <c r="E2565" t="s">
        <v>659</v>
      </c>
      <c r="F2565">
        <v>188.88</v>
      </c>
      <c r="G2565">
        <v>158.58000000000001</v>
      </c>
    </row>
    <row r="2566" spans="1:7" hidden="1" x14ac:dyDescent="0.25">
      <c r="A2566" t="s">
        <v>660</v>
      </c>
      <c r="B2566">
        <v>10426</v>
      </c>
      <c r="C2566" t="s">
        <v>3231</v>
      </c>
      <c r="D2566" t="s">
        <v>226</v>
      </c>
      <c r="E2566" t="s">
        <v>659</v>
      </c>
      <c r="F2566">
        <v>211.5</v>
      </c>
      <c r="G2566">
        <v>177.58</v>
      </c>
    </row>
    <row r="2567" spans="1:7" hidden="1" x14ac:dyDescent="0.25">
      <c r="A2567" t="s">
        <v>660</v>
      </c>
      <c r="B2567">
        <v>10425</v>
      </c>
      <c r="C2567" t="s">
        <v>3232</v>
      </c>
      <c r="D2567" t="s">
        <v>226</v>
      </c>
      <c r="E2567" t="s">
        <v>659</v>
      </c>
      <c r="F2567">
        <v>107.3</v>
      </c>
      <c r="G2567">
        <v>90.09</v>
      </c>
    </row>
    <row r="2568" spans="1:7" hidden="1" x14ac:dyDescent="0.25">
      <c r="A2568" t="s">
        <v>660</v>
      </c>
      <c r="B2568">
        <v>10431</v>
      </c>
      <c r="C2568" t="s">
        <v>3233</v>
      </c>
      <c r="D2568" t="s">
        <v>226</v>
      </c>
      <c r="E2568" t="s">
        <v>659</v>
      </c>
      <c r="F2568">
        <v>367.35</v>
      </c>
      <c r="G2568">
        <v>308.44</v>
      </c>
    </row>
    <row r="2569" spans="1:7" hidden="1" x14ac:dyDescent="0.25">
      <c r="A2569" t="s">
        <v>660</v>
      </c>
      <c r="B2569">
        <v>10429</v>
      </c>
      <c r="C2569" t="s">
        <v>3234</v>
      </c>
      <c r="D2569" t="s">
        <v>226</v>
      </c>
      <c r="E2569" t="s">
        <v>659</v>
      </c>
      <c r="F2569">
        <v>181.22</v>
      </c>
      <c r="G2569">
        <v>152.16</v>
      </c>
    </row>
    <row r="2570" spans="1:7" hidden="1" x14ac:dyDescent="0.25">
      <c r="A2570" t="s">
        <v>660</v>
      </c>
      <c r="B2570">
        <v>10853</v>
      </c>
      <c r="C2570" t="s">
        <v>3235</v>
      </c>
      <c r="D2570" t="s">
        <v>226</v>
      </c>
      <c r="E2570" t="s">
        <v>659</v>
      </c>
      <c r="F2570">
        <v>113.01</v>
      </c>
      <c r="G2570">
        <v>103.81</v>
      </c>
    </row>
    <row r="2571" spans="1:7" hidden="1" x14ac:dyDescent="0.25">
      <c r="A2571" t="s">
        <v>660</v>
      </c>
      <c r="B2571">
        <v>5093</v>
      </c>
      <c r="C2571" t="s">
        <v>3236</v>
      </c>
      <c r="D2571" t="s">
        <v>1086</v>
      </c>
      <c r="E2571" t="s">
        <v>659</v>
      </c>
      <c r="F2571">
        <v>19.440000000000001</v>
      </c>
      <c r="G2571">
        <v>17.36</v>
      </c>
    </row>
    <row r="2572" spans="1:7" hidden="1" x14ac:dyDescent="0.25">
      <c r="A2572" t="s">
        <v>660</v>
      </c>
      <c r="B2572">
        <v>45254</v>
      </c>
      <c r="C2572" t="s">
        <v>3237</v>
      </c>
      <c r="D2572" t="s">
        <v>226</v>
      </c>
      <c r="E2572" t="s">
        <v>659</v>
      </c>
      <c r="F2572">
        <v>37.159999999999997</v>
      </c>
      <c r="G2572">
        <v>32.119999999999997</v>
      </c>
    </row>
    <row r="2573" spans="1:7" hidden="1" x14ac:dyDescent="0.25">
      <c r="A2573" t="s">
        <v>660</v>
      </c>
      <c r="B2573">
        <v>45253</v>
      </c>
      <c r="C2573" t="s">
        <v>3238</v>
      </c>
      <c r="D2573" t="s">
        <v>226</v>
      </c>
      <c r="E2573" t="s">
        <v>659</v>
      </c>
      <c r="F2573">
        <v>48.16</v>
      </c>
      <c r="G2573">
        <v>41.63</v>
      </c>
    </row>
    <row r="2574" spans="1:7" hidden="1" x14ac:dyDescent="0.25">
      <c r="A2574" t="s">
        <v>660</v>
      </c>
      <c r="B2574">
        <v>44331</v>
      </c>
      <c r="C2574" t="s">
        <v>3239</v>
      </c>
      <c r="D2574" t="s">
        <v>710</v>
      </c>
      <c r="E2574" t="s">
        <v>659</v>
      </c>
      <c r="F2574">
        <v>68.09</v>
      </c>
      <c r="G2574">
        <v>55.67</v>
      </c>
    </row>
    <row r="2575" spans="1:7" hidden="1" x14ac:dyDescent="0.25">
      <c r="A2575" t="s">
        <v>842</v>
      </c>
      <c r="B2575">
        <v>37768</v>
      </c>
      <c r="C2575" t="s">
        <v>3240</v>
      </c>
      <c r="D2575" t="s">
        <v>226</v>
      </c>
      <c r="E2575" t="s">
        <v>172</v>
      </c>
      <c r="F2575">
        <f>G2575</f>
        <v>295000</v>
      </c>
      <c r="G2575" s="538">
        <v>295000</v>
      </c>
    </row>
    <row r="2576" spans="1:7" hidden="1" x14ac:dyDescent="0.25">
      <c r="A2576" t="s">
        <v>842</v>
      </c>
      <c r="B2576">
        <v>37773</v>
      </c>
      <c r="C2576" t="s">
        <v>3241</v>
      </c>
      <c r="D2576" t="s">
        <v>226</v>
      </c>
      <c r="E2576" t="s">
        <v>659</v>
      </c>
      <c r="F2576">
        <f>G2576</f>
        <v>250504.73</v>
      </c>
      <c r="G2576" s="538">
        <v>250504.73</v>
      </c>
    </row>
    <row r="2577" spans="1:7" hidden="1" x14ac:dyDescent="0.25">
      <c r="A2577" t="s">
        <v>842</v>
      </c>
      <c r="B2577">
        <v>37769</v>
      </c>
      <c r="C2577" t="s">
        <v>3242</v>
      </c>
      <c r="D2577" t="s">
        <v>226</v>
      </c>
      <c r="E2577" t="s">
        <v>659</v>
      </c>
      <c r="F2577">
        <f>G2577</f>
        <v>419376.48</v>
      </c>
      <c r="G2577" s="538">
        <v>419376.48</v>
      </c>
    </row>
    <row r="2578" spans="1:7" hidden="1" x14ac:dyDescent="0.25">
      <c r="A2578" t="s">
        <v>842</v>
      </c>
      <c r="B2578">
        <v>37770</v>
      </c>
      <c r="C2578" t="s">
        <v>3243</v>
      </c>
      <c r="D2578" t="s">
        <v>226</v>
      </c>
      <c r="E2578" t="s">
        <v>659</v>
      </c>
      <c r="F2578">
        <f>G2578</f>
        <v>711748.8</v>
      </c>
      <c r="G2578" s="538">
        <v>711748.8</v>
      </c>
    </row>
    <row r="2579" spans="1:7" hidden="1" x14ac:dyDescent="0.25">
      <c r="A2579" t="s">
        <v>660</v>
      </c>
      <c r="B2579">
        <v>38382</v>
      </c>
      <c r="C2579" t="s">
        <v>3244</v>
      </c>
      <c r="D2579" t="s">
        <v>226</v>
      </c>
      <c r="E2579" t="s">
        <v>659</v>
      </c>
      <c r="F2579">
        <v>16.07</v>
      </c>
      <c r="G2579">
        <v>15.33</v>
      </c>
    </row>
    <row r="2580" spans="1:7" hidden="1" x14ac:dyDescent="0.25">
      <c r="A2580" t="s">
        <v>660</v>
      </c>
      <c r="B2580">
        <v>38383</v>
      </c>
      <c r="C2580" t="s">
        <v>3245</v>
      </c>
      <c r="D2580" t="s">
        <v>226</v>
      </c>
      <c r="E2580" t="s">
        <v>659</v>
      </c>
      <c r="F2580">
        <v>2.5499999999999998</v>
      </c>
      <c r="G2580">
        <v>2.44</v>
      </c>
    </row>
    <row r="2581" spans="1:7" hidden="1" x14ac:dyDescent="0.25">
      <c r="A2581" t="s">
        <v>660</v>
      </c>
      <c r="B2581">
        <v>3768</v>
      </c>
      <c r="C2581" t="s">
        <v>3246</v>
      </c>
      <c r="D2581" t="s">
        <v>226</v>
      </c>
      <c r="E2581" t="s">
        <v>659</v>
      </c>
      <c r="F2581">
        <v>3.83</v>
      </c>
      <c r="G2581">
        <v>4.04</v>
      </c>
    </row>
    <row r="2582" spans="1:7" hidden="1" x14ac:dyDescent="0.25">
      <c r="A2582" t="s">
        <v>660</v>
      </c>
      <c r="B2582">
        <v>3767</v>
      </c>
      <c r="C2582" t="s">
        <v>3247</v>
      </c>
      <c r="D2582" t="s">
        <v>226</v>
      </c>
      <c r="E2582" t="s">
        <v>659</v>
      </c>
      <c r="F2582">
        <v>1.28</v>
      </c>
      <c r="G2582">
        <v>1.35</v>
      </c>
    </row>
    <row r="2583" spans="1:7" hidden="1" x14ac:dyDescent="0.25">
      <c r="A2583" t="s">
        <v>842</v>
      </c>
      <c r="B2583">
        <v>13192</v>
      </c>
      <c r="C2583" t="s">
        <v>3248</v>
      </c>
      <c r="D2583" t="s">
        <v>226</v>
      </c>
      <c r="E2583" t="s">
        <v>659</v>
      </c>
      <c r="F2583" s="538">
        <v>2887.14</v>
      </c>
      <c r="G2583" s="538">
        <v>2415.1999999999998</v>
      </c>
    </row>
    <row r="2584" spans="1:7" hidden="1" x14ac:dyDescent="0.25">
      <c r="A2584" t="s">
        <v>842</v>
      </c>
      <c r="B2584">
        <v>38413</v>
      </c>
      <c r="C2584" t="s">
        <v>3249</v>
      </c>
      <c r="D2584" t="s">
        <v>226</v>
      </c>
      <c r="E2584" t="s">
        <v>659</v>
      </c>
      <c r="F2584" s="538">
        <v>1104.76</v>
      </c>
      <c r="G2584">
        <v>924.17</v>
      </c>
    </row>
    <row r="2585" spans="1:7" hidden="1" x14ac:dyDescent="0.25">
      <c r="A2585" t="s">
        <v>660</v>
      </c>
      <c r="B2585">
        <v>42440</v>
      </c>
      <c r="C2585" t="s">
        <v>3250</v>
      </c>
      <c r="D2585" t="s">
        <v>226</v>
      </c>
      <c r="E2585" t="s">
        <v>659</v>
      </c>
      <c r="F2585">
        <f>G2585</f>
        <v>1235.9100000000001</v>
      </c>
      <c r="G2585" s="538">
        <v>1235.9100000000001</v>
      </c>
    </row>
    <row r="2586" spans="1:7" hidden="1" x14ac:dyDescent="0.25">
      <c r="A2586" t="s">
        <v>3251</v>
      </c>
      <c r="B2586">
        <v>20193</v>
      </c>
      <c r="C2586" t="s">
        <v>3252</v>
      </c>
      <c r="D2586" t="s">
        <v>3253</v>
      </c>
      <c r="E2586" t="s">
        <v>659</v>
      </c>
      <c r="F2586">
        <v>15</v>
      </c>
      <c r="G2586">
        <v>22.5</v>
      </c>
    </row>
    <row r="2587" spans="1:7" hidden="1" x14ac:dyDescent="0.25">
      <c r="A2587" t="s">
        <v>3251</v>
      </c>
      <c r="B2587">
        <v>10527</v>
      </c>
      <c r="C2587" t="s">
        <v>3254</v>
      </c>
      <c r="D2587" t="s">
        <v>3255</v>
      </c>
      <c r="E2587" t="s">
        <v>172</v>
      </c>
      <c r="F2587">
        <v>20</v>
      </c>
      <c r="G2587">
        <v>30</v>
      </c>
    </row>
    <row r="2588" spans="1:7" hidden="1" x14ac:dyDescent="0.25">
      <c r="A2588" t="s">
        <v>3251</v>
      </c>
      <c r="B2588">
        <v>41805</v>
      </c>
      <c r="C2588" t="s">
        <v>3256</v>
      </c>
      <c r="D2588" t="s">
        <v>811</v>
      </c>
      <c r="E2588" t="s">
        <v>659</v>
      </c>
      <c r="F2588">
        <v>575</v>
      </c>
      <c r="G2588">
        <v>862.5</v>
      </c>
    </row>
    <row r="2589" spans="1:7" hidden="1" x14ac:dyDescent="0.25">
      <c r="A2589" t="s">
        <v>3251</v>
      </c>
      <c r="B2589">
        <v>40271</v>
      </c>
      <c r="C2589" t="s">
        <v>3257</v>
      </c>
      <c r="D2589" t="s">
        <v>3258</v>
      </c>
      <c r="E2589" t="s">
        <v>659</v>
      </c>
      <c r="F2589">
        <v>15.31</v>
      </c>
      <c r="G2589">
        <v>22.96</v>
      </c>
    </row>
    <row r="2590" spans="1:7" hidden="1" x14ac:dyDescent="0.25">
      <c r="A2590" t="s">
        <v>3251</v>
      </c>
      <c r="B2590">
        <v>40287</v>
      </c>
      <c r="C2590" t="s">
        <v>3259</v>
      </c>
      <c r="D2590" t="s">
        <v>811</v>
      </c>
      <c r="E2590" t="s">
        <v>659</v>
      </c>
      <c r="F2590">
        <v>5.89</v>
      </c>
      <c r="G2590">
        <v>8.84</v>
      </c>
    </row>
    <row r="2591" spans="1:7" x14ac:dyDescent="0.25">
      <c r="A2591" t="s">
        <v>3251</v>
      </c>
      <c r="B2591">
        <v>4084</v>
      </c>
      <c r="C2591" t="s">
        <v>3260</v>
      </c>
      <c r="D2591" t="s">
        <v>809</v>
      </c>
      <c r="E2591" t="s">
        <v>659</v>
      </c>
      <c r="F2591">
        <v>1.76</v>
      </c>
      <c r="G2591">
        <v>2.64</v>
      </c>
    </row>
    <row r="2592" spans="1:7" x14ac:dyDescent="0.25">
      <c r="A2592" t="s">
        <v>3251</v>
      </c>
      <c r="B2592">
        <v>743</v>
      </c>
      <c r="C2592" t="s">
        <v>3261</v>
      </c>
      <c r="D2592" t="s">
        <v>809</v>
      </c>
      <c r="E2592" t="s">
        <v>172</v>
      </c>
      <c r="F2592">
        <v>1.76</v>
      </c>
      <c r="G2592">
        <v>2.64</v>
      </c>
    </row>
    <row r="2593" spans="1:7" x14ac:dyDescent="0.25">
      <c r="A2593" t="s">
        <v>3251</v>
      </c>
      <c r="B2593">
        <v>40293</v>
      </c>
      <c r="C2593" t="s">
        <v>3262</v>
      </c>
      <c r="D2593" t="s">
        <v>809</v>
      </c>
      <c r="E2593" t="s">
        <v>659</v>
      </c>
      <c r="F2593">
        <v>2.11</v>
      </c>
      <c r="G2593">
        <v>3.16</v>
      </c>
    </row>
    <row r="2594" spans="1:7" x14ac:dyDescent="0.25">
      <c r="A2594" t="s">
        <v>3251</v>
      </c>
      <c r="B2594">
        <v>40294</v>
      </c>
      <c r="C2594" t="s">
        <v>3263</v>
      </c>
      <c r="D2594" t="s">
        <v>809</v>
      </c>
      <c r="E2594" t="s">
        <v>659</v>
      </c>
      <c r="F2594">
        <v>1.76</v>
      </c>
      <c r="G2594">
        <v>2.64</v>
      </c>
    </row>
    <row r="2595" spans="1:7" x14ac:dyDescent="0.25">
      <c r="A2595" t="s">
        <v>3251</v>
      </c>
      <c r="B2595">
        <v>4085</v>
      </c>
      <c r="C2595" t="s">
        <v>3264</v>
      </c>
      <c r="D2595" t="s">
        <v>809</v>
      </c>
      <c r="E2595" t="s">
        <v>659</v>
      </c>
      <c r="F2595">
        <v>2.46</v>
      </c>
      <c r="G2595">
        <v>3.69</v>
      </c>
    </row>
    <row r="2596" spans="1:7" hidden="1" x14ac:dyDescent="0.25">
      <c r="A2596" t="s">
        <v>3251</v>
      </c>
      <c r="B2596">
        <v>10779</v>
      </c>
      <c r="C2596" t="s">
        <v>3265</v>
      </c>
      <c r="D2596" t="s">
        <v>811</v>
      </c>
      <c r="E2596" t="s">
        <v>659</v>
      </c>
      <c r="F2596" s="538">
        <v>1287.5</v>
      </c>
      <c r="G2596" s="538">
        <v>1059.3699999999999</v>
      </c>
    </row>
    <row r="2597" spans="1:7" hidden="1" x14ac:dyDescent="0.25">
      <c r="A2597" t="s">
        <v>3251</v>
      </c>
      <c r="B2597">
        <v>10777</v>
      </c>
      <c r="C2597" t="s">
        <v>3266</v>
      </c>
      <c r="D2597" t="s">
        <v>811</v>
      </c>
      <c r="E2597" t="s">
        <v>659</v>
      </c>
      <c r="F2597" s="538">
        <v>1169.47</v>
      </c>
      <c r="G2597">
        <v>962.26</v>
      </c>
    </row>
    <row r="2598" spans="1:7" hidden="1" x14ac:dyDescent="0.25">
      <c r="A2598" t="s">
        <v>3251</v>
      </c>
      <c r="B2598">
        <v>10775</v>
      </c>
      <c r="C2598" t="s">
        <v>3267</v>
      </c>
      <c r="D2598" t="s">
        <v>811</v>
      </c>
      <c r="E2598" t="s">
        <v>172</v>
      </c>
      <c r="F2598" s="538">
        <v>1030</v>
      </c>
      <c r="G2598">
        <v>847.5</v>
      </c>
    </row>
    <row r="2599" spans="1:7" hidden="1" x14ac:dyDescent="0.25">
      <c r="A2599" t="s">
        <v>3251</v>
      </c>
      <c r="B2599">
        <v>10776</v>
      </c>
      <c r="C2599" t="s">
        <v>3268</v>
      </c>
      <c r="D2599" t="s">
        <v>811</v>
      </c>
      <c r="E2599" t="s">
        <v>659</v>
      </c>
      <c r="F2599">
        <v>804.68</v>
      </c>
      <c r="G2599">
        <v>662.1</v>
      </c>
    </row>
    <row r="2600" spans="1:7" hidden="1" x14ac:dyDescent="0.25">
      <c r="A2600" t="s">
        <v>3251</v>
      </c>
      <c r="B2600">
        <v>10778</v>
      </c>
      <c r="C2600" t="s">
        <v>3269</v>
      </c>
      <c r="D2600" t="s">
        <v>811</v>
      </c>
      <c r="E2600" t="s">
        <v>659</v>
      </c>
      <c r="F2600" s="538">
        <v>1287.5</v>
      </c>
      <c r="G2600" s="538">
        <v>1059.3699999999999</v>
      </c>
    </row>
    <row r="2601" spans="1:7" hidden="1" x14ac:dyDescent="0.25">
      <c r="A2601" t="s">
        <v>3251</v>
      </c>
      <c r="B2601">
        <v>40339</v>
      </c>
      <c r="C2601" t="s">
        <v>3270</v>
      </c>
      <c r="D2601" t="s">
        <v>3258</v>
      </c>
      <c r="E2601" t="s">
        <v>659</v>
      </c>
      <c r="F2601">
        <v>5.37</v>
      </c>
      <c r="G2601">
        <v>8.0500000000000007</v>
      </c>
    </row>
    <row r="2602" spans="1:7" hidden="1" x14ac:dyDescent="0.25">
      <c r="A2602" t="s">
        <v>3251</v>
      </c>
      <c r="B2602">
        <v>10749</v>
      </c>
      <c r="C2602" t="s">
        <v>3271</v>
      </c>
      <c r="D2602" t="s">
        <v>3258</v>
      </c>
      <c r="E2602" t="s">
        <v>659</v>
      </c>
      <c r="F2602">
        <v>17.75</v>
      </c>
      <c r="G2602">
        <v>26.62</v>
      </c>
    </row>
    <row r="2603" spans="1:7" hidden="1" x14ac:dyDescent="0.25">
      <c r="A2603" t="s">
        <v>3251</v>
      </c>
      <c r="B2603">
        <v>40290</v>
      </c>
      <c r="C2603" t="s">
        <v>3272</v>
      </c>
      <c r="D2603" t="s">
        <v>3258</v>
      </c>
      <c r="E2603" t="s">
        <v>659</v>
      </c>
      <c r="F2603">
        <v>9.6</v>
      </c>
      <c r="G2603">
        <v>14.4</v>
      </c>
    </row>
    <row r="2604" spans="1:7" hidden="1" x14ac:dyDescent="0.25">
      <c r="A2604" t="s">
        <v>3251</v>
      </c>
      <c r="B2604">
        <v>3346</v>
      </c>
      <c r="C2604" t="s">
        <v>3273</v>
      </c>
      <c r="D2604" t="s">
        <v>809</v>
      </c>
      <c r="E2604" t="s">
        <v>172</v>
      </c>
      <c r="F2604">
        <v>21.53</v>
      </c>
      <c r="G2604">
        <v>24.72</v>
      </c>
    </row>
    <row r="2605" spans="1:7" hidden="1" x14ac:dyDescent="0.25">
      <c r="A2605" t="s">
        <v>3251</v>
      </c>
      <c r="B2605">
        <v>3348</v>
      </c>
      <c r="C2605" t="s">
        <v>3274</v>
      </c>
      <c r="D2605" t="s">
        <v>809</v>
      </c>
      <c r="E2605" t="s">
        <v>659</v>
      </c>
      <c r="F2605">
        <v>25.75</v>
      </c>
      <c r="G2605">
        <v>29.57</v>
      </c>
    </row>
    <row r="2606" spans="1:7" hidden="1" x14ac:dyDescent="0.25">
      <c r="A2606" t="s">
        <v>3251</v>
      </c>
      <c r="B2606">
        <v>39833</v>
      </c>
      <c r="C2606" t="s">
        <v>3275</v>
      </c>
      <c r="D2606" t="s">
        <v>809</v>
      </c>
      <c r="E2606" t="s">
        <v>659</v>
      </c>
      <c r="F2606">
        <v>35.28</v>
      </c>
      <c r="G2606">
        <v>40.5</v>
      </c>
    </row>
    <row r="2607" spans="1:7" hidden="1" x14ac:dyDescent="0.25">
      <c r="A2607" t="s">
        <v>3251</v>
      </c>
      <c r="B2607">
        <v>7252</v>
      </c>
      <c r="C2607" t="s">
        <v>3276</v>
      </c>
      <c r="D2607" t="s">
        <v>809</v>
      </c>
      <c r="E2607" t="s">
        <v>659</v>
      </c>
      <c r="F2607">
        <v>1.91</v>
      </c>
      <c r="G2607">
        <v>2.25</v>
      </c>
    </row>
    <row r="2608" spans="1:7" hidden="1" x14ac:dyDescent="0.25">
      <c r="A2608" t="s">
        <v>3251</v>
      </c>
      <c r="B2608">
        <v>7247</v>
      </c>
      <c r="C2608" t="s">
        <v>3277</v>
      </c>
      <c r="D2608" t="s">
        <v>809</v>
      </c>
      <c r="E2608" t="s">
        <v>172</v>
      </c>
      <c r="F2608">
        <v>1.91</v>
      </c>
      <c r="G2608">
        <v>2.25</v>
      </c>
    </row>
    <row r="2609" spans="1:7" hidden="1" x14ac:dyDescent="0.25">
      <c r="A2609" t="s">
        <v>3251</v>
      </c>
      <c r="B2609">
        <v>40291</v>
      </c>
      <c r="C2609" t="s">
        <v>3278</v>
      </c>
      <c r="D2609" t="s">
        <v>3258</v>
      </c>
      <c r="E2609" t="s">
        <v>659</v>
      </c>
      <c r="F2609">
        <v>500</v>
      </c>
      <c r="G2609">
        <v>750</v>
      </c>
    </row>
    <row r="2610" spans="1:7" hidden="1" x14ac:dyDescent="0.25">
      <c r="A2610" t="s">
        <v>3251</v>
      </c>
      <c r="B2610">
        <v>40275</v>
      </c>
      <c r="C2610" t="s">
        <v>3279</v>
      </c>
      <c r="D2610" t="s">
        <v>3258</v>
      </c>
      <c r="E2610" t="s">
        <v>659</v>
      </c>
      <c r="F2610">
        <v>16</v>
      </c>
      <c r="G2610">
        <v>24</v>
      </c>
    </row>
    <row r="2611" spans="1:7" hidden="1" x14ac:dyDescent="0.25">
      <c r="A2611" t="s">
        <v>660</v>
      </c>
      <c r="B2611">
        <v>42408</v>
      </c>
      <c r="C2611" t="s">
        <v>3280</v>
      </c>
      <c r="D2611" t="s">
        <v>498</v>
      </c>
      <c r="E2611" t="s">
        <v>659</v>
      </c>
      <c r="F2611">
        <v>2.44</v>
      </c>
      <c r="G2611">
        <v>2.33</v>
      </c>
    </row>
    <row r="2612" spans="1:7" hidden="1" x14ac:dyDescent="0.25">
      <c r="A2612" t="s">
        <v>660</v>
      </c>
      <c r="B2612">
        <v>3777</v>
      </c>
      <c r="C2612" t="s">
        <v>3281</v>
      </c>
      <c r="D2612" t="s">
        <v>498</v>
      </c>
      <c r="E2612" t="s">
        <v>659</v>
      </c>
      <c r="F2612">
        <v>2.15</v>
      </c>
      <c r="G2612">
        <v>2.0499999999999998</v>
      </c>
    </row>
    <row r="2613" spans="1:7" hidden="1" x14ac:dyDescent="0.25">
      <c r="A2613" t="s">
        <v>660</v>
      </c>
      <c r="B2613">
        <v>44699</v>
      </c>
      <c r="C2613" t="s">
        <v>3282</v>
      </c>
      <c r="D2613" t="s">
        <v>708</v>
      </c>
      <c r="E2613" t="s">
        <v>659</v>
      </c>
      <c r="F2613">
        <v>46.63</v>
      </c>
      <c r="G2613">
        <v>47.99</v>
      </c>
    </row>
    <row r="2614" spans="1:7" hidden="1" x14ac:dyDescent="0.25">
      <c r="A2614" t="s">
        <v>660</v>
      </c>
      <c r="B2614">
        <v>3798</v>
      </c>
      <c r="C2614" t="s">
        <v>3283</v>
      </c>
      <c r="D2614" t="s">
        <v>226</v>
      </c>
      <c r="E2614" t="s">
        <v>659</v>
      </c>
      <c r="F2614">
        <f>G2614</f>
        <v>83.57</v>
      </c>
      <c r="G2614">
        <v>83.57</v>
      </c>
    </row>
    <row r="2615" spans="1:7" hidden="1" x14ac:dyDescent="0.25">
      <c r="A2615" t="s">
        <v>660</v>
      </c>
      <c r="B2615">
        <v>38769</v>
      </c>
      <c r="C2615" t="s">
        <v>3284</v>
      </c>
      <c r="D2615" t="s">
        <v>226</v>
      </c>
      <c r="E2615" t="s">
        <v>659</v>
      </c>
      <c r="F2615">
        <f>G2615</f>
        <v>65.27</v>
      </c>
      <c r="G2615">
        <v>65.27</v>
      </c>
    </row>
    <row r="2616" spans="1:7" hidden="1" x14ac:dyDescent="0.25">
      <c r="A2616" t="s">
        <v>660</v>
      </c>
      <c r="B2616">
        <v>38774</v>
      </c>
      <c r="C2616" t="s">
        <v>3285</v>
      </c>
      <c r="D2616" t="s">
        <v>226</v>
      </c>
      <c r="E2616" t="s">
        <v>659</v>
      </c>
      <c r="F2616">
        <v>12.56</v>
      </c>
      <c r="G2616">
        <v>11.55</v>
      </c>
    </row>
    <row r="2617" spans="1:7" hidden="1" x14ac:dyDescent="0.25">
      <c r="A2617" t="s">
        <v>660</v>
      </c>
      <c r="B2617">
        <v>42247</v>
      </c>
      <c r="C2617" t="s">
        <v>3286</v>
      </c>
      <c r="D2617" t="s">
        <v>226</v>
      </c>
      <c r="E2617" t="s">
        <v>659</v>
      </c>
      <c r="F2617">
        <v>428.74</v>
      </c>
      <c r="G2617">
        <v>394.44</v>
      </c>
    </row>
    <row r="2618" spans="1:7" hidden="1" x14ac:dyDescent="0.25">
      <c r="A2618" t="s">
        <v>660</v>
      </c>
      <c r="B2618">
        <v>42248</v>
      </c>
      <c r="C2618" t="s">
        <v>3287</v>
      </c>
      <c r="D2618" t="s">
        <v>226</v>
      </c>
      <c r="E2618" t="s">
        <v>659</v>
      </c>
      <c r="F2618">
        <v>498.02</v>
      </c>
      <c r="G2618">
        <v>458.17</v>
      </c>
    </row>
    <row r="2619" spans="1:7" hidden="1" x14ac:dyDescent="0.25">
      <c r="A2619" t="s">
        <v>660</v>
      </c>
      <c r="B2619">
        <v>42249</v>
      </c>
      <c r="C2619" t="s">
        <v>3288</v>
      </c>
      <c r="D2619" t="s">
        <v>226</v>
      </c>
      <c r="E2619" t="s">
        <v>659</v>
      </c>
      <c r="F2619">
        <v>825.04</v>
      </c>
      <c r="G2619">
        <v>759.03</v>
      </c>
    </row>
    <row r="2620" spans="1:7" hidden="1" x14ac:dyDescent="0.25">
      <c r="A2620" t="s">
        <v>660</v>
      </c>
      <c r="B2620">
        <v>42244</v>
      </c>
      <c r="C2620" t="s">
        <v>3289</v>
      </c>
      <c r="D2620" t="s">
        <v>226</v>
      </c>
      <c r="E2620" t="s">
        <v>659</v>
      </c>
      <c r="F2620">
        <v>128.84</v>
      </c>
      <c r="G2620">
        <v>118.54</v>
      </c>
    </row>
    <row r="2621" spans="1:7" hidden="1" x14ac:dyDescent="0.25">
      <c r="A2621" t="s">
        <v>660</v>
      </c>
      <c r="B2621">
        <v>42245</v>
      </c>
      <c r="C2621" t="s">
        <v>3290</v>
      </c>
      <c r="D2621" t="s">
        <v>226</v>
      </c>
      <c r="E2621" t="s">
        <v>659</v>
      </c>
      <c r="F2621">
        <v>237.76</v>
      </c>
      <c r="G2621">
        <v>218.74</v>
      </c>
    </row>
    <row r="2622" spans="1:7" hidden="1" x14ac:dyDescent="0.25">
      <c r="A2622" t="s">
        <v>660</v>
      </c>
      <c r="B2622">
        <v>42246</v>
      </c>
      <c r="C2622" t="s">
        <v>3291</v>
      </c>
      <c r="D2622" t="s">
        <v>226</v>
      </c>
      <c r="E2622" t="s">
        <v>659</v>
      </c>
      <c r="F2622">
        <v>263.19</v>
      </c>
      <c r="G2622">
        <v>242.13</v>
      </c>
    </row>
    <row r="2623" spans="1:7" hidden="1" x14ac:dyDescent="0.25">
      <c r="A2623" t="s">
        <v>660</v>
      </c>
      <c r="B2623">
        <v>42243</v>
      </c>
      <c r="C2623" t="s">
        <v>3292</v>
      </c>
      <c r="D2623" t="s">
        <v>226</v>
      </c>
      <c r="E2623" t="s">
        <v>659</v>
      </c>
      <c r="F2623">
        <v>317.36</v>
      </c>
      <c r="G2623">
        <v>291.97000000000003</v>
      </c>
    </row>
    <row r="2624" spans="1:7" hidden="1" x14ac:dyDescent="0.25">
      <c r="A2624" t="s">
        <v>660</v>
      </c>
      <c r="B2624">
        <v>38889</v>
      </c>
      <c r="C2624" t="s">
        <v>3293</v>
      </c>
      <c r="D2624" t="s">
        <v>226</v>
      </c>
      <c r="E2624" t="s">
        <v>659</v>
      </c>
      <c r="F2624">
        <f>G2624</f>
        <v>50.02</v>
      </c>
      <c r="G2624">
        <v>50.02</v>
      </c>
    </row>
    <row r="2625" spans="1:7" hidden="1" x14ac:dyDescent="0.25">
      <c r="A2625" t="s">
        <v>660</v>
      </c>
      <c r="B2625">
        <v>38784</v>
      </c>
      <c r="C2625" t="s">
        <v>3294</v>
      </c>
      <c r="D2625" t="s">
        <v>226</v>
      </c>
      <c r="E2625" t="s">
        <v>659</v>
      </c>
      <c r="F2625">
        <f>G2625</f>
        <v>66.92</v>
      </c>
      <c r="G2625">
        <v>66.92</v>
      </c>
    </row>
    <row r="2626" spans="1:7" hidden="1" x14ac:dyDescent="0.25">
      <c r="A2626" t="s">
        <v>660</v>
      </c>
      <c r="B2626">
        <v>3780</v>
      </c>
      <c r="C2626" t="s">
        <v>3295</v>
      </c>
      <c r="D2626" t="s">
        <v>226</v>
      </c>
      <c r="E2626" t="s">
        <v>172</v>
      </c>
      <c r="F2626">
        <f>G2626</f>
        <v>102.9</v>
      </c>
      <c r="G2626">
        <v>102.9</v>
      </c>
    </row>
    <row r="2627" spans="1:7" hidden="1" x14ac:dyDescent="0.25">
      <c r="A2627" t="s">
        <v>660</v>
      </c>
      <c r="B2627">
        <v>38773</v>
      </c>
      <c r="C2627" t="s">
        <v>3296</v>
      </c>
      <c r="D2627" t="s">
        <v>226</v>
      </c>
      <c r="E2627" t="s">
        <v>659</v>
      </c>
      <c r="F2627">
        <f>G2627</f>
        <v>6.56</v>
      </c>
      <c r="G2627">
        <v>6.56</v>
      </c>
    </row>
    <row r="2628" spans="1:7" hidden="1" x14ac:dyDescent="0.25">
      <c r="A2628" t="s">
        <v>660</v>
      </c>
      <c r="B2628">
        <v>12271</v>
      </c>
      <c r="C2628" t="s">
        <v>3297</v>
      </c>
      <c r="D2628" t="s">
        <v>226</v>
      </c>
      <c r="E2628" t="s">
        <v>659</v>
      </c>
      <c r="F2628">
        <f>G2628</f>
        <v>365.99</v>
      </c>
      <c r="G2628">
        <v>365.99</v>
      </c>
    </row>
    <row r="2629" spans="1:7" hidden="1" x14ac:dyDescent="0.25">
      <c r="A2629" t="s">
        <v>660</v>
      </c>
      <c r="B2629">
        <v>39385</v>
      </c>
      <c r="C2629" t="s">
        <v>3298</v>
      </c>
      <c r="D2629" t="s">
        <v>226</v>
      </c>
      <c r="E2629" t="s">
        <v>659</v>
      </c>
      <c r="F2629">
        <v>11.48</v>
      </c>
      <c r="G2629">
        <v>10.57</v>
      </c>
    </row>
    <row r="2630" spans="1:7" hidden="1" x14ac:dyDescent="0.25">
      <c r="A2630" t="s">
        <v>660</v>
      </c>
      <c r="B2630">
        <v>39389</v>
      </c>
      <c r="C2630" t="s">
        <v>3299</v>
      </c>
      <c r="D2630" t="s">
        <v>226</v>
      </c>
      <c r="E2630" t="s">
        <v>659</v>
      </c>
      <c r="F2630">
        <v>12.46</v>
      </c>
      <c r="G2630">
        <v>11.46</v>
      </c>
    </row>
    <row r="2631" spans="1:7" hidden="1" x14ac:dyDescent="0.25">
      <c r="A2631" t="s">
        <v>660</v>
      </c>
      <c r="B2631">
        <v>39390</v>
      </c>
      <c r="C2631" t="s">
        <v>3300</v>
      </c>
      <c r="D2631" t="s">
        <v>226</v>
      </c>
      <c r="E2631" t="s">
        <v>659</v>
      </c>
      <c r="F2631">
        <v>26.13</v>
      </c>
      <c r="G2631">
        <v>24.04</v>
      </c>
    </row>
    <row r="2632" spans="1:7" hidden="1" x14ac:dyDescent="0.25">
      <c r="A2632" t="s">
        <v>660</v>
      </c>
      <c r="B2632">
        <v>39391</v>
      </c>
      <c r="C2632" t="s">
        <v>3301</v>
      </c>
      <c r="D2632" t="s">
        <v>226</v>
      </c>
      <c r="E2632" t="s">
        <v>659</v>
      </c>
      <c r="F2632">
        <v>29.33</v>
      </c>
      <c r="G2632">
        <v>26.98</v>
      </c>
    </row>
    <row r="2633" spans="1:7" hidden="1" x14ac:dyDescent="0.25">
      <c r="A2633" t="s">
        <v>660</v>
      </c>
      <c r="B2633">
        <v>3803</v>
      </c>
      <c r="C2633" t="s">
        <v>3302</v>
      </c>
      <c r="D2633" t="s">
        <v>226</v>
      </c>
      <c r="E2633" t="s">
        <v>659</v>
      </c>
      <c r="F2633">
        <f>G2633</f>
        <v>61.89</v>
      </c>
      <c r="G2633">
        <v>61.89</v>
      </c>
    </row>
    <row r="2634" spans="1:7" hidden="1" x14ac:dyDescent="0.25">
      <c r="A2634" t="s">
        <v>660</v>
      </c>
      <c r="B2634">
        <v>38770</v>
      </c>
      <c r="C2634" t="s">
        <v>3303</v>
      </c>
      <c r="D2634" t="s">
        <v>226</v>
      </c>
      <c r="E2634" t="s">
        <v>659</v>
      </c>
      <c r="F2634">
        <f>G2634</f>
        <v>71.66</v>
      </c>
      <c r="G2634">
        <v>71.66</v>
      </c>
    </row>
    <row r="2635" spans="1:7" hidden="1" x14ac:dyDescent="0.25">
      <c r="A2635" t="s">
        <v>660</v>
      </c>
      <c r="B2635">
        <v>12267</v>
      </c>
      <c r="C2635" t="s">
        <v>3304</v>
      </c>
      <c r="D2635" t="s">
        <v>226</v>
      </c>
      <c r="E2635" t="s">
        <v>659</v>
      </c>
      <c r="F2635">
        <f>G2635</f>
        <v>210</v>
      </c>
      <c r="G2635">
        <v>210</v>
      </c>
    </row>
    <row r="2636" spans="1:7" x14ac:dyDescent="0.25">
      <c r="A2636" t="s">
        <v>660</v>
      </c>
      <c r="B2636">
        <v>43265</v>
      </c>
      <c r="C2636" t="s">
        <v>3305</v>
      </c>
      <c r="D2636" t="s">
        <v>226</v>
      </c>
      <c r="E2636" t="s">
        <v>659</v>
      </c>
      <c r="F2636">
        <v>35.92</v>
      </c>
      <c r="G2636">
        <v>33.049999999999997</v>
      </c>
    </row>
    <row r="2637" spans="1:7" hidden="1" x14ac:dyDescent="0.25">
      <c r="A2637" t="s">
        <v>660</v>
      </c>
      <c r="B2637">
        <v>12266</v>
      </c>
      <c r="C2637" t="s">
        <v>3306</v>
      </c>
      <c r="D2637" t="s">
        <v>226</v>
      </c>
      <c r="E2637" t="s">
        <v>659</v>
      </c>
      <c r="F2637">
        <f>G2637</f>
        <v>107.48</v>
      </c>
      <c r="G2637">
        <v>107.48</v>
      </c>
    </row>
    <row r="2638" spans="1:7" hidden="1" x14ac:dyDescent="0.25">
      <c r="A2638" t="s">
        <v>660</v>
      </c>
      <c r="B2638">
        <v>39378</v>
      </c>
      <c r="C2638" t="s">
        <v>3307</v>
      </c>
      <c r="D2638" t="s">
        <v>226</v>
      </c>
      <c r="E2638" t="s">
        <v>659</v>
      </c>
      <c r="F2638">
        <f>G2638</f>
        <v>76.2</v>
      </c>
      <c r="G2638">
        <v>76.2</v>
      </c>
    </row>
    <row r="2639" spans="1:7" hidden="1" x14ac:dyDescent="0.25">
      <c r="A2639" t="s">
        <v>660</v>
      </c>
      <c r="B2639">
        <v>43543</v>
      </c>
      <c r="C2639" t="s">
        <v>3308</v>
      </c>
      <c r="D2639" t="s">
        <v>226</v>
      </c>
      <c r="E2639" t="s">
        <v>659</v>
      </c>
      <c r="F2639">
        <f>G2639</f>
        <v>158.76</v>
      </c>
      <c r="G2639">
        <v>158.76</v>
      </c>
    </row>
    <row r="2640" spans="1:7" hidden="1" x14ac:dyDescent="0.25">
      <c r="A2640" t="s">
        <v>660</v>
      </c>
      <c r="B2640">
        <v>38775</v>
      </c>
      <c r="C2640" t="s">
        <v>3309</v>
      </c>
      <c r="D2640" t="s">
        <v>226</v>
      </c>
      <c r="E2640" t="s">
        <v>659</v>
      </c>
      <c r="F2640">
        <f>G2640</f>
        <v>80.790000000000006</v>
      </c>
      <c r="G2640">
        <v>80.790000000000006</v>
      </c>
    </row>
    <row r="2641" spans="1:7" hidden="1" x14ac:dyDescent="0.25">
      <c r="A2641" t="s">
        <v>660</v>
      </c>
      <c r="B2641">
        <v>44252</v>
      </c>
      <c r="C2641" t="s">
        <v>3310</v>
      </c>
      <c r="D2641" t="s">
        <v>226</v>
      </c>
      <c r="E2641" t="s">
        <v>659</v>
      </c>
      <c r="F2641">
        <v>203.59</v>
      </c>
      <c r="G2641">
        <v>194.37</v>
      </c>
    </row>
    <row r="2642" spans="1:7" hidden="1" x14ac:dyDescent="0.25">
      <c r="A2642" t="s">
        <v>660</v>
      </c>
      <c r="B2642">
        <v>21119</v>
      </c>
      <c r="C2642" t="s">
        <v>3311</v>
      </c>
      <c r="D2642" t="s">
        <v>226</v>
      </c>
      <c r="E2642" t="s">
        <v>659</v>
      </c>
      <c r="F2642">
        <v>2.04</v>
      </c>
      <c r="G2642">
        <v>1.95</v>
      </c>
    </row>
    <row r="2643" spans="1:7" hidden="1" x14ac:dyDescent="0.25">
      <c r="A2643" t="s">
        <v>660</v>
      </c>
      <c r="B2643">
        <v>37974</v>
      </c>
      <c r="C2643" t="s">
        <v>3312</v>
      </c>
      <c r="D2643" t="s">
        <v>226</v>
      </c>
      <c r="E2643" t="s">
        <v>659</v>
      </c>
      <c r="F2643">
        <v>2.64</v>
      </c>
      <c r="G2643">
        <v>2.52</v>
      </c>
    </row>
    <row r="2644" spans="1:7" hidden="1" x14ac:dyDescent="0.25">
      <c r="A2644" t="s">
        <v>660</v>
      </c>
      <c r="B2644">
        <v>37975</v>
      </c>
      <c r="C2644" t="s">
        <v>3313</v>
      </c>
      <c r="D2644" t="s">
        <v>226</v>
      </c>
      <c r="E2644" t="s">
        <v>659</v>
      </c>
      <c r="F2644">
        <v>5.88</v>
      </c>
      <c r="G2644">
        <v>5.61</v>
      </c>
    </row>
    <row r="2645" spans="1:7" hidden="1" x14ac:dyDescent="0.25">
      <c r="A2645" t="s">
        <v>660</v>
      </c>
      <c r="B2645">
        <v>37976</v>
      </c>
      <c r="C2645" t="s">
        <v>3314</v>
      </c>
      <c r="D2645" t="s">
        <v>226</v>
      </c>
      <c r="E2645" t="s">
        <v>659</v>
      </c>
      <c r="F2645">
        <v>13.09</v>
      </c>
      <c r="G2645">
        <v>12.5</v>
      </c>
    </row>
    <row r="2646" spans="1:7" hidden="1" x14ac:dyDescent="0.25">
      <c r="A2646" t="s">
        <v>660</v>
      </c>
      <c r="B2646">
        <v>37977</v>
      </c>
      <c r="C2646" t="s">
        <v>3315</v>
      </c>
      <c r="D2646" t="s">
        <v>226</v>
      </c>
      <c r="E2646" t="s">
        <v>659</v>
      </c>
      <c r="F2646">
        <v>18.11</v>
      </c>
      <c r="G2646">
        <v>17.29</v>
      </c>
    </row>
    <row r="2647" spans="1:7" hidden="1" x14ac:dyDescent="0.25">
      <c r="A2647" t="s">
        <v>660</v>
      </c>
      <c r="B2647">
        <v>37978</v>
      </c>
      <c r="C2647" t="s">
        <v>3316</v>
      </c>
      <c r="D2647" t="s">
        <v>226</v>
      </c>
      <c r="E2647" t="s">
        <v>659</v>
      </c>
      <c r="F2647">
        <v>35.909999999999997</v>
      </c>
      <c r="G2647">
        <v>34.29</v>
      </c>
    </row>
    <row r="2648" spans="1:7" hidden="1" x14ac:dyDescent="0.25">
      <c r="A2648" t="s">
        <v>660</v>
      </c>
      <c r="B2648">
        <v>37979</v>
      </c>
      <c r="C2648" t="s">
        <v>3317</v>
      </c>
      <c r="D2648" t="s">
        <v>226</v>
      </c>
      <c r="E2648" t="s">
        <v>659</v>
      </c>
      <c r="F2648">
        <v>152.41999999999999</v>
      </c>
      <c r="G2648">
        <v>145.51</v>
      </c>
    </row>
    <row r="2649" spans="1:7" hidden="1" x14ac:dyDescent="0.25">
      <c r="A2649" t="s">
        <v>660</v>
      </c>
      <c r="B2649">
        <v>37980</v>
      </c>
      <c r="C2649" t="s">
        <v>3318</v>
      </c>
      <c r="D2649" t="s">
        <v>226</v>
      </c>
      <c r="E2649" t="s">
        <v>659</v>
      </c>
      <c r="F2649">
        <v>175.09</v>
      </c>
      <c r="G2649">
        <v>167.15</v>
      </c>
    </row>
    <row r="2650" spans="1:7" hidden="1" x14ac:dyDescent="0.25">
      <c r="A2650" t="s">
        <v>660</v>
      </c>
      <c r="B2650">
        <v>36147</v>
      </c>
      <c r="C2650" t="s">
        <v>3319</v>
      </c>
      <c r="D2650" t="s">
        <v>1086</v>
      </c>
      <c r="E2650" t="s">
        <v>659</v>
      </c>
      <c r="F2650">
        <v>263.75</v>
      </c>
      <c r="G2650">
        <v>295.39</v>
      </c>
    </row>
    <row r="2651" spans="1:7" hidden="1" x14ac:dyDescent="0.25">
      <c r="A2651" t="s">
        <v>660</v>
      </c>
      <c r="B2651">
        <v>12731</v>
      </c>
      <c r="C2651" t="s">
        <v>3320</v>
      </c>
      <c r="D2651" t="s">
        <v>226</v>
      </c>
      <c r="E2651" t="s">
        <v>659</v>
      </c>
      <c r="F2651">
        <f t="shared" ref="F2651:F2659" si="21">G2651</f>
        <v>393.4</v>
      </c>
      <c r="G2651">
        <v>393.4</v>
      </c>
    </row>
    <row r="2652" spans="1:7" hidden="1" x14ac:dyDescent="0.25">
      <c r="A2652" t="s">
        <v>660</v>
      </c>
      <c r="B2652">
        <v>12723</v>
      </c>
      <c r="C2652" t="s">
        <v>3321</v>
      </c>
      <c r="D2652" t="s">
        <v>226</v>
      </c>
      <c r="E2652" t="s">
        <v>659</v>
      </c>
      <c r="F2652">
        <f t="shared" si="21"/>
        <v>3.05</v>
      </c>
      <c r="G2652">
        <v>3.05</v>
      </c>
    </row>
    <row r="2653" spans="1:7" hidden="1" x14ac:dyDescent="0.25">
      <c r="A2653" t="s">
        <v>660</v>
      </c>
      <c r="B2653">
        <v>12724</v>
      </c>
      <c r="C2653" t="s">
        <v>3322</v>
      </c>
      <c r="D2653" t="s">
        <v>226</v>
      </c>
      <c r="E2653" t="s">
        <v>659</v>
      </c>
      <c r="F2653">
        <f t="shared" si="21"/>
        <v>5.86</v>
      </c>
      <c r="G2653">
        <v>5.86</v>
      </c>
    </row>
    <row r="2654" spans="1:7" hidden="1" x14ac:dyDescent="0.25">
      <c r="A2654" t="s">
        <v>660</v>
      </c>
      <c r="B2654">
        <v>12725</v>
      </c>
      <c r="C2654" t="s">
        <v>3323</v>
      </c>
      <c r="D2654" t="s">
        <v>226</v>
      </c>
      <c r="E2654" t="s">
        <v>659</v>
      </c>
      <c r="F2654">
        <f t="shared" si="21"/>
        <v>11.76</v>
      </c>
      <c r="G2654">
        <v>11.76</v>
      </c>
    </row>
    <row r="2655" spans="1:7" hidden="1" x14ac:dyDescent="0.25">
      <c r="A2655" t="s">
        <v>660</v>
      </c>
      <c r="B2655">
        <v>12726</v>
      </c>
      <c r="C2655" t="s">
        <v>3324</v>
      </c>
      <c r="D2655" t="s">
        <v>226</v>
      </c>
      <c r="E2655" t="s">
        <v>659</v>
      </c>
      <c r="F2655">
        <f t="shared" si="21"/>
        <v>25.95</v>
      </c>
      <c r="G2655">
        <v>25.95</v>
      </c>
    </row>
    <row r="2656" spans="1:7" hidden="1" x14ac:dyDescent="0.25">
      <c r="A2656" t="s">
        <v>660</v>
      </c>
      <c r="B2656">
        <v>12727</v>
      </c>
      <c r="C2656" t="s">
        <v>3325</v>
      </c>
      <c r="D2656" t="s">
        <v>226</v>
      </c>
      <c r="E2656" t="s">
        <v>659</v>
      </c>
      <c r="F2656">
        <f t="shared" si="21"/>
        <v>32.909999999999997</v>
      </c>
      <c r="G2656">
        <v>32.909999999999997</v>
      </c>
    </row>
    <row r="2657" spans="1:7" hidden="1" x14ac:dyDescent="0.25">
      <c r="A2657" t="s">
        <v>660</v>
      </c>
      <c r="B2657">
        <v>12728</v>
      </c>
      <c r="C2657" t="s">
        <v>3326</v>
      </c>
      <c r="D2657" t="s">
        <v>226</v>
      </c>
      <c r="E2657" t="s">
        <v>659</v>
      </c>
      <c r="F2657">
        <f t="shared" si="21"/>
        <v>53.76</v>
      </c>
      <c r="G2657">
        <v>53.76</v>
      </c>
    </row>
    <row r="2658" spans="1:7" hidden="1" x14ac:dyDescent="0.25">
      <c r="A2658" t="s">
        <v>660</v>
      </c>
      <c r="B2658">
        <v>12729</v>
      </c>
      <c r="C2658" t="s">
        <v>3327</v>
      </c>
      <c r="D2658" t="s">
        <v>226</v>
      </c>
      <c r="E2658" t="s">
        <v>659</v>
      </c>
      <c r="F2658">
        <f t="shared" si="21"/>
        <v>176.21</v>
      </c>
      <c r="G2658">
        <v>176.21</v>
      </c>
    </row>
    <row r="2659" spans="1:7" hidden="1" x14ac:dyDescent="0.25">
      <c r="A2659" t="s">
        <v>660</v>
      </c>
      <c r="B2659">
        <v>12730</v>
      </c>
      <c r="C2659" t="s">
        <v>3328</v>
      </c>
      <c r="D2659" t="s">
        <v>226</v>
      </c>
      <c r="E2659" t="s">
        <v>659</v>
      </c>
      <c r="F2659">
        <f t="shared" si="21"/>
        <v>269.77999999999997</v>
      </c>
      <c r="G2659">
        <v>269.77999999999997</v>
      </c>
    </row>
    <row r="2660" spans="1:7" hidden="1" x14ac:dyDescent="0.25">
      <c r="A2660" t="s">
        <v>660</v>
      </c>
      <c r="B2660">
        <v>3840</v>
      </c>
      <c r="C2660" t="s">
        <v>3329</v>
      </c>
      <c r="D2660" t="s">
        <v>226</v>
      </c>
      <c r="E2660" t="s">
        <v>659</v>
      </c>
      <c r="F2660">
        <v>62.73</v>
      </c>
      <c r="G2660">
        <v>64.650000000000006</v>
      </c>
    </row>
    <row r="2661" spans="1:7" hidden="1" x14ac:dyDescent="0.25">
      <c r="A2661" t="s">
        <v>660</v>
      </c>
      <c r="B2661">
        <v>3838</v>
      </c>
      <c r="C2661" t="s">
        <v>3330</v>
      </c>
      <c r="D2661" t="s">
        <v>226</v>
      </c>
      <c r="E2661" t="s">
        <v>659</v>
      </c>
      <c r="F2661">
        <v>138.44</v>
      </c>
      <c r="G2661">
        <v>142.68</v>
      </c>
    </row>
    <row r="2662" spans="1:7" hidden="1" x14ac:dyDescent="0.25">
      <c r="A2662" t="s">
        <v>660</v>
      </c>
      <c r="B2662">
        <v>3844</v>
      </c>
      <c r="C2662" t="s">
        <v>3331</v>
      </c>
      <c r="D2662" t="s">
        <v>226</v>
      </c>
      <c r="E2662" t="s">
        <v>659</v>
      </c>
      <c r="F2662">
        <v>246.93</v>
      </c>
      <c r="G2662">
        <v>254.51</v>
      </c>
    </row>
    <row r="2663" spans="1:7" hidden="1" x14ac:dyDescent="0.25">
      <c r="A2663" t="s">
        <v>660</v>
      </c>
      <c r="B2663">
        <v>3839</v>
      </c>
      <c r="C2663" t="s">
        <v>3332</v>
      </c>
      <c r="D2663" t="s">
        <v>226</v>
      </c>
      <c r="E2663" t="s">
        <v>659</v>
      </c>
      <c r="F2663">
        <v>449.78</v>
      </c>
      <c r="G2663">
        <v>463.57</v>
      </c>
    </row>
    <row r="2664" spans="1:7" hidden="1" x14ac:dyDescent="0.25">
      <c r="A2664" t="s">
        <v>660</v>
      </c>
      <c r="B2664">
        <v>3843</v>
      </c>
      <c r="C2664" t="s">
        <v>3333</v>
      </c>
      <c r="D2664" t="s">
        <v>226</v>
      </c>
      <c r="E2664" t="s">
        <v>659</v>
      </c>
      <c r="F2664">
        <v>617.33000000000004</v>
      </c>
      <c r="G2664">
        <v>636.26</v>
      </c>
    </row>
    <row r="2665" spans="1:7" hidden="1" x14ac:dyDescent="0.25">
      <c r="A2665" t="s">
        <v>660</v>
      </c>
      <c r="B2665">
        <v>3900</v>
      </c>
      <c r="C2665" t="s">
        <v>3334</v>
      </c>
      <c r="D2665" t="s">
        <v>226</v>
      </c>
      <c r="E2665" t="s">
        <v>659</v>
      </c>
      <c r="F2665">
        <v>47.71</v>
      </c>
      <c r="G2665">
        <v>48.84</v>
      </c>
    </row>
    <row r="2666" spans="1:7" hidden="1" x14ac:dyDescent="0.25">
      <c r="A2666" t="s">
        <v>660</v>
      </c>
      <c r="B2666">
        <v>3846</v>
      </c>
      <c r="C2666" t="s">
        <v>3335</v>
      </c>
      <c r="D2666" t="s">
        <v>226</v>
      </c>
      <c r="E2666" t="s">
        <v>659</v>
      </c>
      <c r="F2666">
        <v>14.34</v>
      </c>
      <c r="G2666">
        <v>14.67</v>
      </c>
    </row>
    <row r="2667" spans="1:7" hidden="1" x14ac:dyDescent="0.25">
      <c r="A2667" t="s">
        <v>660</v>
      </c>
      <c r="B2667">
        <v>3886</v>
      </c>
      <c r="C2667" t="s">
        <v>3336</v>
      </c>
      <c r="D2667" t="s">
        <v>226</v>
      </c>
      <c r="E2667" t="s">
        <v>659</v>
      </c>
      <c r="F2667">
        <v>19.03</v>
      </c>
      <c r="G2667">
        <v>19.48</v>
      </c>
    </row>
    <row r="2668" spans="1:7" hidden="1" x14ac:dyDescent="0.25">
      <c r="A2668" t="s">
        <v>660</v>
      </c>
      <c r="B2668">
        <v>3854</v>
      </c>
      <c r="C2668" t="s">
        <v>3337</v>
      </c>
      <c r="D2668" t="s">
        <v>226</v>
      </c>
      <c r="E2668" t="s">
        <v>659</v>
      </c>
      <c r="F2668">
        <v>10.85</v>
      </c>
      <c r="G2668">
        <v>11.1</v>
      </c>
    </row>
    <row r="2669" spans="1:7" hidden="1" x14ac:dyDescent="0.25">
      <c r="A2669" t="s">
        <v>660</v>
      </c>
      <c r="B2669">
        <v>3873</v>
      </c>
      <c r="C2669" t="s">
        <v>3338</v>
      </c>
      <c r="D2669" t="s">
        <v>226</v>
      </c>
      <c r="E2669" t="s">
        <v>659</v>
      </c>
      <c r="F2669">
        <v>12.63</v>
      </c>
      <c r="G2669">
        <v>12.93</v>
      </c>
    </row>
    <row r="2670" spans="1:7" hidden="1" x14ac:dyDescent="0.25">
      <c r="A2670" t="s">
        <v>660</v>
      </c>
      <c r="B2670">
        <v>38021</v>
      </c>
      <c r="C2670" t="s">
        <v>3339</v>
      </c>
      <c r="D2670" t="s">
        <v>226</v>
      </c>
      <c r="E2670" t="s">
        <v>659</v>
      </c>
      <c r="F2670">
        <v>22.42</v>
      </c>
      <c r="G2670">
        <v>22.95</v>
      </c>
    </row>
    <row r="2671" spans="1:7" hidden="1" x14ac:dyDescent="0.25">
      <c r="A2671" t="s">
        <v>660</v>
      </c>
      <c r="B2671">
        <v>43838</v>
      </c>
      <c r="C2671" t="s">
        <v>3340</v>
      </c>
      <c r="D2671" t="s">
        <v>226</v>
      </c>
      <c r="E2671" t="s">
        <v>659</v>
      </c>
      <c r="F2671">
        <v>28.98</v>
      </c>
      <c r="G2671">
        <v>29.66</v>
      </c>
    </row>
    <row r="2672" spans="1:7" hidden="1" x14ac:dyDescent="0.25">
      <c r="A2672" t="s">
        <v>660</v>
      </c>
      <c r="B2672">
        <v>3847</v>
      </c>
      <c r="C2672" t="s">
        <v>3341</v>
      </c>
      <c r="D2672" t="s">
        <v>226</v>
      </c>
      <c r="E2672" t="s">
        <v>659</v>
      </c>
      <c r="F2672">
        <v>29.23</v>
      </c>
      <c r="G2672">
        <v>29.91</v>
      </c>
    </row>
    <row r="2673" spans="1:7" hidden="1" x14ac:dyDescent="0.25">
      <c r="A2673" t="s">
        <v>660</v>
      </c>
      <c r="B2673">
        <v>38022</v>
      </c>
      <c r="C2673" t="s">
        <v>3342</v>
      </c>
      <c r="D2673" t="s">
        <v>226</v>
      </c>
      <c r="E2673" t="s">
        <v>659</v>
      </c>
      <c r="F2673">
        <v>40.17</v>
      </c>
      <c r="G2673">
        <v>41.12</v>
      </c>
    </row>
    <row r="2674" spans="1:7" hidden="1" x14ac:dyDescent="0.25">
      <c r="A2674" t="s">
        <v>660</v>
      </c>
      <c r="B2674">
        <v>3826</v>
      </c>
      <c r="C2674" t="s">
        <v>3343</v>
      </c>
      <c r="D2674" t="s">
        <v>226</v>
      </c>
      <c r="E2674" t="s">
        <v>659</v>
      </c>
      <c r="F2674">
        <v>62.24</v>
      </c>
      <c r="G2674">
        <v>64.150000000000006</v>
      </c>
    </row>
    <row r="2675" spans="1:7" hidden="1" x14ac:dyDescent="0.25">
      <c r="A2675" t="s">
        <v>660</v>
      </c>
      <c r="B2675">
        <v>3825</v>
      </c>
      <c r="C2675" t="s">
        <v>3344</v>
      </c>
      <c r="D2675" t="s">
        <v>226</v>
      </c>
      <c r="E2675" t="s">
        <v>659</v>
      </c>
      <c r="F2675">
        <v>17.899999999999999</v>
      </c>
      <c r="G2675">
        <v>18.45</v>
      </c>
    </row>
    <row r="2676" spans="1:7" hidden="1" x14ac:dyDescent="0.25">
      <c r="A2676" t="s">
        <v>660</v>
      </c>
      <c r="B2676">
        <v>3827</v>
      </c>
      <c r="C2676" t="s">
        <v>3345</v>
      </c>
      <c r="D2676" t="s">
        <v>226</v>
      </c>
      <c r="E2676" t="s">
        <v>659</v>
      </c>
      <c r="F2676">
        <v>39.11</v>
      </c>
      <c r="G2676">
        <v>40.31</v>
      </c>
    </row>
    <row r="2677" spans="1:7" hidden="1" x14ac:dyDescent="0.25">
      <c r="A2677" t="s">
        <v>660</v>
      </c>
      <c r="B2677">
        <v>3830</v>
      </c>
      <c r="C2677" t="s">
        <v>3346</v>
      </c>
      <c r="D2677" t="s">
        <v>226</v>
      </c>
      <c r="E2677" t="s">
        <v>659</v>
      </c>
      <c r="F2677">
        <v>207.57</v>
      </c>
      <c r="G2677">
        <v>214.6</v>
      </c>
    </row>
    <row r="2678" spans="1:7" hidden="1" x14ac:dyDescent="0.25">
      <c r="A2678" t="s">
        <v>660</v>
      </c>
      <c r="B2678">
        <v>37981</v>
      </c>
      <c r="C2678" t="s">
        <v>3347</v>
      </c>
      <c r="D2678" t="s">
        <v>226</v>
      </c>
      <c r="E2678" t="s">
        <v>659</v>
      </c>
      <c r="F2678">
        <v>7.62</v>
      </c>
      <c r="G2678">
        <v>7.28</v>
      </c>
    </row>
    <row r="2679" spans="1:7" hidden="1" x14ac:dyDescent="0.25">
      <c r="A2679" t="s">
        <v>660</v>
      </c>
      <c r="B2679">
        <v>37982</v>
      </c>
      <c r="C2679" t="s">
        <v>3348</v>
      </c>
      <c r="D2679" t="s">
        <v>226</v>
      </c>
      <c r="E2679" t="s">
        <v>659</v>
      </c>
      <c r="F2679">
        <v>11.07</v>
      </c>
      <c r="G2679">
        <v>10.57</v>
      </c>
    </row>
    <row r="2680" spans="1:7" hidden="1" x14ac:dyDescent="0.25">
      <c r="A2680" t="s">
        <v>660</v>
      </c>
      <c r="B2680">
        <v>37983</v>
      </c>
      <c r="C2680" t="s">
        <v>3349</v>
      </c>
      <c r="D2680" t="s">
        <v>226</v>
      </c>
      <c r="E2680" t="s">
        <v>659</v>
      </c>
      <c r="F2680">
        <v>16.36</v>
      </c>
      <c r="G2680">
        <v>15.62</v>
      </c>
    </row>
    <row r="2681" spans="1:7" hidden="1" x14ac:dyDescent="0.25">
      <c r="A2681" t="s">
        <v>660</v>
      </c>
      <c r="B2681">
        <v>37984</v>
      </c>
      <c r="C2681" t="s">
        <v>3350</v>
      </c>
      <c r="D2681" t="s">
        <v>226</v>
      </c>
      <c r="E2681" t="s">
        <v>659</v>
      </c>
      <c r="F2681">
        <v>22.98</v>
      </c>
      <c r="G2681">
        <v>21.94</v>
      </c>
    </row>
    <row r="2682" spans="1:7" hidden="1" x14ac:dyDescent="0.25">
      <c r="A2682" t="s">
        <v>660</v>
      </c>
      <c r="B2682">
        <v>37985</v>
      </c>
      <c r="C2682" t="s">
        <v>3351</v>
      </c>
      <c r="D2682" t="s">
        <v>226</v>
      </c>
      <c r="E2682" t="s">
        <v>659</v>
      </c>
      <c r="F2682">
        <v>32.65</v>
      </c>
      <c r="G2682">
        <v>31.17</v>
      </c>
    </row>
    <row r="2683" spans="1:7" hidden="1" x14ac:dyDescent="0.25">
      <c r="A2683" t="s">
        <v>660</v>
      </c>
      <c r="B2683">
        <v>20165</v>
      </c>
      <c r="C2683" t="s">
        <v>3352</v>
      </c>
      <c r="D2683" t="s">
        <v>226</v>
      </c>
      <c r="E2683" t="s">
        <v>659</v>
      </c>
      <c r="F2683">
        <v>25.73</v>
      </c>
      <c r="G2683">
        <v>26.6</v>
      </c>
    </row>
    <row r="2684" spans="1:7" hidden="1" x14ac:dyDescent="0.25">
      <c r="A2684" t="s">
        <v>660</v>
      </c>
      <c r="B2684">
        <v>20166</v>
      </c>
      <c r="C2684" t="s">
        <v>3353</v>
      </c>
      <c r="D2684" t="s">
        <v>226</v>
      </c>
      <c r="E2684" t="s">
        <v>659</v>
      </c>
      <c r="F2684">
        <v>78.59</v>
      </c>
      <c r="G2684">
        <v>81.25</v>
      </c>
    </row>
    <row r="2685" spans="1:7" hidden="1" x14ac:dyDescent="0.25">
      <c r="A2685" t="s">
        <v>660</v>
      </c>
      <c r="B2685">
        <v>20164</v>
      </c>
      <c r="C2685" t="s">
        <v>3354</v>
      </c>
      <c r="D2685" t="s">
        <v>226</v>
      </c>
      <c r="E2685" t="s">
        <v>659</v>
      </c>
      <c r="F2685">
        <v>12.36</v>
      </c>
      <c r="G2685">
        <v>12.78</v>
      </c>
    </row>
    <row r="2686" spans="1:7" hidden="1" x14ac:dyDescent="0.25">
      <c r="A2686" t="s">
        <v>660</v>
      </c>
      <c r="B2686">
        <v>3893</v>
      </c>
      <c r="C2686" t="s">
        <v>3355</v>
      </c>
      <c r="D2686" t="s">
        <v>226</v>
      </c>
      <c r="E2686" t="s">
        <v>659</v>
      </c>
      <c r="F2686">
        <v>19.37</v>
      </c>
      <c r="G2686">
        <v>20.03</v>
      </c>
    </row>
    <row r="2687" spans="1:7" hidden="1" x14ac:dyDescent="0.25">
      <c r="A2687" t="s">
        <v>660</v>
      </c>
      <c r="B2687">
        <v>3848</v>
      </c>
      <c r="C2687" t="s">
        <v>3356</v>
      </c>
      <c r="D2687" t="s">
        <v>226</v>
      </c>
      <c r="E2687" t="s">
        <v>659</v>
      </c>
      <c r="F2687">
        <v>11.81</v>
      </c>
      <c r="G2687">
        <v>12.21</v>
      </c>
    </row>
    <row r="2688" spans="1:7" hidden="1" x14ac:dyDescent="0.25">
      <c r="A2688" t="s">
        <v>660</v>
      </c>
      <c r="B2688">
        <v>3895</v>
      </c>
      <c r="C2688" t="s">
        <v>3357</v>
      </c>
      <c r="D2688" t="s">
        <v>226</v>
      </c>
      <c r="E2688" t="s">
        <v>659</v>
      </c>
      <c r="F2688">
        <v>13.12</v>
      </c>
      <c r="G2688">
        <v>13.56</v>
      </c>
    </row>
    <row r="2689" spans="1:7" hidden="1" x14ac:dyDescent="0.25">
      <c r="A2689" t="s">
        <v>660</v>
      </c>
      <c r="B2689">
        <v>12404</v>
      </c>
      <c r="C2689" t="s">
        <v>3358</v>
      </c>
      <c r="D2689" t="s">
        <v>226</v>
      </c>
      <c r="E2689" t="s">
        <v>659</v>
      </c>
      <c r="F2689">
        <v>11.12</v>
      </c>
      <c r="G2689">
        <v>11.6</v>
      </c>
    </row>
    <row r="2690" spans="1:7" hidden="1" x14ac:dyDescent="0.25">
      <c r="A2690" t="s">
        <v>660</v>
      </c>
      <c r="B2690">
        <v>3939</v>
      </c>
      <c r="C2690" t="s">
        <v>3359</v>
      </c>
      <c r="D2690" t="s">
        <v>226</v>
      </c>
      <c r="E2690" t="s">
        <v>659</v>
      </c>
      <c r="F2690">
        <v>22.92</v>
      </c>
      <c r="G2690">
        <v>23.91</v>
      </c>
    </row>
    <row r="2691" spans="1:7" hidden="1" x14ac:dyDescent="0.25">
      <c r="A2691" t="s">
        <v>660</v>
      </c>
      <c r="B2691">
        <v>3911</v>
      </c>
      <c r="C2691" t="s">
        <v>3360</v>
      </c>
      <c r="D2691" t="s">
        <v>226</v>
      </c>
      <c r="E2691" t="s">
        <v>659</v>
      </c>
      <c r="F2691">
        <v>18.72</v>
      </c>
      <c r="G2691">
        <v>19.53</v>
      </c>
    </row>
    <row r="2692" spans="1:7" hidden="1" x14ac:dyDescent="0.25">
      <c r="A2692" t="s">
        <v>660</v>
      </c>
      <c r="B2692">
        <v>3910</v>
      </c>
      <c r="C2692" t="s">
        <v>3361</v>
      </c>
      <c r="D2692" t="s">
        <v>226</v>
      </c>
      <c r="E2692" t="s">
        <v>659</v>
      </c>
      <c r="F2692">
        <v>13.4</v>
      </c>
      <c r="G2692">
        <v>13.97</v>
      </c>
    </row>
    <row r="2693" spans="1:7" hidden="1" x14ac:dyDescent="0.25">
      <c r="A2693" t="s">
        <v>660</v>
      </c>
      <c r="B2693">
        <v>3908</v>
      </c>
      <c r="C2693" t="s">
        <v>3362</v>
      </c>
      <c r="D2693" t="s">
        <v>226</v>
      </c>
      <c r="E2693" t="s">
        <v>659</v>
      </c>
      <c r="F2693">
        <v>6.05</v>
      </c>
      <c r="G2693">
        <v>6.31</v>
      </c>
    </row>
    <row r="2694" spans="1:7" hidden="1" x14ac:dyDescent="0.25">
      <c r="A2694" t="s">
        <v>660</v>
      </c>
      <c r="B2694">
        <v>3913</v>
      </c>
      <c r="C2694" t="s">
        <v>3363</v>
      </c>
      <c r="D2694" t="s">
        <v>226</v>
      </c>
      <c r="E2694" t="s">
        <v>659</v>
      </c>
      <c r="F2694">
        <v>64.040000000000006</v>
      </c>
      <c r="G2694">
        <v>66.790000000000006</v>
      </c>
    </row>
    <row r="2695" spans="1:7" hidden="1" x14ac:dyDescent="0.25">
      <c r="A2695" t="s">
        <v>660</v>
      </c>
      <c r="B2695">
        <v>3912</v>
      </c>
      <c r="C2695" t="s">
        <v>3364</v>
      </c>
      <c r="D2695" t="s">
        <v>226</v>
      </c>
      <c r="E2695" t="s">
        <v>659</v>
      </c>
      <c r="F2695">
        <v>35.1</v>
      </c>
      <c r="G2695">
        <v>36.61</v>
      </c>
    </row>
    <row r="2696" spans="1:7" hidden="1" x14ac:dyDescent="0.25">
      <c r="A2696" t="s">
        <v>660</v>
      </c>
      <c r="B2696">
        <v>3914</v>
      </c>
      <c r="C2696" t="s">
        <v>3365</v>
      </c>
      <c r="D2696" t="s">
        <v>226</v>
      </c>
      <c r="E2696" t="s">
        <v>659</v>
      </c>
      <c r="F2696">
        <v>96.61</v>
      </c>
      <c r="G2696">
        <v>100.76</v>
      </c>
    </row>
    <row r="2697" spans="1:7" hidden="1" x14ac:dyDescent="0.25">
      <c r="A2697" t="s">
        <v>660</v>
      </c>
      <c r="B2697">
        <v>3909</v>
      </c>
      <c r="C2697" t="s">
        <v>3366</v>
      </c>
      <c r="D2697" t="s">
        <v>226</v>
      </c>
      <c r="E2697" t="s">
        <v>659</v>
      </c>
      <c r="F2697">
        <v>8.24</v>
      </c>
      <c r="G2697">
        <v>8.59</v>
      </c>
    </row>
    <row r="2698" spans="1:7" hidden="1" x14ac:dyDescent="0.25">
      <c r="A2698" t="s">
        <v>660</v>
      </c>
      <c r="B2698">
        <v>3915</v>
      </c>
      <c r="C2698" t="s">
        <v>3367</v>
      </c>
      <c r="D2698" t="s">
        <v>226</v>
      </c>
      <c r="E2698" t="s">
        <v>659</v>
      </c>
      <c r="F2698">
        <v>152.34</v>
      </c>
      <c r="G2698">
        <v>158.9</v>
      </c>
    </row>
    <row r="2699" spans="1:7" hidden="1" x14ac:dyDescent="0.25">
      <c r="A2699" t="s">
        <v>660</v>
      </c>
      <c r="B2699">
        <v>3916</v>
      </c>
      <c r="C2699" t="s">
        <v>3368</v>
      </c>
      <c r="D2699" t="s">
        <v>226</v>
      </c>
      <c r="E2699" t="s">
        <v>659</v>
      </c>
      <c r="F2699">
        <v>277.54000000000002</v>
      </c>
      <c r="G2699">
        <v>289.48</v>
      </c>
    </row>
    <row r="2700" spans="1:7" hidden="1" x14ac:dyDescent="0.25">
      <c r="A2700" t="s">
        <v>660</v>
      </c>
      <c r="B2700">
        <v>3917</v>
      </c>
      <c r="C2700" t="s">
        <v>3369</v>
      </c>
      <c r="D2700" t="s">
        <v>226</v>
      </c>
      <c r="E2700" t="s">
        <v>659</v>
      </c>
      <c r="F2700">
        <v>457.77</v>
      </c>
      <c r="G2700">
        <v>477.46</v>
      </c>
    </row>
    <row r="2701" spans="1:7" hidden="1" x14ac:dyDescent="0.25">
      <c r="A2701" t="s">
        <v>660</v>
      </c>
      <c r="B2701">
        <v>45266</v>
      </c>
      <c r="C2701" t="s">
        <v>3370</v>
      </c>
      <c r="D2701" t="s">
        <v>1086</v>
      </c>
      <c r="E2701" t="s">
        <v>659</v>
      </c>
      <c r="F2701">
        <v>2.95</v>
      </c>
      <c r="G2701">
        <v>3.3</v>
      </c>
    </row>
    <row r="2702" spans="1:7" hidden="1" x14ac:dyDescent="0.25">
      <c r="A2702" t="s">
        <v>660</v>
      </c>
      <c r="B2702">
        <v>1904</v>
      </c>
      <c r="C2702" t="s">
        <v>3371</v>
      </c>
      <c r="D2702" t="s">
        <v>226</v>
      </c>
      <c r="E2702" t="s">
        <v>659</v>
      </c>
      <c r="F2702">
        <v>1.1499999999999999</v>
      </c>
      <c r="G2702">
        <v>0.74</v>
      </c>
    </row>
    <row r="2703" spans="1:7" hidden="1" x14ac:dyDescent="0.25">
      <c r="A2703" t="s">
        <v>660</v>
      </c>
      <c r="B2703">
        <v>1899</v>
      </c>
      <c r="C2703" t="s">
        <v>3372</v>
      </c>
      <c r="D2703" t="s">
        <v>226</v>
      </c>
      <c r="E2703" t="s">
        <v>659</v>
      </c>
      <c r="F2703">
        <v>1.3</v>
      </c>
      <c r="G2703">
        <v>0.84</v>
      </c>
    </row>
    <row r="2704" spans="1:7" hidden="1" x14ac:dyDescent="0.25">
      <c r="A2704" t="s">
        <v>660</v>
      </c>
      <c r="B2704">
        <v>1900</v>
      </c>
      <c r="C2704" t="s">
        <v>3373</v>
      </c>
      <c r="D2704" t="s">
        <v>226</v>
      </c>
      <c r="E2704" t="s">
        <v>659</v>
      </c>
      <c r="F2704">
        <v>2.11</v>
      </c>
      <c r="G2704">
        <v>1.37</v>
      </c>
    </row>
    <row r="2705" spans="1:7" hidden="1" x14ac:dyDescent="0.25">
      <c r="A2705" t="s">
        <v>660</v>
      </c>
      <c r="B2705">
        <v>12407</v>
      </c>
      <c r="C2705" t="s">
        <v>3374</v>
      </c>
      <c r="D2705" t="s">
        <v>226</v>
      </c>
      <c r="E2705" t="s">
        <v>659</v>
      </c>
      <c r="F2705">
        <v>34.65</v>
      </c>
      <c r="G2705">
        <v>36.15</v>
      </c>
    </row>
    <row r="2706" spans="1:7" hidden="1" x14ac:dyDescent="0.25">
      <c r="A2706" t="s">
        <v>660</v>
      </c>
      <c r="B2706">
        <v>12408</v>
      </c>
      <c r="C2706" t="s">
        <v>3375</v>
      </c>
      <c r="D2706" t="s">
        <v>226</v>
      </c>
      <c r="E2706" t="s">
        <v>659</v>
      </c>
      <c r="F2706">
        <v>19.559999999999999</v>
      </c>
      <c r="G2706">
        <v>20.399999999999999</v>
      </c>
    </row>
    <row r="2707" spans="1:7" hidden="1" x14ac:dyDescent="0.25">
      <c r="A2707" t="s">
        <v>660</v>
      </c>
      <c r="B2707">
        <v>12409</v>
      </c>
      <c r="C2707" t="s">
        <v>3376</v>
      </c>
      <c r="D2707" t="s">
        <v>226</v>
      </c>
      <c r="E2707" t="s">
        <v>659</v>
      </c>
      <c r="F2707">
        <v>19.559999999999999</v>
      </c>
      <c r="G2707">
        <v>20.399999999999999</v>
      </c>
    </row>
    <row r="2708" spans="1:7" hidden="1" x14ac:dyDescent="0.25">
      <c r="A2708" t="s">
        <v>660</v>
      </c>
      <c r="B2708">
        <v>12410</v>
      </c>
      <c r="C2708" t="s">
        <v>3377</v>
      </c>
      <c r="D2708" t="s">
        <v>226</v>
      </c>
      <c r="E2708" t="s">
        <v>659</v>
      </c>
      <c r="F2708">
        <v>13.47</v>
      </c>
      <c r="G2708">
        <v>14.05</v>
      </c>
    </row>
    <row r="2709" spans="1:7" hidden="1" x14ac:dyDescent="0.25">
      <c r="A2709" t="s">
        <v>660</v>
      </c>
      <c r="B2709">
        <v>3936</v>
      </c>
      <c r="C2709" t="s">
        <v>3378</v>
      </c>
      <c r="D2709" t="s">
        <v>226</v>
      </c>
      <c r="E2709" t="s">
        <v>659</v>
      </c>
      <c r="F2709">
        <v>24.35</v>
      </c>
      <c r="G2709">
        <v>25.39</v>
      </c>
    </row>
    <row r="2710" spans="1:7" hidden="1" x14ac:dyDescent="0.25">
      <c r="A2710" t="s">
        <v>660</v>
      </c>
      <c r="B2710">
        <v>3924</v>
      </c>
      <c r="C2710" t="s">
        <v>3379</v>
      </c>
      <c r="D2710" t="s">
        <v>226</v>
      </c>
      <c r="E2710" t="s">
        <v>659</v>
      </c>
      <c r="F2710">
        <v>24.35</v>
      </c>
      <c r="G2710">
        <v>25.39</v>
      </c>
    </row>
    <row r="2711" spans="1:7" hidden="1" x14ac:dyDescent="0.25">
      <c r="A2711" t="s">
        <v>660</v>
      </c>
      <c r="B2711">
        <v>3922</v>
      </c>
      <c r="C2711" t="s">
        <v>3380</v>
      </c>
      <c r="D2711" t="s">
        <v>226</v>
      </c>
      <c r="E2711" t="s">
        <v>659</v>
      </c>
      <c r="F2711">
        <v>22.4</v>
      </c>
      <c r="G2711">
        <v>23.36</v>
      </c>
    </row>
    <row r="2712" spans="1:7" hidden="1" x14ac:dyDescent="0.25">
      <c r="A2712" t="s">
        <v>660</v>
      </c>
      <c r="B2712">
        <v>3923</v>
      </c>
      <c r="C2712" t="s">
        <v>3381</v>
      </c>
      <c r="D2712" t="s">
        <v>226</v>
      </c>
      <c r="E2712" t="s">
        <v>659</v>
      </c>
      <c r="F2712">
        <v>24.35</v>
      </c>
      <c r="G2712">
        <v>25.39</v>
      </c>
    </row>
    <row r="2713" spans="1:7" hidden="1" x14ac:dyDescent="0.25">
      <c r="A2713" t="s">
        <v>660</v>
      </c>
      <c r="B2713">
        <v>3921</v>
      </c>
      <c r="C2713" t="s">
        <v>3382</v>
      </c>
      <c r="D2713" t="s">
        <v>226</v>
      </c>
      <c r="E2713" t="s">
        <v>659</v>
      </c>
      <c r="F2713">
        <v>20.100000000000001</v>
      </c>
      <c r="G2713">
        <v>20.96</v>
      </c>
    </row>
    <row r="2714" spans="1:7" hidden="1" x14ac:dyDescent="0.25">
      <c r="A2714" t="s">
        <v>660</v>
      </c>
      <c r="B2714">
        <v>3937</v>
      </c>
      <c r="C2714" t="s">
        <v>3383</v>
      </c>
      <c r="D2714" t="s">
        <v>226</v>
      </c>
      <c r="E2714" t="s">
        <v>659</v>
      </c>
      <c r="F2714">
        <v>20.079999999999998</v>
      </c>
      <c r="G2714">
        <v>20.95</v>
      </c>
    </row>
    <row r="2715" spans="1:7" hidden="1" x14ac:dyDescent="0.25">
      <c r="A2715" t="s">
        <v>660</v>
      </c>
      <c r="B2715">
        <v>3920</v>
      </c>
      <c r="C2715" t="s">
        <v>3384</v>
      </c>
      <c r="D2715" t="s">
        <v>226</v>
      </c>
      <c r="E2715" t="s">
        <v>659</v>
      </c>
      <c r="F2715">
        <v>20.079999999999998</v>
      </c>
      <c r="G2715">
        <v>20.95</v>
      </c>
    </row>
    <row r="2716" spans="1:7" hidden="1" x14ac:dyDescent="0.25">
      <c r="A2716" t="s">
        <v>660</v>
      </c>
      <c r="B2716">
        <v>3938</v>
      </c>
      <c r="C2716" t="s">
        <v>3385</v>
      </c>
      <c r="D2716" t="s">
        <v>226</v>
      </c>
      <c r="E2716" t="s">
        <v>659</v>
      </c>
      <c r="F2716">
        <v>13.24</v>
      </c>
      <c r="G2716">
        <v>13.81</v>
      </c>
    </row>
    <row r="2717" spans="1:7" hidden="1" x14ac:dyDescent="0.25">
      <c r="A2717" t="s">
        <v>660</v>
      </c>
      <c r="B2717">
        <v>3919</v>
      </c>
      <c r="C2717" t="s">
        <v>3386</v>
      </c>
      <c r="D2717" t="s">
        <v>226</v>
      </c>
      <c r="E2717" t="s">
        <v>659</v>
      </c>
      <c r="F2717">
        <v>13.5</v>
      </c>
      <c r="G2717">
        <v>14.08</v>
      </c>
    </row>
    <row r="2718" spans="1:7" hidden="1" x14ac:dyDescent="0.25">
      <c r="A2718" t="s">
        <v>660</v>
      </c>
      <c r="B2718">
        <v>3927</v>
      </c>
      <c r="C2718" t="s">
        <v>3387</v>
      </c>
      <c r="D2718" t="s">
        <v>226</v>
      </c>
      <c r="E2718" t="s">
        <v>659</v>
      </c>
      <c r="F2718">
        <v>68.38</v>
      </c>
      <c r="G2718">
        <v>71.319999999999993</v>
      </c>
    </row>
    <row r="2719" spans="1:7" hidden="1" x14ac:dyDescent="0.25">
      <c r="A2719" t="s">
        <v>660</v>
      </c>
      <c r="B2719">
        <v>3928</v>
      </c>
      <c r="C2719" t="s">
        <v>3388</v>
      </c>
      <c r="D2719" t="s">
        <v>226</v>
      </c>
      <c r="E2719" t="s">
        <v>659</v>
      </c>
      <c r="F2719">
        <v>68.38</v>
      </c>
      <c r="G2719">
        <v>71.319999999999993</v>
      </c>
    </row>
    <row r="2720" spans="1:7" hidden="1" x14ac:dyDescent="0.25">
      <c r="A2720" t="s">
        <v>660</v>
      </c>
      <c r="B2720">
        <v>3926</v>
      </c>
      <c r="C2720" t="s">
        <v>3389</v>
      </c>
      <c r="D2720" t="s">
        <v>226</v>
      </c>
      <c r="E2720" t="s">
        <v>659</v>
      </c>
      <c r="F2720">
        <v>38.979999999999997</v>
      </c>
      <c r="G2720">
        <v>40.659999999999997</v>
      </c>
    </row>
    <row r="2721" spans="1:7" hidden="1" x14ac:dyDescent="0.25">
      <c r="A2721" t="s">
        <v>660</v>
      </c>
      <c r="B2721">
        <v>3935</v>
      </c>
      <c r="C2721" t="s">
        <v>3390</v>
      </c>
      <c r="D2721" t="s">
        <v>226</v>
      </c>
      <c r="E2721" t="s">
        <v>659</v>
      </c>
      <c r="F2721">
        <v>38.979999999999997</v>
      </c>
      <c r="G2721">
        <v>40.659999999999997</v>
      </c>
    </row>
    <row r="2722" spans="1:7" hidden="1" x14ac:dyDescent="0.25">
      <c r="A2722" t="s">
        <v>660</v>
      </c>
      <c r="B2722">
        <v>3925</v>
      </c>
      <c r="C2722" t="s">
        <v>3391</v>
      </c>
      <c r="D2722" t="s">
        <v>226</v>
      </c>
      <c r="E2722" t="s">
        <v>659</v>
      </c>
      <c r="F2722">
        <v>38.979999999999997</v>
      </c>
      <c r="G2722">
        <v>40.659999999999997</v>
      </c>
    </row>
    <row r="2723" spans="1:7" hidden="1" x14ac:dyDescent="0.25">
      <c r="A2723" t="s">
        <v>660</v>
      </c>
      <c r="B2723">
        <v>3929</v>
      </c>
      <c r="C2723" t="s">
        <v>3392</v>
      </c>
      <c r="D2723" t="s">
        <v>226</v>
      </c>
      <c r="E2723" t="s">
        <v>659</v>
      </c>
      <c r="F2723">
        <v>104.18</v>
      </c>
      <c r="G2723">
        <v>108.66</v>
      </c>
    </row>
    <row r="2724" spans="1:7" hidden="1" x14ac:dyDescent="0.25">
      <c r="A2724" t="s">
        <v>660</v>
      </c>
      <c r="B2724">
        <v>3931</v>
      </c>
      <c r="C2724" t="s">
        <v>3393</v>
      </c>
      <c r="D2724" t="s">
        <v>226</v>
      </c>
      <c r="E2724" t="s">
        <v>659</v>
      </c>
      <c r="F2724">
        <v>104.18</v>
      </c>
      <c r="G2724">
        <v>108.66</v>
      </c>
    </row>
    <row r="2725" spans="1:7" hidden="1" x14ac:dyDescent="0.25">
      <c r="A2725" t="s">
        <v>660</v>
      </c>
      <c r="B2725">
        <v>3930</v>
      </c>
      <c r="C2725" t="s">
        <v>3394</v>
      </c>
      <c r="D2725" t="s">
        <v>226</v>
      </c>
      <c r="E2725" t="s">
        <v>659</v>
      </c>
      <c r="F2725">
        <v>104.18</v>
      </c>
      <c r="G2725">
        <v>108.66</v>
      </c>
    </row>
    <row r="2726" spans="1:7" hidden="1" x14ac:dyDescent="0.25">
      <c r="A2726" t="s">
        <v>660</v>
      </c>
      <c r="B2726">
        <v>12406</v>
      </c>
      <c r="C2726" t="s">
        <v>3395</v>
      </c>
      <c r="D2726" t="s">
        <v>226</v>
      </c>
      <c r="E2726" t="s">
        <v>659</v>
      </c>
      <c r="F2726">
        <v>9.57</v>
      </c>
      <c r="G2726">
        <v>9.98</v>
      </c>
    </row>
    <row r="2727" spans="1:7" hidden="1" x14ac:dyDescent="0.25">
      <c r="A2727" t="s">
        <v>660</v>
      </c>
      <c r="B2727">
        <v>3932</v>
      </c>
      <c r="C2727" t="s">
        <v>3396</v>
      </c>
      <c r="D2727" t="s">
        <v>226</v>
      </c>
      <c r="E2727" t="s">
        <v>659</v>
      </c>
      <c r="F2727">
        <v>179.89</v>
      </c>
      <c r="G2727">
        <v>187.63</v>
      </c>
    </row>
    <row r="2728" spans="1:7" hidden="1" x14ac:dyDescent="0.25">
      <c r="A2728" t="s">
        <v>660</v>
      </c>
      <c r="B2728">
        <v>3933</v>
      </c>
      <c r="C2728" t="s">
        <v>3397</v>
      </c>
      <c r="D2728" t="s">
        <v>226</v>
      </c>
      <c r="E2728" t="s">
        <v>659</v>
      </c>
      <c r="F2728">
        <v>179.89</v>
      </c>
      <c r="G2728">
        <v>187.63</v>
      </c>
    </row>
    <row r="2729" spans="1:7" hidden="1" x14ac:dyDescent="0.25">
      <c r="A2729" t="s">
        <v>660</v>
      </c>
      <c r="B2729">
        <v>3934</v>
      </c>
      <c r="C2729" t="s">
        <v>3398</v>
      </c>
      <c r="D2729" t="s">
        <v>226</v>
      </c>
      <c r="E2729" t="s">
        <v>659</v>
      </c>
      <c r="F2729">
        <v>179.89</v>
      </c>
      <c r="G2729">
        <v>187.63</v>
      </c>
    </row>
    <row r="2730" spans="1:7" hidden="1" x14ac:dyDescent="0.25">
      <c r="A2730" t="s">
        <v>660</v>
      </c>
      <c r="B2730">
        <v>40355</v>
      </c>
      <c r="C2730" t="s">
        <v>3399</v>
      </c>
      <c r="D2730" t="s">
        <v>226</v>
      </c>
      <c r="E2730" t="s">
        <v>659</v>
      </c>
      <c r="F2730">
        <f t="shared" ref="F2730:F2736" si="22">G2730</f>
        <v>12.72</v>
      </c>
      <c r="G2730">
        <v>12.72</v>
      </c>
    </row>
    <row r="2731" spans="1:7" hidden="1" x14ac:dyDescent="0.25">
      <c r="A2731" t="s">
        <v>660</v>
      </c>
      <c r="B2731">
        <v>40364</v>
      </c>
      <c r="C2731" t="s">
        <v>3400</v>
      </c>
      <c r="D2731" t="s">
        <v>226</v>
      </c>
      <c r="E2731" t="s">
        <v>659</v>
      </c>
      <c r="F2731">
        <f t="shared" si="22"/>
        <v>59.6</v>
      </c>
      <c r="G2731">
        <v>59.6</v>
      </c>
    </row>
    <row r="2732" spans="1:7" hidden="1" x14ac:dyDescent="0.25">
      <c r="A2732" t="s">
        <v>660</v>
      </c>
      <c r="B2732">
        <v>40361</v>
      </c>
      <c r="C2732" t="s">
        <v>3401</v>
      </c>
      <c r="D2732" t="s">
        <v>226</v>
      </c>
      <c r="E2732" t="s">
        <v>659</v>
      </c>
      <c r="F2732">
        <f t="shared" si="22"/>
        <v>46.6</v>
      </c>
      <c r="G2732">
        <v>46.6</v>
      </c>
    </row>
    <row r="2733" spans="1:7" hidden="1" x14ac:dyDescent="0.25">
      <c r="A2733" t="s">
        <v>660</v>
      </c>
      <c r="B2733">
        <v>40358</v>
      </c>
      <c r="C2733" t="s">
        <v>3402</v>
      </c>
      <c r="D2733" t="s">
        <v>226</v>
      </c>
      <c r="E2733" t="s">
        <v>659</v>
      </c>
      <c r="F2733">
        <f t="shared" si="22"/>
        <v>17.760000000000002</v>
      </c>
      <c r="G2733">
        <v>17.760000000000002</v>
      </c>
    </row>
    <row r="2734" spans="1:7" hidden="1" x14ac:dyDescent="0.25">
      <c r="A2734" t="s">
        <v>660</v>
      </c>
      <c r="B2734">
        <v>40370</v>
      </c>
      <c r="C2734" t="s">
        <v>3403</v>
      </c>
      <c r="D2734" t="s">
        <v>226</v>
      </c>
      <c r="E2734" t="s">
        <v>659</v>
      </c>
      <c r="F2734">
        <f t="shared" si="22"/>
        <v>189.1</v>
      </c>
      <c r="G2734">
        <v>189.1</v>
      </c>
    </row>
    <row r="2735" spans="1:7" hidden="1" x14ac:dyDescent="0.25">
      <c r="A2735" t="s">
        <v>660</v>
      </c>
      <c r="B2735">
        <v>40367</v>
      </c>
      <c r="C2735" t="s">
        <v>3404</v>
      </c>
      <c r="D2735" t="s">
        <v>226</v>
      </c>
      <c r="E2735" t="s">
        <v>659</v>
      </c>
      <c r="F2735">
        <f t="shared" si="22"/>
        <v>93.99</v>
      </c>
      <c r="G2735">
        <v>93.99</v>
      </c>
    </row>
    <row r="2736" spans="1:7" hidden="1" x14ac:dyDescent="0.25">
      <c r="A2736" t="s">
        <v>660</v>
      </c>
      <c r="B2736">
        <v>40373</v>
      </c>
      <c r="C2736" t="s">
        <v>3405</v>
      </c>
      <c r="D2736" t="s">
        <v>226</v>
      </c>
      <c r="E2736" t="s">
        <v>659</v>
      </c>
      <c r="F2736">
        <f t="shared" si="22"/>
        <v>255.72</v>
      </c>
      <c r="G2736">
        <v>255.72</v>
      </c>
    </row>
    <row r="2737" spans="1:7" hidden="1" x14ac:dyDescent="0.25">
      <c r="A2737" t="s">
        <v>660</v>
      </c>
      <c r="B2737">
        <v>3907</v>
      </c>
      <c r="C2737" t="s">
        <v>3406</v>
      </c>
      <c r="D2737" t="s">
        <v>226</v>
      </c>
      <c r="E2737" t="s">
        <v>659</v>
      </c>
      <c r="F2737">
        <v>5.49</v>
      </c>
      <c r="G2737">
        <v>5.62</v>
      </c>
    </row>
    <row r="2738" spans="1:7" hidden="1" x14ac:dyDescent="0.25">
      <c r="A2738" t="s">
        <v>660</v>
      </c>
      <c r="B2738">
        <v>3889</v>
      </c>
      <c r="C2738" t="s">
        <v>3407</v>
      </c>
      <c r="D2738" t="s">
        <v>226</v>
      </c>
      <c r="E2738" t="s">
        <v>659</v>
      </c>
      <c r="F2738">
        <v>3.91</v>
      </c>
      <c r="G2738">
        <v>4</v>
      </c>
    </row>
    <row r="2739" spans="1:7" hidden="1" x14ac:dyDescent="0.25">
      <c r="A2739" t="s">
        <v>660</v>
      </c>
      <c r="B2739">
        <v>3868</v>
      </c>
      <c r="C2739" t="s">
        <v>3408</v>
      </c>
      <c r="D2739" t="s">
        <v>226</v>
      </c>
      <c r="E2739" t="s">
        <v>659</v>
      </c>
      <c r="F2739">
        <v>1.43</v>
      </c>
      <c r="G2739">
        <v>1.47</v>
      </c>
    </row>
    <row r="2740" spans="1:7" hidden="1" x14ac:dyDescent="0.25">
      <c r="A2740" t="s">
        <v>660</v>
      </c>
      <c r="B2740">
        <v>3869</v>
      </c>
      <c r="C2740" t="s">
        <v>3409</v>
      </c>
      <c r="D2740" t="s">
        <v>226</v>
      </c>
      <c r="E2740" t="s">
        <v>659</v>
      </c>
      <c r="F2740">
        <v>3.18</v>
      </c>
      <c r="G2740">
        <v>3.25</v>
      </c>
    </row>
    <row r="2741" spans="1:7" hidden="1" x14ac:dyDescent="0.25">
      <c r="A2741" t="s">
        <v>660</v>
      </c>
      <c r="B2741">
        <v>3872</v>
      </c>
      <c r="C2741" t="s">
        <v>3410</v>
      </c>
      <c r="D2741" t="s">
        <v>226</v>
      </c>
      <c r="E2741" t="s">
        <v>659</v>
      </c>
      <c r="F2741">
        <v>5.42</v>
      </c>
      <c r="G2741">
        <v>5.55</v>
      </c>
    </row>
    <row r="2742" spans="1:7" hidden="1" x14ac:dyDescent="0.25">
      <c r="A2742" t="s">
        <v>660</v>
      </c>
      <c r="B2742">
        <v>3850</v>
      </c>
      <c r="C2742" t="s">
        <v>3411</v>
      </c>
      <c r="D2742" t="s">
        <v>226</v>
      </c>
      <c r="E2742" t="s">
        <v>659</v>
      </c>
      <c r="F2742">
        <v>12.51</v>
      </c>
      <c r="G2742">
        <v>12.81</v>
      </c>
    </row>
    <row r="2743" spans="1:7" hidden="1" x14ac:dyDescent="0.25">
      <c r="A2743" t="s">
        <v>660</v>
      </c>
      <c r="B2743">
        <v>38023</v>
      </c>
      <c r="C2743" t="s">
        <v>3412</v>
      </c>
      <c r="D2743" t="s">
        <v>226</v>
      </c>
      <c r="E2743" t="s">
        <v>659</v>
      </c>
      <c r="F2743">
        <v>6.37</v>
      </c>
      <c r="G2743">
        <v>6.52</v>
      </c>
    </row>
    <row r="2744" spans="1:7" hidden="1" x14ac:dyDescent="0.25">
      <c r="A2744" t="s">
        <v>660</v>
      </c>
      <c r="B2744">
        <v>37986</v>
      </c>
      <c r="C2744" t="s">
        <v>3413</v>
      </c>
      <c r="D2744" t="s">
        <v>226</v>
      </c>
      <c r="E2744" t="s">
        <v>659</v>
      </c>
      <c r="F2744">
        <v>2.6</v>
      </c>
      <c r="G2744">
        <v>2.48</v>
      </c>
    </row>
    <row r="2745" spans="1:7" hidden="1" x14ac:dyDescent="0.25">
      <c r="A2745" t="s">
        <v>660</v>
      </c>
      <c r="B2745">
        <v>21120</v>
      </c>
      <c r="C2745" t="s">
        <v>3414</v>
      </c>
      <c r="D2745" t="s">
        <v>226</v>
      </c>
      <c r="E2745" t="s">
        <v>659</v>
      </c>
      <c r="F2745">
        <v>13.28</v>
      </c>
      <c r="G2745">
        <v>12.68</v>
      </c>
    </row>
    <row r="2746" spans="1:7" hidden="1" x14ac:dyDescent="0.25">
      <c r="A2746" t="s">
        <v>660</v>
      </c>
      <c r="B2746">
        <v>39318</v>
      </c>
      <c r="C2746" t="s">
        <v>3415</v>
      </c>
      <c r="D2746" t="s">
        <v>226</v>
      </c>
      <c r="E2746" t="s">
        <v>659</v>
      </c>
      <c r="F2746">
        <v>12.35</v>
      </c>
      <c r="G2746">
        <v>11.79</v>
      </c>
    </row>
    <row r="2747" spans="1:7" hidden="1" x14ac:dyDescent="0.25">
      <c r="A2747" t="s">
        <v>660</v>
      </c>
      <c r="B2747">
        <v>37987</v>
      </c>
      <c r="C2747" t="s">
        <v>3416</v>
      </c>
      <c r="D2747" t="s">
        <v>226</v>
      </c>
      <c r="E2747" t="s">
        <v>659</v>
      </c>
      <c r="F2747">
        <v>129.88</v>
      </c>
      <c r="G2747">
        <v>123.99</v>
      </c>
    </row>
    <row r="2748" spans="1:7" hidden="1" x14ac:dyDescent="0.25">
      <c r="A2748" t="s">
        <v>660</v>
      </c>
      <c r="B2748">
        <v>37988</v>
      </c>
      <c r="C2748" t="s">
        <v>3417</v>
      </c>
      <c r="D2748" t="s">
        <v>226</v>
      </c>
      <c r="E2748" t="s">
        <v>659</v>
      </c>
      <c r="F2748">
        <v>206.38</v>
      </c>
      <c r="G2748">
        <v>197.03</v>
      </c>
    </row>
    <row r="2749" spans="1:7" hidden="1" x14ac:dyDescent="0.25">
      <c r="A2749" t="s">
        <v>660</v>
      </c>
      <c r="B2749">
        <v>40366</v>
      </c>
      <c r="C2749" t="s">
        <v>3418</v>
      </c>
      <c r="D2749" t="s">
        <v>226</v>
      </c>
      <c r="E2749" t="s">
        <v>659</v>
      </c>
      <c r="F2749">
        <f t="shared" ref="F2749:F2756" si="23">G2749</f>
        <v>46.49</v>
      </c>
      <c r="G2749">
        <v>46.49</v>
      </c>
    </row>
    <row r="2750" spans="1:7" hidden="1" x14ac:dyDescent="0.25">
      <c r="A2750" t="s">
        <v>660</v>
      </c>
      <c r="B2750">
        <v>40363</v>
      </c>
      <c r="C2750" t="s">
        <v>3419</v>
      </c>
      <c r="D2750" t="s">
        <v>226</v>
      </c>
      <c r="E2750" t="s">
        <v>659</v>
      </c>
      <c r="F2750">
        <f t="shared" si="23"/>
        <v>36.36</v>
      </c>
      <c r="G2750">
        <v>36.36</v>
      </c>
    </row>
    <row r="2751" spans="1:7" hidden="1" x14ac:dyDescent="0.25">
      <c r="A2751" t="s">
        <v>660</v>
      </c>
      <c r="B2751">
        <v>40360</v>
      </c>
      <c r="C2751" t="s">
        <v>3420</v>
      </c>
      <c r="D2751" t="s">
        <v>226</v>
      </c>
      <c r="E2751" t="s">
        <v>659</v>
      </c>
      <c r="F2751">
        <f t="shared" si="23"/>
        <v>23.84</v>
      </c>
      <c r="G2751">
        <v>23.84</v>
      </c>
    </row>
    <row r="2752" spans="1:7" hidden="1" x14ac:dyDescent="0.25">
      <c r="A2752" t="s">
        <v>660</v>
      </c>
      <c r="B2752">
        <v>40354</v>
      </c>
      <c r="C2752" t="s">
        <v>3421</v>
      </c>
      <c r="D2752" t="s">
        <v>226</v>
      </c>
      <c r="E2752" t="s">
        <v>172</v>
      </c>
      <c r="F2752">
        <f t="shared" si="23"/>
        <v>15.83</v>
      </c>
      <c r="G2752">
        <v>15.83</v>
      </c>
    </row>
    <row r="2753" spans="1:7" hidden="1" x14ac:dyDescent="0.25">
      <c r="A2753" t="s">
        <v>660</v>
      </c>
      <c r="B2753">
        <v>40372</v>
      </c>
      <c r="C2753" t="s">
        <v>3422</v>
      </c>
      <c r="D2753" t="s">
        <v>226</v>
      </c>
      <c r="E2753" t="s">
        <v>659</v>
      </c>
      <c r="F2753">
        <f t="shared" si="23"/>
        <v>147.19999999999999</v>
      </c>
      <c r="G2753">
        <v>147.19999999999999</v>
      </c>
    </row>
    <row r="2754" spans="1:7" hidden="1" x14ac:dyDescent="0.25">
      <c r="A2754" t="s">
        <v>660</v>
      </c>
      <c r="B2754">
        <v>40369</v>
      </c>
      <c r="C2754" t="s">
        <v>3423</v>
      </c>
      <c r="D2754" t="s">
        <v>226</v>
      </c>
      <c r="E2754" t="s">
        <v>659</v>
      </c>
      <c r="F2754">
        <f t="shared" si="23"/>
        <v>73.260000000000005</v>
      </c>
      <c r="G2754">
        <v>73.260000000000005</v>
      </c>
    </row>
    <row r="2755" spans="1:7" hidden="1" x14ac:dyDescent="0.25">
      <c r="A2755" t="s">
        <v>660</v>
      </c>
      <c r="B2755">
        <v>40375</v>
      </c>
      <c r="C2755" t="s">
        <v>3424</v>
      </c>
      <c r="D2755" t="s">
        <v>226</v>
      </c>
      <c r="E2755" t="s">
        <v>659</v>
      </c>
      <c r="F2755">
        <f t="shared" si="23"/>
        <v>199.28</v>
      </c>
      <c r="G2755">
        <v>199.28</v>
      </c>
    </row>
    <row r="2756" spans="1:7" hidden="1" x14ac:dyDescent="0.25">
      <c r="A2756" t="s">
        <v>660</v>
      </c>
      <c r="B2756">
        <v>40357</v>
      </c>
      <c r="C2756" t="s">
        <v>3425</v>
      </c>
      <c r="D2756" t="s">
        <v>226</v>
      </c>
      <c r="E2756" t="s">
        <v>659</v>
      </c>
      <c r="F2756">
        <f t="shared" si="23"/>
        <v>17.760000000000002</v>
      </c>
      <c r="G2756">
        <v>17.760000000000002</v>
      </c>
    </row>
    <row r="2757" spans="1:7" hidden="1" x14ac:dyDescent="0.25">
      <c r="A2757" t="s">
        <v>660</v>
      </c>
      <c r="B2757">
        <v>1893</v>
      </c>
      <c r="C2757" t="s">
        <v>3426</v>
      </c>
      <c r="D2757" t="s">
        <v>226</v>
      </c>
      <c r="E2757" t="s">
        <v>659</v>
      </c>
      <c r="F2757">
        <v>4.33</v>
      </c>
      <c r="G2757">
        <v>2.81</v>
      </c>
    </row>
    <row r="2758" spans="1:7" hidden="1" x14ac:dyDescent="0.25">
      <c r="A2758" t="s">
        <v>660</v>
      </c>
      <c r="B2758">
        <v>1902</v>
      </c>
      <c r="C2758" t="s">
        <v>3427</v>
      </c>
      <c r="D2758" t="s">
        <v>226</v>
      </c>
      <c r="E2758" t="s">
        <v>659</v>
      </c>
      <c r="F2758">
        <v>3.15</v>
      </c>
      <c r="G2758">
        <v>2.0499999999999998</v>
      </c>
    </row>
    <row r="2759" spans="1:7" hidden="1" x14ac:dyDescent="0.25">
      <c r="A2759" t="s">
        <v>660</v>
      </c>
      <c r="B2759">
        <v>1892</v>
      </c>
      <c r="C2759" t="s">
        <v>3428</v>
      </c>
      <c r="D2759" t="s">
        <v>226</v>
      </c>
      <c r="E2759" t="s">
        <v>659</v>
      </c>
      <c r="F2759">
        <v>2.0299999999999998</v>
      </c>
      <c r="G2759">
        <v>1.32</v>
      </c>
    </row>
    <row r="2760" spans="1:7" hidden="1" x14ac:dyDescent="0.25">
      <c r="A2760" t="s">
        <v>660</v>
      </c>
      <c r="B2760">
        <v>1901</v>
      </c>
      <c r="C2760" t="s">
        <v>3429</v>
      </c>
      <c r="D2760" t="s">
        <v>226</v>
      </c>
      <c r="E2760" t="s">
        <v>659</v>
      </c>
      <c r="F2760">
        <v>0.98</v>
      </c>
      <c r="G2760">
        <v>0.64</v>
      </c>
    </row>
    <row r="2761" spans="1:7" hidden="1" x14ac:dyDescent="0.25">
      <c r="A2761" t="s">
        <v>660</v>
      </c>
      <c r="B2761">
        <v>1907</v>
      </c>
      <c r="C2761" t="s">
        <v>3430</v>
      </c>
      <c r="D2761" t="s">
        <v>226</v>
      </c>
      <c r="E2761" t="s">
        <v>659</v>
      </c>
      <c r="F2761">
        <v>13.94</v>
      </c>
      <c r="G2761">
        <v>9.06</v>
      </c>
    </row>
    <row r="2762" spans="1:7" hidden="1" x14ac:dyDescent="0.25">
      <c r="A2762" t="s">
        <v>660</v>
      </c>
      <c r="B2762">
        <v>1894</v>
      </c>
      <c r="C2762" t="s">
        <v>3431</v>
      </c>
      <c r="D2762" t="s">
        <v>226</v>
      </c>
      <c r="E2762" t="s">
        <v>659</v>
      </c>
      <c r="F2762">
        <v>6.27</v>
      </c>
      <c r="G2762">
        <v>4.07</v>
      </c>
    </row>
    <row r="2763" spans="1:7" hidden="1" x14ac:dyDescent="0.25">
      <c r="A2763" t="s">
        <v>660</v>
      </c>
      <c r="B2763">
        <v>1896</v>
      </c>
      <c r="C2763" t="s">
        <v>3432</v>
      </c>
      <c r="D2763" t="s">
        <v>226</v>
      </c>
      <c r="E2763" t="s">
        <v>659</v>
      </c>
      <c r="F2763">
        <v>18.72</v>
      </c>
      <c r="G2763">
        <v>12.16</v>
      </c>
    </row>
    <row r="2764" spans="1:7" hidden="1" x14ac:dyDescent="0.25">
      <c r="A2764" t="s">
        <v>660</v>
      </c>
      <c r="B2764">
        <v>1891</v>
      </c>
      <c r="C2764" t="s">
        <v>3433</v>
      </c>
      <c r="D2764" t="s">
        <v>226</v>
      </c>
      <c r="E2764" t="s">
        <v>659</v>
      </c>
      <c r="F2764">
        <v>1.45</v>
      </c>
      <c r="G2764">
        <v>0.94</v>
      </c>
    </row>
    <row r="2765" spans="1:7" hidden="1" x14ac:dyDescent="0.25">
      <c r="A2765" t="s">
        <v>660</v>
      </c>
      <c r="B2765">
        <v>1895</v>
      </c>
      <c r="C2765" t="s">
        <v>3434</v>
      </c>
      <c r="D2765" t="s">
        <v>226</v>
      </c>
      <c r="E2765" t="s">
        <v>659</v>
      </c>
      <c r="F2765">
        <v>32.9</v>
      </c>
      <c r="G2765">
        <v>21.37</v>
      </c>
    </row>
    <row r="2766" spans="1:7" hidden="1" x14ac:dyDescent="0.25">
      <c r="A2766" t="s">
        <v>660</v>
      </c>
      <c r="B2766">
        <v>2641</v>
      </c>
      <c r="C2766" t="s">
        <v>3435</v>
      </c>
      <c r="D2766" t="s">
        <v>226</v>
      </c>
      <c r="E2766" t="s">
        <v>659</v>
      </c>
      <c r="F2766">
        <v>34.020000000000003</v>
      </c>
      <c r="G2766">
        <v>22.25</v>
      </c>
    </row>
    <row r="2767" spans="1:7" hidden="1" x14ac:dyDescent="0.25">
      <c r="A2767" t="s">
        <v>660</v>
      </c>
      <c r="B2767">
        <v>2636</v>
      </c>
      <c r="C2767" t="s">
        <v>3436</v>
      </c>
      <c r="D2767" t="s">
        <v>226</v>
      </c>
      <c r="E2767" t="s">
        <v>659</v>
      </c>
      <c r="F2767">
        <v>2.19</v>
      </c>
      <c r="G2767">
        <v>1.43</v>
      </c>
    </row>
    <row r="2768" spans="1:7" hidden="1" x14ac:dyDescent="0.25">
      <c r="A2768" t="s">
        <v>660</v>
      </c>
      <c r="B2768">
        <v>2637</v>
      </c>
      <c r="C2768" t="s">
        <v>3437</v>
      </c>
      <c r="D2768" t="s">
        <v>226</v>
      </c>
      <c r="E2768" t="s">
        <v>659</v>
      </c>
      <c r="F2768">
        <v>2.33</v>
      </c>
      <c r="G2768">
        <v>1.52</v>
      </c>
    </row>
    <row r="2769" spans="1:7" hidden="1" x14ac:dyDescent="0.25">
      <c r="A2769" t="s">
        <v>660</v>
      </c>
      <c r="B2769">
        <v>2638</v>
      </c>
      <c r="C2769" t="s">
        <v>3438</v>
      </c>
      <c r="D2769" t="s">
        <v>226</v>
      </c>
      <c r="E2769" t="s">
        <v>659</v>
      </c>
      <c r="F2769">
        <v>2.71</v>
      </c>
      <c r="G2769">
        <v>1.77</v>
      </c>
    </row>
    <row r="2770" spans="1:7" hidden="1" x14ac:dyDescent="0.25">
      <c r="A2770" t="s">
        <v>660</v>
      </c>
      <c r="B2770">
        <v>2639</v>
      </c>
      <c r="C2770" t="s">
        <v>3439</v>
      </c>
      <c r="D2770" t="s">
        <v>226</v>
      </c>
      <c r="E2770" t="s">
        <v>659</v>
      </c>
      <c r="F2770">
        <v>4.8099999999999996</v>
      </c>
      <c r="G2770">
        <v>3.14</v>
      </c>
    </row>
    <row r="2771" spans="1:7" hidden="1" x14ac:dyDescent="0.25">
      <c r="A2771" t="s">
        <v>660</v>
      </c>
      <c r="B2771">
        <v>2644</v>
      </c>
      <c r="C2771" t="s">
        <v>3440</v>
      </c>
      <c r="D2771" t="s">
        <v>226</v>
      </c>
      <c r="E2771" t="s">
        <v>659</v>
      </c>
      <c r="F2771">
        <v>6.96</v>
      </c>
      <c r="G2771">
        <v>4.55</v>
      </c>
    </row>
    <row r="2772" spans="1:7" hidden="1" x14ac:dyDescent="0.25">
      <c r="A2772" t="s">
        <v>660</v>
      </c>
      <c r="B2772">
        <v>2640</v>
      </c>
      <c r="C2772" t="s">
        <v>3441</v>
      </c>
      <c r="D2772" t="s">
        <v>226</v>
      </c>
      <c r="E2772" t="s">
        <v>659</v>
      </c>
      <c r="F2772">
        <v>14.16</v>
      </c>
      <c r="G2772">
        <v>9.26</v>
      </c>
    </row>
    <row r="2773" spans="1:7" hidden="1" x14ac:dyDescent="0.25">
      <c r="A2773" t="s">
        <v>660</v>
      </c>
      <c r="B2773">
        <v>2642</v>
      </c>
      <c r="C2773" t="s">
        <v>3442</v>
      </c>
      <c r="D2773" t="s">
        <v>226</v>
      </c>
      <c r="E2773" t="s">
        <v>659</v>
      </c>
      <c r="F2773">
        <v>21.56</v>
      </c>
      <c r="G2773">
        <v>14.1</v>
      </c>
    </row>
    <row r="2774" spans="1:7" hidden="1" x14ac:dyDescent="0.25">
      <c r="A2774" t="s">
        <v>660</v>
      </c>
      <c r="B2774">
        <v>2643</v>
      </c>
      <c r="C2774" t="s">
        <v>3443</v>
      </c>
      <c r="D2774" t="s">
        <v>226</v>
      </c>
      <c r="E2774" t="s">
        <v>659</v>
      </c>
      <c r="F2774">
        <v>9.6999999999999993</v>
      </c>
      <c r="G2774">
        <v>6.34</v>
      </c>
    </row>
    <row r="2775" spans="1:7" hidden="1" x14ac:dyDescent="0.25">
      <c r="A2775" t="s">
        <v>842</v>
      </c>
      <c r="B2775">
        <v>44281</v>
      </c>
      <c r="C2775" t="s">
        <v>3444</v>
      </c>
      <c r="D2775" t="s">
        <v>226</v>
      </c>
      <c r="E2775" t="s">
        <v>659</v>
      </c>
      <c r="F2775">
        <v>269.93</v>
      </c>
      <c r="G2775">
        <v>274.19</v>
      </c>
    </row>
    <row r="2776" spans="1:7" hidden="1" x14ac:dyDescent="0.25">
      <c r="A2776" t="s">
        <v>660</v>
      </c>
      <c r="B2776">
        <v>39855</v>
      </c>
      <c r="C2776" t="s">
        <v>3445</v>
      </c>
      <c r="D2776" t="s">
        <v>226</v>
      </c>
      <c r="E2776" t="s">
        <v>659</v>
      </c>
      <c r="F2776">
        <f t="shared" ref="F2776:F2782" si="24">G2776</f>
        <v>3.08</v>
      </c>
      <c r="G2776">
        <v>3.08</v>
      </c>
    </row>
    <row r="2777" spans="1:7" hidden="1" x14ac:dyDescent="0.25">
      <c r="A2777" t="s">
        <v>660</v>
      </c>
      <c r="B2777">
        <v>39856</v>
      </c>
      <c r="C2777" t="s">
        <v>3446</v>
      </c>
      <c r="D2777" t="s">
        <v>226</v>
      </c>
      <c r="E2777" t="s">
        <v>659</v>
      </c>
      <c r="F2777">
        <f t="shared" si="24"/>
        <v>7.26</v>
      </c>
      <c r="G2777">
        <v>7.26</v>
      </c>
    </row>
    <row r="2778" spans="1:7" hidden="1" x14ac:dyDescent="0.25">
      <c r="A2778" t="s">
        <v>660</v>
      </c>
      <c r="B2778">
        <v>39857</v>
      </c>
      <c r="C2778" t="s">
        <v>3447</v>
      </c>
      <c r="D2778" t="s">
        <v>226</v>
      </c>
      <c r="E2778" t="s">
        <v>659</v>
      </c>
      <c r="F2778">
        <f t="shared" si="24"/>
        <v>11.76</v>
      </c>
      <c r="G2778">
        <v>11.76</v>
      </c>
    </row>
    <row r="2779" spans="1:7" hidden="1" x14ac:dyDescent="0.25">
      <c r="A2779" t="s">
        <v>660</v>
      </c>
      <c r="B2779">
        <v>39858</v>
      </c>
      <c r="C2779" t="s">
        <v>3448</v>
      </c>
      <c r="D2779" t="s">
        <v>226</v>
      </c>
      <c r="E2779" t="s">
        <v>659</v>
      </c>
      <c r="F2779">
        <f t="shared" si="24"/>
        <v>26.09</v>
      </c>
      <c r="G2779">
        <v>26.09</v>
      </c>
    </row>
    <row r="2780" spans="1:7" hidden="1" x14ac:dyDescent="0.25">
      <c r="A2780" t="s">
        <v>660</v>
      </c>
      <c r="B2780">
        <v>39859</v>
      </c>
      <c r="C2780" t="s">
        <v>3449</v>
      </c>
      <c r="D2780" t="s">
        <v>226</v>
      </c>
      <c r="E2780" t="s">
        <v>659</v>
      </c>
      <c r="F2780">
        <f t="shared" si="24"/>
        <v>40.22</v>
      </c>
      <c r="G2780">
        <v>40.22</v>
      </c>
    </row>
    <row r="2781" spans="1:7" hidden="1" x14ac:dyDescent="0.25">
      <c r="A2781" t="s">
        <v>660</v>
      </c>
      <c r="B2781">
        <v>39860</v>
      </c>
      <c r="C2781" t="s">
        <v>3450</v>
      </c>
      <c r="D2781" t="s">
        <v>226</v>
      </c>
      <c r="E2781" t="s">
        <v>659</v>
      </c>
      <c r="F2781">
        <f t="shared" si="24"/>
        <v>61.72</v>
      </c>
      <c r="G2781">
        <v>61.72</v>
      </c>
    </row>
    <row r="2782" spans="1:7" hidden="1" x14ac:dyDescent="0.25">
      <c r="A2782" t="s">
        <v>660</v>
      </c>
      <c r="B2782">
        <v>39861</v>
      </c>
      <c r="C2782" t="s">
        <v>3451</v>
      </c>
      <c r="D2782" t="s">
        <v>226</v>
      </c>
      <c r="E2782" t="s">
        <v>659</v>
      </c>
      <c r="F2782">
        <f t="shared" si="24"/>
        <v>176.21</v>
      </c>
      <c r="G2782">
        <v>176.21</v>
      </c>
    </row>
    <row r="2783" spans="1:7" hidden="1" x14ac:dyDescent="0.25">
      <c r="A2783" t="s">
        <v>660</v>
      </c>
      <c r="B2783">
        <v>3867</v>
      </c>
      <c r="C2783" t="s">
        <v>3452</v>
      </c>
      <c r="D2783" t="s">
        <v>226</v>
      </c>
      <c r="E2783" t="s">
        <v>659</v>
      </c>
      <c r="F2783">
        <v>76.2</v>
      </c>
      <c r="G2783">
        <v>78</v>
      </c>
    </row>
    <row r="2784" spans="1:7" hidden="1" x14ac:dyDescent="0.25">
      <c r="A2784" t="s">
        <v>660</v>
      </c>
      <c r="B2784">
        <v>3861</v>
      </c>
      <c r="C2784" t="s">
        <v>3453</v>
      </c>
      <c r="D2784" t="s">
        <v>226</v>
      </c>
      <c r="E2784" t="s">
        <v>659</v>
      </c>
      <c r="F2784">
        <v>0.79</v>
      </c>
      <c r="G2784">
        <v>0.81</v>
      </c>
    </row>
    <row r="2785" spans="1:7" hidden="1" x14ac:dyDescent="0.25">
      <c r="A2785" t="s">
        <v>660</v>
      </c>
      <c r="B2785">
        <v>3904</v>
      </c>
      <c r="C2785" t="s">
        <v>3454</v>
      </c>
      <c r="D2785" t="s">
        <v>226</v>
      </c>
      <c r="E2785" t="s">
        <v>659</v>
      </c>
      <c r="F2785">
        <v>0.84</v>
      </c>
      <c r="G2785">
        <v>0.86</v>
      </c>
    </row>
    <row r="2786" spans="1:7" hidden="1" x14ac:dyDescent="0.25">
      <c r="A2786" t="s">
        <v>660</v>
      </c>
      <c r="B2786">
        <v>3903</v>
      </c>
      <c r="C2786" t="s">
        <v>3455</v>
      </c>
      <c r="D2786" t="s">
        <v>226</v>
      </c>
      <c r="E2786" t="s">
        <v>659</v>
      </c>
      <c r="F2786">
        <v>2.04</v>
      </c>
      <c r="G2786">
        <v>2.09</v>
      </c>
    </row>
    <row r="2787" spans="1:7" hidden="1" x14ac:dyDescent="0.25">
      <c r="A2787" t="s">
        <v>660</v>
      </c>
      <c r="B2787">
        <v>3862</v>
      </c>
      <c r="C2787" t="s">
        <v>3456</v>
      </c>
      <c r="D2787" t="s">
        <v>226</v>
      </c>
      <c r="E2787" t="s">
        <v>659</v>
      </c>
      <c r="F2787">
        <v>4.3499999999999996</v>
      </c>
      <c r="G2787">
        <v>4.46</v>
      </c>
    </row>
    <row r="2788" spans="1:7" hidden="1" x14ac:dyDescent="0.25">
      <c r="A2788" t="s">
        <v>660</v>
      </c>
      <c r="B2788">
        <v>3863</v>
      </c>
      <c r="C2788" t="s">
        <v>3457</v>
      </c>
      <c r="D2788" t="s">
        <v>226</v>
      </c>
      <c r="E2788" t="s">
        <v>659</v>
      </c>
      <c r="F2788">
        <v>4.46</v>
      </c>
      <c r="G2788">
        <v>4.57</v>
      </c>
    </row>
    <row r="2789" spans="1:7" hidden="1" x14ac:dyDescent="0.25">
      <c r="A2789" t="s">
        <v>660</v>
      </c>
      <c r="B2789">
        <v>3864</v>
      </c>
      <c r="C2789" t="s">
        <v>3458</v>
      </c>
      <c r="D2789" t="s">
        <v>226</v>
      </c>
      <c r="E2789" t="s">
        <v>659</v>
      </c>
      <c r="F2789">
        <v>13.67</v>
      </c>
      <c r="G2789">
        <v>13.99</v>
      </c>
    </row>
    <row r="2790" spans="1:7" hidden="1" x14ac:dyDescent="0.25">
      <c r="A2790" t="s">
        <v>660</v>
      </c>
      <c r="B2790">
        <v>3865</v>
      </c>
      <c r="C2790" t="s">
        <v>3459</v>
      </c>
      <c r="D2790" t="s">
        <v>226</v>
      </c>
      <c r="E2790" t="s">
        <v>659</v>
      </c>
      <c r="F2790">
        <v>19.989999999999998</v>
      </c>
      <c r="G2790">
        <v>20.46</v>
      </c>
    </row>
    <row r="2791" spans="1:7" hidden="1" x14ac:dyDescent="0.25">
      <c r="A2791" t="s">
        <v>660</v>
      </c>
      <c r="B2791">
        <v>3866</v>
      </c>
      <c r="C2791" t="s">
        <v>3460</v>
      </c>
      <c r="D2791" t="s">
        <v>226</v>
      </c>
      <c r="E2791" t="s">
        <v>659</v>
      </c>
      <c r="F2791">
        <v>44.88</v>
      </c>
      <c r="G2791">
        <v>45.93</v>
      </c>
    </row>
    <row r="2792" spans="1:7" hidden="1" x14ac:dyDescent="0.25">
      <c r="A2792" t="s">
        <v>660</v>
      </c>
      <c r="B2792">
        <v>3878</v>
      </c>
      <c r="C2792" t="s">
        <v>3461</v>
      </c>
      <c r="D2792" t="s">
        <v>226</v>
      </c>
      <c r="E2792" t="s">
        <v>659</v>
      </c>
      <c r="F2792">
        <v>12.24</v>
      </c>
      <c r="G2792">
        <v>12.52</v>
      </c>
    </row>
    <row r="2793" spans="1:7" hidden="1" x14ac:dyDescent="0.25">
      <c r="A2793" t="s">
        <v>660</v>
      </c>
      <c r="B2793">
        <v>3876</v>
      </c>
      <c r="C2793" t="s">
        <v>3462</v>
      </c>
      <c r="D2793" t="s">
        <v>226</v>
      </c>
      <c r="E2793" t="s">
        <v>659</v>
      </c>
      <c r="F2793">
        <v>4.87</v>
      </c>
      <c r="G2793">
        <v>4.9800000000000004</v>
      </c>
    </row>
    <row r="2794" spans="1:7" hidden="1" x14ac:dyDescent="0.25">
      <c r="A2794" t="s">
        <v>660</v>
      </c>
      <c r="B2794">
        <v>3883</v>
      </c>
      <c r="C2794" t="s">
        <v>3463</v>
      </c>
      <c r="D2794" t="s">
        <v>226</v>
      </c>
      <c r="E2794" t="s">
        <v>659</v>
      </c>
      <c r="F2794">
        <v>1.56</v>
      </c>
      <c r="G2794">
        <v>1.6</v>
      </c>
    </row>
    <row r="2795" spans="1:7" hidden="1" x14ac:dyDescent="0.25">
      <c r="A2795" t="s">
        <v>660</v>
      </c>
      <c r="B2795">
        <v>3884</v>
      </c>
      <c r="C2795" t="s">
        <v>3464</v>
      </c>
      <c r="D2795" t="s">
        <v>226</v>
      </c>
      <c r="E2795" t="s">
        <v>659</v>
      </c>
      <c r="F2795">
        <v>2.48</v>
      </c>
      <c r="G2795">
        <v>2.5299999999999998</v>
      </c>
    </row>
    <row r="2796" spans="1:7" hidden="1" x14ac:dyDescent="0.25">
      <c r="A2796" t="s">
        <v>660</v>
      </c>
      <c r="B2796">
        <v>12892</v>
      </c>
      <c r="C2796" t="s">
        <v>3465</v>
      </c>
      <c r="D2796" t="s">
        <v>1086</v>
      </c>
      <c r="E2796" t="s">
        <v>659</v>
      </c>
      <c r="F2796">
        <v>11.15</v>
      </c>
      <c r="G2796">
        <v>12.49</v>
      </c>
    </row>
    <row r="2797" spans="1:7" hidden="1" x14ac:dyDescent="0.25">
      <c r="A2797" t="s">
        <v>660</v>
      </c>
      <c r="B2797">
        <v>38447</v>
      </c>
      <c r="C2797" t="s">
        <v>3466</v>
      </c>
      <c r="D2797" t="s">
        <v>226</v>
      </c>
      <c r="E2797" t="s">
        <v>659</v>
      </c>
      <c r="F2797">
        <f t="shared" ref="F2797:F2805" si="25">G2797</f>
        <v>93.06</v>
      </c>
      <c r="G2797">
        <v>93.06</v>
      </c>
    </row>
    <row r="2798" spans="1:7" hidden="1" x14ac:dyDescent="0.25">
      <c r="A2798" t="s">
        <v>660</v>
      </c>
      <c r="B2798">
        <v>36320</v>
      </c>
      <c r="C2798" t="s">
        <v>3467</v>
      </c>
      <c r="D2798" t="s">
        <v>226</v>
      </c>
      <c r="E2798" t="s">
        <v>659</v>
      </c>
      <c r="F2798">
        <f t="shared" si="25"/>
        <v>2.5</v>
      </c>
      <c r="G2798">
        <v>2.5</v>
      </c>
    </row>
    <row r="2799" spans="1:7" hidden="1" x14ac:dyDescent="0.25">
      <c r="A2799" t="s">
        <v>660</v>
      </c>
      <c r="B2799">
        <v>36324</v>
      </c>
      <c r="C2799" t="s">
        <v>3468</v>
      </c>
      <c r="D2799" t="s">
        <v>226</v>
      </c>
      <c r="E2799" t="s">
        <v>659</v>
      </c>
      <c r="F2799">
        <f t="shared" si="25"/>
        <v>2.2799999999999998</v>
      </c>
      <c r="G2799">
        <v>2.2799999999999998</v>
      </c>
    </row>
    <row r="2800" spans="1:7" hidden="1" x14ac:dyDescent="0.25">
      <c r="A2800" t="s">
        <v>660</v>
      </c>
      <c r="B2800">
        <v>38441</v>
      </c>
      <c r="C2800" t="s">
        <v>3469</v>
      </c>
      <c r="D2800" t="s">
        <v>226</v>
      </c>
      <c r="E2800" t="s">
        <v>659</v>
      </c>
      <c r="F2800">
        <f t="shared" si="25"/>
        <v>4.09</v>
      </c>
      <c r="G2800">
        <v>4.09</v>
      </c>
    </row>
    <row r="2801" spans="1:7" hidden="1" x14ac:dyDescent="0.25">
      <c r="A2801" t="s">
        <v>660</v>
      </c>
      <c r="B2801">
        <v>38442</v>
      </c>
      <c r="C2801" t="s">
        <v>3470</v>
      </c>
      <c r="D2801" t="s">
        <v>226</v>
      </c>
      <c r="E2801" t="s">
        <v>659</v>
      </c>
      <c r="F2801">
        <f t="shared" si="25"/>
        <v>11.63</v>
      </c>
      <c r="G2801">
        <v>11.63</v>
      </c>
    </row>
    <row r="2802" spans="1:7" hidden="1" x14ac:dyDescent="0.25">
      <c r="A2802" t="s">
        <v>660</v>
      </c>
      <c r="B2802">
        <v>38443</v>
      </c>
      <c r="C2802" t="s">
        <v>3471</v>
      </c>
      <c r="D2802" t="s">
        <v>226</v>
      </c>
      <c r="E2802" t="s">
        <v>659</v>
      </c>
      <c r="F2802">
        <f t="shared" si="25"/>
        <v>14.11</v>
      </c>
      <c r="G2802">
        <v>14.11</v>
      </c>
    </row>
    <row r="2803" spans="1:7" hidden="1" x14ac:dyDescent="0.25">
      <c r="A2803" t="s">
        <v>660</v>
      </c>
      <c r="B2803">
        <v>38444</v>
      </c>
      <c r="C2803" t="s">
        <v>3472</v>
      </c>
      <c r="D2803" t="s">
        <v>226</v>
      </c>
      <c r="E2803" t="s">
        <v>659</v>
      </c>
      <c r="F2803">
        <f t="shared" si="25"/>
        <v>23.69</v>
      </c>
      <c r="G2803">
        <v>23.69</v>
      </c>
    </row>
    <row r="2804" spans="1:7" hidden="1" x14ac:dyDescent="0.25">
      <c r="A2804" t="s">
        <v>660</v>
      </c>
      <c r="B2804">
        <v>38445</v>
      </c>
      <c r="C2804" t="s">
        <v>3473</v>
      </c>
      <c r="D2804" t="s">
        <v>226</v>
      </c>
      <c r="E2804" t="s">
        <v>659</v>
      </c>
      <c r="F2804">
        <f t="shared" si="25"/>
        <v>43.93</v>
      </c>
      <c r="G2804">
        <v>43.93</v>
      </c>
    </row>
    <row r="2805" spans="1:7" hidden="1" x14ac:dyDescent="0.25">
      <c r="A2805" t="s">
        <v>660</v>
      </c>
      <c r="B2805">
        <v>38446</v>
      </c>
      <c r="C2805" t="s">
        <v>3474</v>
      </c>
      <c r="D2805" t="s">
        <v>226</v>
      </c>
      <c r="E2805" t="s">
        <v>659</v>
      </c>
      <c r="F2805">
        <f t="shared" si="25"/>
        <v>71.900000000000006</v>
      </c>
      <c r="G2805">
        <v>71.900000000000006</v>
      </c>
    </row>
    <row r="2806" spans="1:7" hidden="1" x14ac:dyDescent="0.25">
      <c r="A2806" t="s">
        <v>660</v>
      </c>
      <c r="B2806">
        <v>3837</v>
      </c>
      <c r="C2806" t="s">
        <v>3475</v>
      </c>
      <c r="D2806" t="s">
        <v>226</v>
      </c>
      <c r="E2806" t="s">
        <v>659</v>
      </c>
      <c r="F2806">
        <v>54.03</v>
      </c>
      <c r="G2806">
        <v>55.69</v>
      </c>
    </row>
    <row r="2807" spans="1:7" hidden="1" x14ac:dyDescent="0.25">
      <c r="A2807" t="s">
        <v>660</v>
      </c>
      <c r="B2807">
        <v>3845</v>
      </c>
      <c r="C2807" t="s">
        <v>3476</v>
      </c>
      <c r="D2807" t="s">
        <v>226</v>
      </c>
      <c r="E2807" t="s">
        <v>659</v>
      </c>
      <c r="F2807">
        <v>19.739999999999998</v>
      </c>
      <c r="G2807">
        <v>20.34</v>
      </c>
    </row>
    <row r="2808" spans="1:7" hidden="1" x14ac:dyDescent="0.25">
      <c r="A2808" t="s">
        <v>660</v>
      </c>
      <c r="B2808">
        <v>11045</v>
      </c>
      <c r="C2808" t="s">
        <v>3477</v>
      </c>
      <c r="D2808" t="s">
        <v>226</v>
      </c>
      <c r="E2808" t="s">
        <v>659</v>
      </c>
      <c r="F2808">
        <v>38.07</v>
      </c>
      <c r="G2808">
        <v>39.24</v>
      </c>
    </row>
    <row r="2809" spans="1:7" hidden="1" x14ac:dyDescent="0.25">
      <c r="A2809" t="s">
        <v>660</v>
      </c>
      <c r="B2809">
        <v>20170</v>
      </c>
      <c r="C2809" t="s">
        <v>3478</v>
      </c>
      <c r="D2809" t="s">
        <v>226</v>
      </c>
      <c r="E2809" t="s">
        <v>659</v>
      </c>
      <c r="F2809">
        <v>14.25</v>
      </c>
      <c r="G2809">
        <v>14.74</v>
      </c>
    </row>
    <row r="2810" spans="1:7" hidden="1" x14ac:dyDescent="0.25">
      <c r="A2810" t="s">
        <v>660</v>
      </c>
      <c r="B2810">
        <v>20171</v>
      </c>
      <c r="C2810" t="s">
        <v>3479</v>
      </c>
      <c r="D2810" t="s">
        <v>226</v>
      </c>
      <c r="E2810" t="s">
        <v>659</v>
      </c>
      <c r="F2810">
        <v>41.1</v>
      </c>
      <c r="G2810">
        <v>42.49</v>
      </c>
    </row>
    <row r="2811" spans="1:7" hidden="1" x14ac:dyDescent="0.25">
      <c r="A2811" t="s">
        <v>660</v>
      </c>
      <c r="B2811">
        <v>20167</v>
      </c>
      <c r="C2811" t="s">
        <v>3480</v>
      </c>
      <c r="D2811" t="s">
        <v>226</v>
      </c>
      <c r="E2811" t="s">
        <v>659</v>
      </c>
      <c r="F2811">
        <v>5.17</v>
      </c>
      <c r="G2811">
        <v>5.34</v>
      </c>
    </row>
    <row r="2812" spans="1:7" hidden="1" x14ac:dyDescent="0.25">
      <c r="A2812" t="s">
        <v>660</v>
      </c>
      <c r="B2812">
        <v>20168</v>
      </c>
      <c r="C2812" t="s">
        <v>3481</v>
      </c>
      <c r="D2812" t="s">
        <v>226</v>
      </c>
      <c r="E2812" t="s">
        <v>659</v>
      </c>
      <c r="F2812">
        <v>10.64</v>
      </c>
      <c r="G2812">
        <v>11</v>
      </c>
    </row>
    <row r="2813" spans="1:7" hidden="1" x14ac:dyDescent="0.25">
      <c r="A2813" t="s">
        <v>660</v>
      </c>
      <c r="B2813">
        <v>20169</v>
      </c>
      <c r="C2813" t="s">
        <v>3482</v>
      </c>
      <c r="D2813" t="s">
        <v>226</v>
      </c>
      <c r="E2813" t="s">
        <v>659</v>
      </c>
      <c r="F2813">
        <v>12.41</v>
      </c>
      <c r="G2813">
        <v>12.83</v>
      </c>
    </row>
    <row r="2814" spans="1:7" hidden="1" x14ac:dyDescent="0.25">
      <c r="A2814" t="s">
        <v>660</v>
      </c>
      <c r="B2814">
        <v>3899</v>
      </c>
      <c r="C2814" t="s">
        <v>3483</v>
      </c>
      <c r="D2814" t="s">
        <v>226</v>
      </c>
      <c r="E2814" t="s">
        <v>659</v>
      </c>
      <c r="F2814">
        <v>6.88</v>
      </c>
      <c r="G2814">
        <v>7.12</v>
      </c>
    </row>
    <row r="2815" spans="1:7" hidden="1" x14ac:dyDescent="0.25">
      <c r="A2815" t="s">
        <v>660</v>
      </c>
      <c r="B2815">
        <v>38676</v>
      </c>
      <c r="C2815" t="s">
        <v>3484</v>
      </c>
      <c r="D2815" t="s">
        <v>226</v>
      </c>
      <c r="E2815" t="s">
        <v>659</v>
      </c>
      <c r="F2815">
        <v>34.44</v>
      </c>
      <c r="G2815">
        <v>35.61</v>
      </c>
    </row>
    <row r="2816" spans="1:7" hidden="1" x14ac:dyDescent="0.25">
      <c r="A2816" t="s">
        <v>660</v>
      </c>
      <c r="B2816">
        <v>3897</v>
      </c>
      <c r="C2816" t="s">
        <v>3485</v>
      </c>
      <c r="D2816" t="s">
        <v>226</v>
      </c>
      <c r="E2816" t="s">
        <v>659</v>
      </c>
      <c r="F2816">
        <v>1.68</v>
      </c>
      <c r="G2816">
        <v>1.74</v>
      </c>
    </row>
    <row r="2817" spans="1:7" hidden="1" x14ac:dyDescent="0.25">
      <c r="A2817" t="s">
        <v>660</v>
      </c>
      <c r="B2817">
        <v>3875</v>
      </c>
      <c r="C2817" t="s">
        <v>3486</v>
      </c>
      <c r="D2817" t="s">
        <v>226</v>
      </c>
      <c r="E2817" t="s">
        <v>659</v>
      </c>
      <c r="F2817">
        <v>3.47</v>
      </c>
      <c r="G2817">
        <v>3.59</v>
      </c>
    </row>
    <row r="2818" spans="1:7" hidden="1" x14ac:dyDescent="0.25">
      <c r="A2818" t="s">
        <v>660</v>
      </c>
      <c r="B2818">
        <v>3898</v>
      </c>
      <c r="C2818" t="s">
        <v>3487</v>
      </c>
      <c r="D2818" t="s">
        <v>226</v>
      </c>
      <c r="E2818" t="s">
        <v>659</v>
      </c>
      <c r="F2818">
        <v>7.04</v>
      </c>
      <c r="G2818">
        <v>7.28</v>
      </c>
    </row>
    <row r="2819" spans="1:7" hidden="1" x14ac:dyDescent="0.25">
      <c r="A2819" t="s">
        <v>660</v>
      </c>
      <c r="B2819">
        <v>3855</v>
      </c>
      <c r="C2819" t="s">
        <v>3488</v>
      </c>
      <c r="D2819" t="s">
        <v>226</v>
      </c>
      <c r="E2819" t="s">
        <v>659</v>
      </c>
      <c r="F2819">
        <v>5.28</v>
      </c>
      <c r="G2819">
        <v>5.41</v>
      </c>
    </row>
    <row r="2820" spans="1:7" hidden="1" x14ac:dyDescent="0.25">
      <c r="A2820" t="s">
        <v>660</v>
      </c>
      <c r="B2820">
        <v>3874</v>
      </c>
      <c r="C2820" t="s">
        <v>3489</v>
      </c>
      <c r="D2820" t="s">
        <v>226</v>
      </c>
      <c r="E2820" t="s">
        <v>659</v>
      </c>
      <c r="F2820">
        <v>6.12</v>
      </c>
      <c r="G2820">
        <v>6.27</v>
      </c>
    </row>
    <row r="2821" spans="1:7" hidden="1" x14ac:dyDescent="0.25">
      <c r="A2821" t="s">
        <v>660</v>
      </c>
      <c r="B2821">
        <v>3870</v>
      </c>
      <c r="C2821" t="s">
        <v>3490</v>
      </c>
      <c r="D2821" t="s">
        <v>226</v>
      </c>
      <c r="E2821" t="s">
        <v>659</v>
      </c>
      <c r="F2821">
        <v>6.72</v>
      </c>
      <c r="G2821">
        <v>6.88</v>
      </c>
    </row>
    <row r="2822" spans="1:7" hidden="1" x14ac:dyDescent="0.25">
      <c r="A2822" t="s">
        <v>660</v>
      </c>
      <c r="B2822">
        <v>38678</v>
      </c>
      <c r="C2822" t="s">
        <v>3491</v>
      </c>
      <c r="D2822" t="s">
        <v>226</v>
      </c>
      <c r="E2822" t="s">
        <v>659</v>
      </c>
      <c r="F2822">
        <v>17.78</v>
      </c>
      <c r="G2822">
        <v>18.2</v>
      </c>
    </row>
    <row r="2823" spans="1:7" hidden="1" x14ac:dyDescent="0.25">
      <c r="A2823" t="s">
        <v>660</v>
      </c>
      <c r="B2823">
        <v>3859</v>
      </c>
      <c r="C2823" t="s">
        <v>3492</v>
      </c>
      <c r="D2823" t="s">
        <v>226</v>
      </c>
      <c r="E2823" t="s">
        <v>659</v>
      </c>
      <c r="F2823">
        <v>1.35</v>
      </c>
      <c r="G2823">
        <v>1.39</v>
      </c>
    </row>
    <row r="2824" spans="1:7" hidden="1" x14ac:dyDescent="0.25">
      <c r="A2824" t="s">
        <v>660</v>
      </c>
      <c r="B2824">
        <v>3856</v>
      </c>
      <c r="C2824" t="s">
        <v>3493</v>
      </c>
      <c r="D2824" t="s">
        <v>226</v>
      </c>
      <c r="E2824" t="s">
        <v>659</v>
      </c>
      <c r="F2824">
        <v>1.88</v>
      </c>
      <c r="G2824">
        <v>1.92</v>
      </c>
    </row>
    <row r="2825" spans="1:7" hidden="1" x14ac:dyDescent="0.25">
      <c r="A2825" t="s">
        <v>660</v>
      </c>
      <c r="B2825">
        <v>3906</v>
      </c>
      <c r="C2825" t="s">
        <v>3494</v>
      </c>
      <c r="D2825" t="s">
        <v>226</v>
      </c>
      <c r="E2825" t="s">
        <v>659</v>
      </c>
      <c r="F2825">
        <v>1.55</v>
      </c>
      <c r="G2825">
        <v>1.59</v>
      </c>
    </row>
    <row r="2826" spans="1:7" hidden="1" x14ac:dyDescent="0.25">
      <c r="A2826" t="s">
        <v>660</v>
      </c>
      <c r="B2826">
        <v>3860</v>
      </c>
      <c r="C2826" t="s">
        <v>3495</v>
      </c>
      <c r="D2826" t="s">
        <v>226</v>
      </c>
      <c r="E2826" t="s">
        <v>659</v>
      </c>
      <c r="F2826">
        <v>4.6100000000000003</v>
      </c>
      <c r="G2826">
        <v>4.72</v>
      </c>
    </row>
    <row r="2827" spans="1:7" hidden="1" x14ac:dyDescent="0.25">
      <c r="A2827" t="s">
        <v>660</v>
      </c>
      <c r="B2827">
        <v>3905</v>
      </c>
      <c r="C2827" t="s">
        <v>3496</v>
      </c>
      <c r="D2827" t="s">
        <v>226</v>
      </c>
      <c r="E2827" t="s">
        <v>659</v>
      </c>
      <c r="F2827">
        <v>10.57</v>
      </c>
      <c r="G2827">
        <v>10.81</v>
      </c>
    </row>
    <row r="2828" spans="1:7" hidden="1" x14ac:dyDescent="0.25">
      <c r="A2828" t="s">
        <v>660</v>
      </c>
      <c r="B2828">
        <v>3871</v>
      </c>
      <c r="C2828" t="s">
        <v>3497</v>
      </c>
      <c r="D2828" t="s">
        <v>226</v>
      </c>
      <c r="E2828" t="s">
        <v>659</v>
      </c>
      <c r="F2828">
        <v>18.7</v>
      </c>
      <c r="G2828">
        <v>19.14</v>
      </c>
    </row>
    <row r="2829" spans="1:7" hidden="1" x14ac:dyDescent="0.25">
      <c r="A2829" t="s">
        <v>660</v>
      </c>
      <c r="B2829">
        <v>37427</v>
      </c>
      <c r="C2829" t="s">
        <v>3498</v>
      </c>
      <c r="D2829" t="s">
        <v>226</v>
      </c>
      <c r="E2829" t="s">
        <v>659</v>
      </c>
      <c r="F2829">
        <f t="shared" ref="F2829:F2849" si="26">G2829</f>
        <v>64.819999999999993</v>
      </c>
      <c r="G2829">
        <v>64.819999999999993</v>
      </c>
    </row>
    <row r="2830" spans="1:7" hidden="1" x14ac:dyDescent="0.25">
      <c r="A2830" t="s">
        <v>660</v>
      </c>
      <c r="B2830">
        <v>37424</v>
      </c>
      <c r="C2830" t="s">
        <v>3499</v>
      </c>
      <c r="D2830" t="s">
        <v>226</v>
      </c>
      <c r="E2830" t="s">
        <v>659</v>
      </c>
      <c r="F2830">
        <f t="shared" si="26"/>
        <v>12.49</v>
      </c>
      <c r="G2830">
        <v>12.49</v>
      </c>
    </row>
    <row r="2831" spans="1:7" hidden="1" x14ac:dyDescent="0.25">
      <c r="A2831" t="s">
        <v>660</v>
      </c>
      <c r="B2831">
        <v>37428</v>
      </c>
      <c r="C2831" t="s">
        <v>3500</v>
      </c>
      <c r="D2831" t="s">
        <v>226</v>
      </c>
      <c r="E2831" t="s">
        <v>659</v>
      </c>
      <c r="F2831">
        <f t="shared" si="26"/>
        <v>223.39</v>
      </c>
      <c r="G2831">
        <v>223.39</v>
      </c>
    </row>
    <row r="2832" spans="1:7" hidden="1" x14ac:dyDescent="0.25">
      <c r="A2832" t="s">
        <v>660</v>
      </c>
      <c r="B2832">
        <v>37425</v>
      </c>
      <c r="C2832" t="s">
        <v>3501</v>
      </c>
      <c r="D2832" t="s">
        <v>226</v>
      </c>
      <c r="E2832" t="s">
        <v>659</v>
      </c>
      <c r="F2832">
        <f t="shared" si="26"/>
        <v>13.46</v>
      </c>
      <c r="G2832">
        <v>13.46</v>
      </c>
    </row>
    <row r="2833" spans="1:7" hidden="1" x14ac:dyDescent="0.25">
      <c r="A2833" t="s">
        <v>660</v>
      </c>
      <c r="B2833">
        <v>37429</v>
      </c>
      <c r="C2833" t="s">
        <v>3502</v>
      </c>
      <c r="D2833" t="s">
        <v>226</v>
      </c>
      <c r="E2833" t="s">
        <v>659</v>
      </c>
      <c r="F2833">
        <f t="shared" si="26"/>
        <v>2824.89</v>
      </c>
      <c r="G2833" s="538">
        <v>2824.89</v>
      </c>
    </row>
    <row r="2834" spans="1:7" hidden="1" x14ac:dyDescent="0.25">
      <c r="A2834" t="s">
        <v>660</v>
      </c>
      <c r="B2834">
        <v>37426</v>
      </c>
      <c r="C2834" t="s">
        <v>3503</v>
      </c>
      <c r="D2834" t="s">
        <v>226</v>
      </c>
      <c r="E2834" t="s">
        <v>659</v>
      </c>
      <c r="F2834">
        <f t="shared" si="26"/>
        <v>27.17</v>
      </c>
      <c r="G2834">
        <v>27.17</v>
      </c>
    </row>
    <row r="2835" spans="1:7" hidden="1" x14ac:dyDescent="0.25">
      <c r="A2835" t="s">
        <v>660</v>
      </c>
      <c r="B2835">
        <v>39292</v>
      </c>
      <c r="C2835" t="s">
        <v>3504</v>
      </c>
      <c r="D2835" t="s">
        <v>226</v>
      </c>
      <c r="E2835" t="s">
        <v>659</v>
      </c>
      <c r="F2835">
        <f t="shared" si="26"/>
        <v>8.86</v>
      </c>
      <c r="G2835">
        <v>8.86</v>
      </c>
    </row>
    <row r="2836" spans="1:7" hidden="1" x14ac:dyDescent="0.25">
      <c r="A2836" t="s">
        <v>660</v>
      </c>
      <c r="B2836">
        <v>39293</v>
      </c>
      <c r="C2836" t="s">
        <v>3505</v>
      </c>
      <c r="D2836" t="s">
        <v>226</v>
      </c>
      <c r="E2836" t="s">
        <v>659</v>
      </c>
      <c r="F2836">
        <f t="shared" si="26"/>
        <v>13.77</v>
      </c>
      <c r="G2836">
        <v>13.77</v>
      </c>
    </row>
    <row r="2837" spans="1:7" hidden="1" x14ac:dyDescent="0.25">
      <c r="A2837" t="s">
        <v>660</v>
      </c>
      <c r="B2837">
        <v>39294</v>
      </c>
      <c r="C2837" t="s">
        <v>3506</v>
      </c>
      <c r="D2837" t="s">
        <v>226</v>
      </c>
      <c r="E2837" t="s">
        <v>659</v>
      </c>
      <c r="F2837">
        <f t="shared" si="26"/>
        <v>14.72</v>
      </c>
      <c r="G2837">
        <v>14.72</v>
      </c>
    </row>
    <row r="2838" spans="1:7" hidden="1" x14ac:dyDescent="0.25">
      <c r="A2838" t="s">
        <v>660</v>
      </c>
      <c r="B2838">
        <v>39295</v>
      </c>
      <c r="C2838" t="s">
        <v>3507</v>
      </c>
      <c r="D2838" t="s">
        <v>226</v>
      </c>
      <c r="E2838" t="s">
        <v>659</v>
      </c>
      <c r="F2838">
        <f t="shared" si="26"/>
        <v>20.239999999999998</v>
      </c>
      <c r="G2838">
        <v>20.239999999999998</v>
      </c>
    </row>
    <row r="2839" spans="1:7" hidden="1" x14ac:dyDescent="0.25">
      <c r="A2839" t="s">
        <v>660</v>
      </c>
      <c r="B2839">
        <v>39312</v>
      </c>
      <c r="C2839" t="s">
        <v>3508</v>
      </c>
      <c r="D2839" t="s">
        <v>226</v>
      </c>
      <c r="E2839" t="s">
        <v>659</v>
      </c>
      <c r="F2839">
        <f t="shared" si="26"/>
        <v>13.59</v>
      </c>
      <c r="G2839">
        <v>13.59</v>
      </c>
    </row>
    <row r="2840" spans="1:7" hidden="1" x14ac:dyDescent="0.25">
      <c r="A2840" t="s">
        <v>660</v>
      </c>
      <c r="B2840">
        <v>39313</v>
      </c>
      <c r="C2840" t="s">
        <v>3509</v>
      </c>
      <c r="D2840" t="s">
        <v>226</v>
      </c>
      <c r="E2840" t="s">
        <v>659</v>
      </c>
      <c r="F2840">
        <f t="shared" si="26"/>
        <v>18.25</v>
      </c>
      <c r="G2840">
        <v>18.25</v>
      </c>
    </row>
    <row r="2841" spans="1:7" hidden="1" x14ac:dyDescent="0.25">
      <c r="A2841" t="s">
        <v>660</v>
      </c>
      <c r="B2841">
        <v>39314</v>
      </c>
      <c r="C2841" t="s">
        <v>3510</v>
      </c>
      <c r="D2841" t="s">
        <v>226</v>
      </c>
      <c r="E2841" t="s">
        <v>659</v>
      </c>
      <c r="F2841">
        <f t="shared" si="26"/>
        <v>26.85</v>
      </c>
      <c r="G2841">
        <v>26.85</v>
      </c>
    </row>
    <row r="2842" spans="1:7" hidden="1" x14ac:dyDescent="0.25">
      <c r="A2842" t="s">
        <v>660</v>
      </c>
      <c r="B2842">
        <v>39296</v>
      </c>
      <c r="C2842" t="s">
        <v>3511</v>
      </c>
      <c r="D2842" t="s">
        <v>226</v>
      </c>
      <c r="E2842" t="s">
        <v>659</v>
      </c>
      <c r="F2842">
        <f t="shared" si="26"/>
        <v>8.08</v>
      </c>
      <c r="G2842">
        <v>8.08</v>
      </c>
    </row>
    <row r="2843" spans="1:7" hidden="1" x14ac:dyDescent="0.25">
      <c r="A2843" t="s">
        <v>660</v>
      </c>
      <c r="B2843">
        <v>39297</v>
      </c>
      <c r="C2843" t="s">
        <v>3512</v>
      </c>
      <c r="D2843" t="s">
        <v>226</v>
      </c>
      <c r="E2843" t="s">
        <v>659</v>
      </c>
      <c r="F2843">
        <f t="shared" si="26"/>
        <v>10.95</v>
      </c>
      <c r="G2843">
        <v>10.95</v>
      </c>
    </row>
    <row r="2844" spans="1:7" hidden="1" x14ac:dyDescent="0.25">
      <c r="A2844" t="s">
        <v>660</v>
      </c>
      <c r="B2844">
        <v>39298</v>
      </c>
      <c r="C2844" t="s">
        <v>3513</v>
      </c>
      <c r="D2844" t="s">
        <v>226</v>
      </c>
      <c r="E2844" t="s">
        <v>659</v>
      </c>
      <c r="F2844">
        <f t="shared" si="26"/>
        <v>21.03</v>
      </c>
      <c r="G2844">
        <v>21.03</v>
      </c>
    </row>
    <row r="2845" spans="1:7" hidden="1" x14ac:dyDescent="0.25">
      <c r="A2845" t="s">
        <v>660</v>
      </c>
      <c r="B2845">
        <v>39299</v>
      </c>
      <c r="C2845" t="s">
        <v>3514</v>
      </c>
      <c r="D2845" t="s">
        <v>226</v>
      </c>
      <c r="E2845" t="s">
        <v>659</v>
      </c>
      <c r="F2845">
        <f t="shared" si="26"/>
        <v>24.92</v>
      </c>
      <c r="G2845">
        <v>24.92</v>
      </c>
    </row>
    <row r="2846" spans="1:7" hidden="1" x14ac:dyDescent="0.25">
      <c r="A2846" t="s">
        <v>660</v>
      </c>
      <c r="B2846">
        <v>39308</v>
      </c>
      <c r="C2846" t="s">
        <v>3515</v>
      </c>
      <c r="D2846" t="s">
        <v>226</v>
      </c>
      <c r="E2846" t="s">
        <v>659</v>
      </c>
      <c r="F2846">
        <f t="shared" si="26"/>
        <v>6.74</v>
      </c>
      <c r="G2846">
        <v>6.74</v>
      </c>
    </row>
    <row r="2847" spans="1:7" hidden="1" x14ac:dyDescent="0.25">
      <c r="A2847" t="s">
        <v>660</v>
      </c>
      <c r="B2847">
        <v>39309</v>
      </c>
      <c r="C2847" t="s">
        <v>3516</v>
      </c>
      <c r="D2847" t="s">
        <v>226</v>
      </c>
      <c r="E2847" t="s">
        <v>659</v>
      </c>
      <c r="F2847">
        <f t="shared" si="26"/>
        <v>7.68</v>
      </c>
      <c r="G2847">
        <v>7.68</v>
      </c>
    </row>
    <row r="2848" spans="1:7" hidden="1" x14ac:dyDescent="0.25">
      <c r="A2848" t="s">
        <v>660</v>
      </c>
      <c r="B2848">
        <v>39310</v>
      </c>
      <c r="C2848" t="s">
        <v>3517</v>
      </c>
      <c r="D2848" t="s">
        <v>226</v>
      </c>
      <c r="E2848" t="s">
        <v>659</v>
      </c>
      <c r="F2848">
        <f t="shared" si="26"/>
        <v>14.34</v>
      </c>
      <c r="G2848">
        <v>14.34</v>
      </c>
    </row>
    <row r="2849" spans="1:7" hidden="1" x14ac:dyDescent="0.25">
      <c r="A2849" t="s">
        <v>660</v>
      </c>
      <c r="B2849">
        <v>39311</v>
      </c>
      <c r="C2849" t="s">
        <v>3518</v>
      </c>
      <c r="D2849" t="s">
        <v>226</v>
      </c>
      <c r="E2849" t="s">
        <v>659</v>
      </c>
      <c r="F2849">
        <f t="shared" si="26"/>
        <v>20.309999999999999</v>
      </c>
      <c r="G2849">
        <v>20.309999999999999</v>
      </c>
    </row>
    <row r="2850" spans="1:7" hidden="1" x14ac:dyDescent="0.25">
      <c r="A2850" t="s">
        <v>660</v>
      </c>
      <c r="B2850">
        <v>45261</v>
      </c>
      <c r="C2850" t="s">
        <v>3519</v>
      </c>
      <c r="D2850" t="s">
        <v>1086</v>
      </c>
      <c r="E2850" t="s">
        <v>659</v>
      </c>
      <c r="F2850">
        <v>19.46</v>
      </c>
      <c r="G2850">
        <v>21.8</v>
      </c>
    </row>
    <row r="2851" spans="1:7" hidden="1" x14ac:dyDescent="0.25">
      <c r="A2851" t="s">
        <v>660</v>
      </c>
      <c r="B2851">
        <v>11519</v>
      </c>
      <c r="C2851" t="s">
        <v>3520</v>
      </c>
      <c r="D2851" t="s">
        <v>1086</v>
      </c>
      <c r="E2851" t="s">
        <v>659</v>
      </c>
      <c r="F2851">
        <v>52.39</v>
      </c>
      <c r="G2851">
        <v>60.25</v>
      </c>
    </row>
    <row r="2852" spans="1:7" hidden="1" x14ac:dyDescent="0.25">
      <c r="A2852" t="s">
        <v>660</v>
      </c>
      <c r="B2852">
        <v>11520</v>
      </c>
      <c r="C2852" t="s">
        <v>3521</v>
      </c>
      <c r="D2852" t="s">
        <v>1086</v>
      </c>
      <c r="E2852" t="s">
        <v>659</v>
      </c>
      <c r="F2852">
        <v>24.22</v>
      </c>
      <c r="G2852">
        <v>27.85</v>
      </c>
    </row>
    <row r="2853" spans="1:7" hidden="1" x14ac:dyDescent="0.25">
      <c r="A2853" t="s">
        <v>660</v>
      </c>
      <c r="B2853">
        <v>11518</v>
      </c>
      <c r="C2853" t="s">
        <v>3522</v>
      </c>
      <c r="D2853" t="s">
        <v>1086</v>
      </c>
      <c r="E2853" t="s">
        <v>659</v>
      </c>
      <c r="F2853">
        <v>88.06</v>
      </c>
      <c r="G2853">
        <v>101.27</v>
      </c>
    </row>
    <row r="2854" spans="1:7" hidden="1" x14ac:dyDescent="0.25">
      <c r="A2854" t="s">
        <v>660</v>
      </c>
      <c r="B2854">
        <v>38473</v>
      </c>
      <c r="C2854" t="s">
        <v>3523</v>
      </c>
      <c r="D2854" t="s">
        <v>226</v>
      </c>
      <c r="E2854" t="s">
        <v>659</v>
      </c>
      <c r="F2854">
        <v>331</v>
      </c>
      <c r="G2854">
        <v>280.31</v>
      </c>
    </row>
    <row r="2855" spans="1:7" hidden="1" x14ac:dyDescent="0.25">
      <c r="A2855" t="s">
        <v>807</v>
      </c>
      <c r="B2855">
        <v>4244</v>
      </c>
      <c r="C2855" t="s">
        <v>3524</v>
      </c>
      <c r="D2855" t="s">
        <v>809</v>
      </c>
      <c r="E2855" t="s">
        <v>659</v>
      </c>
      <c r="F2855">
        <v>11.33</v>
      </c>
      <c r="G2855">
        <v>13.34</v>
      </c>
    </row>
    <row r="2856" spans="1:7" hidden="1" x14ac:dyDescent="0.25">
      <c r="A2856" t="s">
        <v>807</v>
      </c>
      <c r="B2856">
        <v>40977</v>
      </c>
      <c r="C2856" t="s">
        <v>3525</v>
      </c>
      <c r="D2856" t="s">
        <v>811</v>
      </c>
      <c r="E2856" t="s">
        <v>659</v>
      </c>
      <c r="F2856" s="538">
        <v>2494.65</v>
      </c>
      <c r="G2856" s="538">
        <v>2936.92</v>
      </c>
    </row>
    <row r="2857" spans="1:7" x14ac:dyDescent="0.25">
      <c r="A2857" t="s">
        <v>660</v>
      </c>
      <c r="B2857">
        <v>4115</v>
      </c>
      <c r="C2857" t="s">
        <v>3526</v>
      </c>
      <c r="D2857" t="s">
        <v>704</v>
      </c>
      <c r="E2857" t="s">
        <v>659</v>
      </c>
      <c r="F2857">
        <v>23.85</v>
      </c>
      <c r="G2857">
        <v>29.31</v>
      </c>
    </row>
    <row r="2858" spans="1:7" x14ac:dyDescent="0.25">
      <c r="A2858" t="s">
        <v>660</v>
      </c>
      <c r="B2858">
        <v>4119</v>
      </c>
      <c r="C2858" t="s">
        <v>3527</v>
      </c>
      <c r="D2858" t="s">
        <v>704</v>
      </c>
      <c r="E2858" t="s">
        <v>659</v>
      </c>
      <c r="F2858">
        <v>48.17</v>
      </c>
      <c r="G2858">
        <v>59.19</v>
      </c>
    </row>
    <row r="2859" spans="1:7" x14ac:dyDescent="0.25">
      <c r="A2859" t="s">
        <v>660</v>
      </c>
      <c r="B2859">
        <v>2794</v>
      </c>
      <c r="C2859" t="s">
        <v>3528</v>
      </c>
      <c r="D2859" t="s">
        <v>704</v>
      </c>
      <c r="E2859" t="s">
        <v>659</v>
      </c>
      <c r="F2859">
        <v>127.79</v>
      </c>
      <c r="G2859">
        <v>157.02000000000001</v>
      </c>
    </row>
    <row r="2860" spans="1:7" x14ac:dyDescent="0.25">
      <c r="A2860" t="s">
        <v>660</v>
      </c>
      <c r="B2860">
        <v>2788</v>
      </c>
      <c r="C2860" t="s">
        <v>3529</v>
      </c>
      <c r="D2860" t="s">
        <v>704</v>
      </c>
      <c r="E2860" t="s">
        <v>659</v>
      </c>
      <c r="F2860">
        <v>186.17</v>
      </c>
      <c r="G2860">
        <v>228.75</v>
      </c>
    </row>
    <row r="2861" spans="1:7" hidden="1" x14ac:dyDescent="0.25">
      <c r="A2861" t="s">
        <v>660</v>
      </c>
      <c r="B2861">
        <v>4006</v>
      </c>
      <c r="C2861" t="s">
        <v>3530</v>
      </c>
      <c r="D2861" t="s">
        <v>806</v>
      </c>
      <c r="E2861" t="s">
        <v>659</v>
      </c>
      <c r="F2861" s="538">
        <v>1774.14</v>
      </c>
      <c r="G2861" s="538">
        <v>1832.51</v>
      </c>
    </row>
    <row r="2862" spans="1:7" hidden="1" x14ac:dyDescent="0.25">
      <c r="A2862" t="s">
        <v>660</v>
      </c>
      <c r="B2862">
        <v>45395</v>
      </c>
      <c r="C2862" t="s">
        <v>3531</v>
      </c>
      <c r="D2862" t="s">
        <v>1086</v>
      </c>
      <c r="E2862" t="s">
        <v>659</v>
      </c>
      <c r="F2862">
        <v>29.53</v>
      </c>
      <c r="G2862">
        <v>33.07</v>
      </c>
    </row>
    <row r="2863" spans="1:7" hidden="1" x14ac:dyDescent="0.25">
      <c r="A2863" t="s">
        <v>660</v>
      </c>
      <c r="B2863">
        <v>37461</v>
      </c>
      <c r="C2863" t="s">
        <v>3532</v>
      </c>
      <c r="D2863" t="s">
        <v>704</v>
      </c>
      <c r="E2863" t="s">
        <v>659</v>
      </c>
      <c r="F2863">
        <v>14.23</v>
      </c>
      <c r="G2863">
        <v>14.37</v>
      </c>
    </row>
    <row r="2864" spans="1:7" hidden="1" x14ac:dyDescent="0.25">
      <c r="A2864" t="s">
        <v>660</v>
      </c>
      <c r="B2864">
        <v>37460</v>
      </c>
      <c r="C2864" t="s">
        <v>3533</v>
      </c>
      <c r="D2864" t="s">
        <v>704</v>
      </c>
      <c r="E2864" t="s">
        <v>659</v>
      </c>
      <c r="F2864">
        <v>24.97</v>
      </c>
      <c r="G2864">
        <v>25.23</v>
      </c>
    </row>
    <row r="2865" spans="1:7" hidden="1" x14ac:dyDescent="0.25">
      <c r="A2865" t="s">
        <v>660</v>
      </c>
      <c r="B2865">
        <v>37458</v>
      </c>
      <c r="C2865" t="s">
        <v>3534</v>
      </c>
      <c r="D2865" t="s">
        <v>704</v>
      </c>
      <c r="E2865" t="s">
        <v>172</v>
      </c>
      <c r="F2865">
        <v>5.79</v>
      </c>
      <c r="G2865">
        <v>5.85</v>
      </c>
    </row>
    <row r="2866" spans="1:7" hidden="1" x14ac:dyDescent="0.25">
      <c r="A2866" t="s">
        <v>660</v>
      </c>
      <c r="B2866">
        <v>37454</v>
      </c>
      <c r="C2866" t="s">
        <v>3535</v>
      </c>
      <c r="D2866" t="s">
        <v>704</v>
      </c>
      <c r="E2866" t="s">
        <v>659</v>
      </c>
      <c r="F2866">
        <v>1.81</v>
      </c>
      <c r="G2866">
        <v>1.83</v>
      </c>
    </row>
    <row r="2867" spans="1:7" hidden="1" x14ac:dyDescent="0.25">
      <c r="A2867" t="s">
        <v>660</v>
      </c>
      <c r="B2867">
        <v>37455</v>
      </c>
      <c r="C2867" t="s">
        <v>3536</v>
      </c>
      <c r="D2867" t="s">
        <v>704</v>
      </c>
      <c r="E2867" t="s">
        <v>659</v>
      </c>
      <c r="F2867">
        <v>3.02</v>
      </c>
      <c r="G2867">
        <v>3.05</v>
      </c>
    </row>
    <row r="2868" spans="1:7" hidden="1" x14ac:dyDescent="0.25">
      <c r="A2868" t="s">
        <v>660</v>
      </c>
      <c r="B2868">
        <v>37459</v>
      </c>
      <c r="C2868" t="s">
        <v>3537</v>
      </c>
      <c r="D2868" t="s">
        <v>704</v>
      </c>
      <c r="E2868" t="s">
        <v>659</v>
      </c>
      <c r="F2868">
        <v>9.64</v>
      </c>
      <c r="G2868">
        <v>9.74</v>
      </c>
    </row>
    <row r="2869" spans="1:7" hidden="1" x14ac:dyDescent="0.25">
      <c r="A2869" t="s">
        <v>660</v>
      </c>
      <c r="B2869">
        <v>37457</v>
      </c>
      <c r="C2869" t="s">
        <v>3538</v>
      </c>
      <c r="D2869" t="s">
        <v>704</v>
      </c>
      <c r="E2869" t="s">
        <v>659</v>
      </c>
      <c r="F2869">
        <v>3.32</v>
      </c>
      <c r="G2869">
        <v>3.36</v>
      </c>
    </row>
    <row r="2870" spans="1:7" hidden="1" x14ac:dyDescent="0.25">
      <c r="A2870" t="s">
        <v>660</v>
      </c>
      <c r="B2870">
        <v>37456</v>
      </c>
      <c r="C2870" t="s">
        <v>3539</v>
      </c>
      <c r="D2870" t="s">
        <v>704</v>
      </c>
      <c r="E2870" t="s">
        <v>659</v>
      </c>
      <c r="F2870">
        <v>2.2799999999999998</v>
      </c>
      <c r="G2870">
        <v>2.2999999999999998</v>
      </c>
    </row>
    <row r="2871" spans="1:7" hidden="1" x14ac:dyDescent="0.25">
      <c r="A2871" t="s">
        <v>660</v>
      </c>
      <c r="B2871">
        <v>21029</v>
      </c>
      <c r="C2871" t="s">
        <v>3540</v>
      </c>
      <c r="D2871" t="s">
        <v>226</v>
      </c>
      <c r="E2871" t="s">
        <v>172</v>
      </c>
      <c r="F2871">
        <v>347.5</v>
      </c>
      <c r="G2871">
        <v>355.42</v>
      </c>
    </row>
    <row r="2872" spans="1:7" hidden="1" x14ac:dyDescent="0.25">
      <c r="A2872" t="s">
        <v>660</v>
      </c>
      <c r="B2872">
        <v>21030</v>
      </c>
      <c r="C2872" t="s">
        <v>3541</v>
      </c>
      <c r="D2872" t="s">
        <v>226</v>
      </c>
      <c r="E2872" t="s">
        <v>659</v>
      </c>
      <c r="F2872">
        <v>428.35</v>
      </c>
      <c r="G2872">
        <v>438.11</v>
      </c>
    </row>
    <row r="2873" spans="1:7" hidden="1" x14ac:dyDescent="0.25">
      <c r="A2873" t="s">
        <v>660</v>
      </c>
      <c r="B2873">
        <v>21031</v>
      </c>
      <c r="C2873" t="s">
        <v>3542</v>
      </c>
      <c r="D2873" t="s">
        <v>226</v>
      </c>
      <c r="E2873" t="s">
        <v>659</v>
      </c>
      <c r="F2873">
        <v>533.29</v>
      </c>
      <c r="G2873">
        <v>545.44000000000005</v>
      </c>
    </row>
    <row r="2874" spans="1:7" hidden="1" x14ac:dyDescent="0.25">
      <c r="A2874" t="s">
        <v>660</v>
      </c>
      <c r="B2874">
        <v>21032</v>
      </c>
      <c r="C2874" t="s">
        <v>3543</v>
      </c>
      <c r="D2874" t="s">
        <v>226</v>
      </c>
      <c r="E2874" t="s">
        <v>659</v>
      </c>
      <c r="F2874">
        <v>569.41</v>
      </c>
      <c r="G2874">
        <v>582.39</v>
      </c>
    </row>
    <row r="2875" spans="1:7" hidden="1" x14ac:dyDescent="0.25">
      <c r="A2875" t="s">
        <v>660</v>
      </c>
      <c r="B2875">
        <v>37527</v>
      </c>
      <c r="C2875" t="s">
        <v>3544</v>
      </c>
      <c r="D2875" t="s">
        <v>226</v>
      </c>
      <c r="E2875" t="s">
        <v>659</v>
      </c>
      <c r="F2875">
        <v>514.36</v>
      </c>
      <c r="G2875">
        <v>526.09</v>
      </c>
    </row>
    <row r="2876" spans="1:7" hidden="1" x14ac:dyDescent="0.25">
      <c r="A2876" t="s">
        <v>660</v>
      </c>
      <c r="B2876">
        <v>37528</v>
      </c>
      <c r="C2876" t="s">
        <v>3545</v>
      </c>
      <c r="D2876" t="s">
        <v>226</v>
      </c>
      <c r="E2876" t="s">
        <v>659</v>
      </c>
      <c r="F2876">
        <v>613.28</v>
      </c>
      <c r="G2876">
        <v>627.26</v>
      </c>
    </row>
    <row r="2877" spans="1:7" hidden="1" x14ac:dyDescent="0.25">
      <c r="A2877" t="s">
        <v>660</v>
      </c>
      <c r="B2877">
        <v>37529</v>
      </c>
      <c r="C2877" t="s">
        <v>3546</v>
      </c>
      <c r="D2877" t="s">
        <v>226</v>
      </c>
      <c r="E2877" t="s">
        <v>659</v>
      </c>
      <c r="F2877">
        <v>619.29999999999995</v>
      </c>
      <c r="G2877">
        <v>633.41999999999996</v>
      </c>
    </row>
    <row r="2878" spans="1:7" hidden="1" x14ac:dyDescent="0.25">
      <c r="A2878" t="s">
        <v>660</v>
      </c>
      <c r="B2878">
        <v>37530</v>
      </c>
      <c r="C2878" t="s">
        <v>3547</v>
      </c>
      <c r="D2878" t="s">
        <v>226</v>
      </c>
      <c r="E2878" t="s">
        <v>659</v>
      </c>
      <c r="F2878">
        <v>808.53</v>
      </c>
      <c r="G2878">
        <v>826.96</v>
      </c>
    </row>
    <row r="2879" spans="1:7" hidden="1" x14ac:dyDescent="0.25">
      <c r="A2879" t="s">
        <v>660</v>
      </c>
      <c r="B2879">
        <v>21034</v>
      </c>
      <c r="C2879" t="s">
        <v>3548</v>
      </c>
      <c r="D2879" t="s">
        <v>226</v>
      </c>
      <c r="E2879" t="s">
        <v>659</v>
      </c>
      <c r="F2879">
        <v>689.83</v>
      </c>
      <c r="G2879">
        <v>705.56</v>
      </c>
    </row>
    <row r="2880" spans="1:7" hidden="1" x14ac:dyDescent="0.25">
      <c r="A2880" t="s">
        <v>660</v>
      </c>
      <c r="B2880">
        <v>37531</v>
      </c>
      <c r="C2880" t="s">
        <v>3549</v>
      </c>
      <c r="D2880" t="s">
        <v>226</v>
      </c>
      <c r="E2880" t="s">
        <v>659</v>
      </c>
      <c r="F2880">
        <v>868.75</v>
      </c>
      <c r="G2880">
        <v>888.55</v>
      </c>
    </row>
    <row r="2881" spans="1:7" hidden="1" x14ac:dyDescent="0.25">
      <c r="A2881" t="s">
        <v>660</v>
      </c>
      <c r="B2881">
        <v>21036</v>
      </c>
      <c r="C2881" t="s">
        <v>3550</v>
      </c>
      <c r="D2881" t="s">
        <v>226</v>
      </c>
      <c r="E2881" t="s">
        <v>659</v>
      </c>
      <c r="F2881" s="538">
        <v>1056.26</v>
      </c>
      <c r="G2881" s="538">
        <v>1080.33</v>
      </c>
    </row>
    <row r="2882" spans="1:7" hidden="1" x14ac:dyDescent="0.25">
      <c r="A2882" t="s">
        <v>660</v>
      </c>
      <c r="B2882">
        <v>21037</v>
      </c>
      <c r="C2882" t="s">
        <v>3551</v>
      </c>
      <c r="D2882" t="s">
        <v>226</v>
      </c>
      <c r="E2882" t="s">
        <v>659</v>
      </c>
      <c r="F2882" s="538">
        <v>1204.2</v>
      </c>
      <c r="G2882" s="538">
        <v>1231.6500000000001</v>
      </c>
    </row>
    <row r="2883" spans="1:7" hidden="1" x14ac:dyDescent="0.25">
      <c r="A2883" t="s">
        <v>660</v>
      </c>
      <c r="B2883">
        <v>20185</v>
      </c>
      <c r="C2883" t="s">
        <v>3552</v>
      </c>
      <c r="D2883" t="s">
        <v>704</v>
      </c>
      <c r="E2883" t="s">
        <v>659</v>
      </c>
      <c r="F2883">
        <v>15.34</v>
      </c>
      <c r="G2883">
        <v>15.5</v>
      </c>
    </row>
    <row r="2884" spans="1:7" hidden="1" x14ac:dyDescent="0.25">
      <c r="A2884" t="s">
        <v>660</v>
      </c>
      <c r="B2884">
        <v>44909</v>
      </c>
      <c r="C2884" t="s">
        <v>3553</v>
      </c>
      <c r="D2884" t="s">
        <v>704</v>
      </c>
      <c r="E2884" t="s">
        <v>659</v>
      </c>
      <c r="F2884">
        <v>17.3</v>
      </c>
      <c r="G2884">
        <v>17.47</v>
      </c>
    </row>
    <row r="2885" spans="1:7" hidden="1" x14ac:dyDescent="0.25">
      <c r="A2885" t="s">
        <v>660</v>
      </c>
      <c r="B2885">
        <v>44115</v>
      </c>
      <c r="C2885" t="s">
        <v>3554</v>
      </c>
      <c r="D2885" t="s">
        <v>704</v>
      </c>
      <c r="E2885" t="s">
        <v>659</v>
      </c>
      <c r="F2885">
        <v>31.82</v>
      </c>
      <c r="G2885">
        <v>32.15</v>
      </c>
    </row>
    <row r="2886" spans="1:7" hidden="1" x14ac:dyDescent="0.25">
      <c r="A2886" t="s">
        <v>660</v>
      </c>
      <c r="B2886">
        <v>44333</v>
      </c>
      <c r="C2886" t="s">
        <v>3555</v>
      </c>
      <c r="D2886" t="s">
        <v>704</v>
      </c>
      <c r="E2886" t="s">
        <v>659</v>
      </c>
      <c r="F2886">
        <v>104.51</v>
      </c>
      <c r="G2886">
        <v>105.59</v>
      </c>
    </row>
    <row r="2887" spans="1:7" hidden="1" x14ac:dyDescent="0.25">
      <c r="A2887" t="s">
        <v>660</v>
      </c>
      <c r="B2887">
        <v>44907</v>
      </c>
      <c r="C2887" t="s">
        <v>3556</v>
      </c>
      <c r="D2887" t="s">
        <v>704</v>
      </c>
      <c r="E2887" t="s">
        <v>659</v>
      </c>
      <c r="F2887">
        <v>18.329999999999998</v>
      </c>
      <c r="G2887">
        <v>18.52</v>
      </c>
    </row>
    <row r="2888" spans="1:7" hidden="1" x14ac:dyDescent="0.25">
      <c r="A2888" t="s">
        <v>660</v>
      </c>
      <c r="B2888">
        <v>20260</v>
      </c>
      <c r="C2888" t="s">
        <v>3557</v>
      </c>
      <c r="D2888" t="s">
        <v>226</v>
      </c>
      <c r="E2888" t="s">
        <v>659</v>
      </c>
      <c r="F2888">
        <v>16.809999999999999</v>
      </c>
      <c r="G2888">
        <v>16.98</v>
      </c>
    </row>
    <row r="2889" spans="1:7" hidden="1" x14ac:dyDescent="0.25">
      <c r="A2889" t="s">
        <v>842</v>
      </c>
      <c r="B2889">
        <v>37523</v>
      </c>
      <c r="C2889" t="s">
        <v>3558</v>
      </c>
      <c r="D2889" t="s">
        <v>226</v>
      </c>
      <c r="E2889" t="s">
        <v>659</v>
      </c>
      <c r="F2889">
        <f>G2889</f>
        <v>686294.27</v>
      </c>
      <c r="G2889" s="538">
        <v>686294.27</v>
      </c>
    </row>
    <row r="2890" spans="1:7" hidden="1" x14ac:dyDescent="0.25">
      <c r="A2890" t="s">
        <v>842</v>
      </c>
      <c r="B2890">
        <v>37515</v>
      </c>
      <c r="C2890" t="s">
        <v>3559</v>
      </c>
      <c r="D2890" t="s">
        <v>226</v>
      </c>
      <c r="E2890" t="s">
        <v>172</v>
      </c>
      <c r="F2890">
        <f>G2890</f>
        <v>610150.69999999995</v>
      </c>
      <c r="G2890" s="538">
        <v>610150.69999999995</v>
      </c>
    </row>
    <row r="2891" spans="1:7" x14ac:dyDescent="0.25">
      <c r="A2891" t="s">
        <v>660</v>
      </c>
      <c r="B2891">
        <v>12899</v>
      </c>
      <c r="C2891" t="s">
        <v>3560</v>
      </c>
      <c r="D2891" t="s">
        <v>226</v>
      </c>
      <c r="E2891" t="s">
        <v>659</v>
      </c>
      <c r="F2891">
        <v>112.96</v>
      </c>
      <c r="G2891">
        <v>133.65</v>
      </c>
    </row>
    <row r="2892" spans="1:7" x14ac:dyDescent="0.25">
      <c r="A2892" t="s">
        <v>660</v>
      </c>
      <c r="B2892">
        <v>12898</v>
      </c>
      <c r="C2892" t="s">
        <v>3561</v>
      </c>
      <c r="D2892" t="s">
        <v>226</v>
      </c>
      <c r="E2892" t="s">
        <v>172</v>
      </c>
      <c r="F2892">
        <v>179.19</v>
      </c>
      <c r="G2892">
        <v>212</v>
      </c>
    </row>
    <row r="2893" spans="1:7" hidden="1" x14ac:dyDescent="0.25">
      <c r="A2893" t="s">
        <v>660</v>
      </c>
      <c r="B2893">
        <v>39699</v>
      </c>
      <c r="C2893" t="s">
        <v>3562</v>
      </c>
      <c r="D2893" t="s">
        <v>498</v>
      </c>
      <c r="E2893" t="s">
        <v>659</v>
      </c>
      <c r="F2893">
        <v>16.87</v>
      </c>
      <c r="G2893">
        <v>16.39</v>
      </c>
    </row>
    <row r="2894" spans="1:7" hidden="1" x14ac:dyDescent="0.25">
      <c r="A2894" t="s">
        <v>660</v>
      </c>
      <c r="B2894">
        <v>39696</v>
      </c>
      <c r="C2894" t="s">
        <v>3563</v>
      </c>
      <c r="D2894" t="s">
        <v>498</v>
      </c>
      <c r="E2894" t="s">
        <v>172</v>
      </c>
      <c r="F2894">
        <v>5.9</v>
      </c>
      <c r="G2894">
        <v>6.43</v>
      </c>
    </row>
    <row r="2895" spans="1:7" hidden="1" x14ac:dyDescent="0.25">
      <c r="A2895" t="s">
        <v>660</v>
      </c>
      <c r="B2895">
        <v>42528</v>
      </c>
      <c r="C2895" t="s">
        <v>3564</v>
      </c>
      <c r="D2895" t="s">
        <v>498</v>
      </c>
      <c r="E2895" t="s">
        <v>659</v>
      </c>
      <c r="F2895">
        <v>8.39</v>
      </c>
      <c r="G2895">
        <v>9.14</v>
      </c>
    </row>
    <row r="2896" spans="1:7" hidden="1" x14ac:dyDescent="0.25">
      <c r="A2896" t="s">
        <v>660</v>
      </c>
      <c r="B2896">
        <v>39700</v>
      </c>
      <c r="C2896" t="s">
        <v>3565</v>
      </c>
      <c r="D2896" t="s">
        <v>498</v>
      </c>
      <c r="E2896" t="s">
        <v>659</v>
      </c>
      <c r="F2896">
        <v>25.02</v>
      </c>
      <c r="G2896">
        <v>27.37</v>
      </c>
    </row>
    <row r="2897" spans="1:7" hidden="1" x14ac:dyDescent="0.25">
      <c r="A2897" t="s">
        <v>660</v>
      </c>
      <c r="B2897">
        <v>4014</v>
      </c>
      <c r="C2897" t="s">
        <v>3566</v>
      </c>
      <c r="D2897" t="s">
        <v>498</v>
      </c>
      <c r="E2897" t="s">
        <v>659</v>
      </c>
      <c r="F2897">
        <v>51.51</v>
      </c>
      <c r="G2897">
        <v>56.35</v>
      </c>
    </row>
    <row r="2898" spans="1:7" hidden="1" x14ac:dyDescent="0.25">
      <c r="A2898" t="s">
        <v>660</v>
      </c>
      <c r="B2898">
        <v>4015</v>
      </c>
      <c r="C2898" t="s">
        <v>3567</v>
      </c>
      <c r="D2898" t="s">
        <v>498</v>
      </c>
      <c r="E2898" t="s">
        <v>659</v>
      </c>
      <c r="F2898">
        <v>63.25</v>
      </c>
      <c r="G2898">
        <v>69.2</v>
      </c>
    </row>
    <row r="2899" spans="1:7" hidden="1" x14ac:dyDescent="0.25">
      <c r="A2899" t="s">
        <v>660</v>
      </c>
      <c r="B2899">
        <v>4017</v>
      </c>
      <c r="C2899" t="s">
        <v>3568</v>
      </c>
      <c r="D2899" t="s">
        <v>498</v>
      </c>
      <c r="E2899" t="s">
        <v>659</v>
      </c>
      <c r="F2899">
        <v>92.03</v>
      </c>
      <c r="G2899">
        <v>100.69</v>
      </c>
    </row>
    <row r="2900" spans="1:7" hidden="1" x14ac:dyDescent="0.25">
      <c r="A2900" t="s">
        <v>660</v>
      </c>
      <c r="B2900">
        <v>11621</v>
      </c>
      <c r="C2900" t="s">
        <v>3569</v>
      </c>
      <c r="D2900" t="s">
        <v>498</v>
      </c>
      <c r="E2900" t="s">
        <v>659</v>
      </c>
      <c r="F2900">
        <v>49.78</v>
      </c>
      <c r="G2900">
        <v>54.46</v>
      </c>
    </row>
    <row r="2901" spans="1:7" hidden="1" x14ac:dyDescent="0.25">
      <c r="A2901" t="s">
        <v>660</v>
      </c>
      <c r="B2901">
        <v>4016</v>
      </c>
      <c r="C2901" t="s">
        <v>3570</v>
      </c>
      <c r="D2901" t="s">
        <v>498</v>
      </c>
      <c r="E2901" t="s">
        <v>172</v>
      </c>
      <c r="F2901">
        <v>36.35</v>
      </c>
      <c r="G2901">
        <v>39.770000000000003</v>
      </c>
    </row>
    <row r="2902" spans="1:7" hidden="1" x14ac:dyDescent="0.25">
      <c r="A2902" t="s">
        <v>660</v>
      </c>
      <c r="B2902">
        <v>38544</v>
      </c>
      <c r="C2902" t="s">
        <v>3571</v>
      </c>
      <c r="D2902" t="s">
        <v>498</v>
      </c>
      <c r="E2902" t="s">
        <v>659</v>
      </c>
      <c r="F2902">
        <v>9.32</v>
      </c>
      <c r="G2902">
        <v>10.199999999999999</v>
      </c>
    </row>
    <row r="2903" spans="1:7" hidden="1" x14ac:dyDescent="0.25">
      <c r="A2903" t="s">
        <v>660</v>
      </c>
      <c r="B2903">
        <v>38545</v>
      </c>
      <c r="C2903" t="s">
        <v>3572</v>
      </c>
      <c r="D2903" t="s">
        <v>498</v>
      </c>
      <c r="E2903" t="s">
        <v>659</v>
      </c>
      <c r="F2903">
        <v>5.99</v>
      </c>
      <c r="G2903">
        <v>6.56</v>
      </c>
    </row>
    <row r="2904" spans="1:7" hidden="1" x14ac:dyDescent="0.25">
      <c r="A2904" t="s">
        <v>660</v>
      </c>
      <c r="B2904">
        <v>42527</v>
      </c>
      <c r="C2904" t="s">
        <v>3573</v>
      </c>
      <c r="D2904" t="s">
        <v>498</v>
      </c>
      <c r="E2904" t="s">
        <v>659</v>
      </c>
      <c r="F2904">
        <v>22.17</v>
      </c>
      <c r="G2904">
        <v>24.16</v>
      </c>
    </row>
    <row r="2905" spans="1:7" hidden="1" x14ac:dyDescent="0.25">
      <c r="A2905" t="s">
        <v>660</v>
      </c>
      <c r="B2905">
        <v>39323</v>
      </c>
      <c r="C2905" t="s">
        <v>3574</v>
      </c>
      <c r="D2905" t="s">
        <v>498</v>
      </c>
      <c r="E2905" t="s">
        <v>659</v>
      </c>
      <c r="F2905">
        <v>22.86</v>
      </c>
      <c r="G2905">
        <v>25.02</v>
      </c>
    </row>
    <row r="2906" spans="1:7" hidden="1" x14ac:dyDescent="0.25">
      <c r="A2906" t="s">
        <v>660</v>
      </c>
      <c r="B2906">
        <v>626</v>
      </c>
      <c r="C2906" t="s">
        <v>3575</v>
      </c>
      <c r="D2906" t="s">
        <v>708</v>
      </c>
      <c r="E2906" t="s">
        <v>172</v>
      </c>
      <c r="F2906">
        <v>16.66</v>
      </c>
      <c r="G2906">
        <v>17.77</v>
      </c>
    </row>
    <row r="2907" spans="1:7" hidden="1" x14ac:dyDescent="0.25">
      <c r="A2907" t="s">
        <v>660</v>
      </c>
      <c r="B2907">
        <v>44504</v>
      </c>
      <c r="C2907" t="s">
        <v>3576</v>
      </c>
      <c r="D2907" t="s">
        <v>498</v>
      </c>
      <c r="E2907" t="s">
        <v>659</v>
      </c>
      <c r="F2907">
        <f t="shared" ref="F2907:F2920" si="27">G2907</f>
        <v>14.26</v>
      </c>
      <c r="G2907">
        <v>14.26</v>
      </c>
    </row>
    <row r="2908" spans="1:7" hidden="1" x14ac:dyDescent="0.25">
      <c r="A2908" t="s">
        <v>660</v>
      </c>
      <c r="B2908">
        <v>44505</v>
      </c>
      <c r="C2908" t="s">
        <v>3577</v>
      </c>
      <c r="D2908" t="s">
        <v>498</v>
      </c>
      <c r="E2908" t="s">
        <v>659</v>
      </c>
      <c r="F2908">
        <f t="shared" si="27"/>
        <v>21.51</v>
      </c>
      <c r="G2908">
        <v>21.51</v>
      </c>
    </row>
    <row r="2909" spans="1:7" hidden="1" x14ac:dyDescent="0.25">
      <c r="A2909" t="s">
        <v>660</v>
      </c>
      <c r="B2909">
        <v>44506</v>
      </c>
      <c r="C2909" t="s">
        <v>3578</v>
      </c>
      <c r="D2909" t="s">
        <v>498</v>
      </c>
      <c r="E2909" t="s">
        <v>659</v>
      </c>
      <c r="F2909">
        <f t="shared" si="27"/>
        <v>22.83</v>
      </c>
      <c r="G2909">
        <v>22.83</v>
      </c>
    </row>
    <row r="2910" spans="1:7" hidden="1" x14ac:dyDescent="0.25">
      <c r="A2910" t="s">
        <v>660</v>
      </c>
      <c r="B2910">
        <v>44507</v>
      </c>
      <c r="C2910" t="s">
        <v>3579</v>
      </c>
      <c r="D2910" t="s">
        <v>498</v>
      </c>
      <c r="E2910" t="s">
        <v>659</v>
      </c>
      <c r="F2910">
        <f t="shared" si="27"/>
        <v>28.54</v>
      </c>
      <c r="G2910">
        <v>28.54</v>
      </c>
    </row>
    <row r="2911" spans="1:7" hidden="1" x14ac:dyDescent="0.25">
      <c r="A2911" t="s">
        <v>660</v>
      </c>
      <c r="B2911">
        <v>44508</v>
      </c>
      <c r="C2911" t="s">
        <v>3580</v>
      </c>
      <c r="D2911" t="s">
        <v>498</v>
      </c>
      <c r="E2911" t="s">
        <v>659</v>
      </c>
      <c r="F2911">
        <f t="shared" si="27"/>
        <v>42.8</v>
      </c>
      <c r="G2911">
        <v>42.8</v>
      </c>
    </row>
    <row r="2912" spans="1:7" hidden="1" x14ac:dyDescent="0.25">
      <c r="A2912" t="s">
        <v>660</v>
      </c>
      <c r="B2912">
        <v>44509</v>
      </c>
      <c r="C2912" t="s">
        <v>3581</v>
      </c>
      <c r="D2912" t="s">
        <v>498</v>
      </c>
      <c r="E2912" t="s">
        <v>659</v>
      </c>
      <c r="F2912">
        <f t="shared" si="27"/>
        <v>57.34</v>
      </c>
      <c r="G2912">
        <v>57.34</v>
      </c>
    </row>
    <row r="2913" spans="1:7" hidden="1" x14ac:dyDescent="0.25">
      <c r="A2913" t="s">
        <v>660</v>
      </c>
      <c r="B2913">
        <v>44510</v>
      </c>
      <c r="C2913" t="s">
        <v>3582</v>
      </c>
      <c r="D2913" t="s">
        <v>498</v>
      </c>
      <c r="E2913" t="s">
        <v>659</v>
      </c>
      <c r="F2913">
        <f t="shared" si="27"/>
        <v>71.2</v>
      </c>
      <c r="G2913">
        <v>71.2</v>
      </c>
    </row>
    <row r="2914" spans="1:7" hidden="1" x14ac:dyDescent="0.25">
      <c r="A2914" t="s">
        <v>660</v>
      </c>
      <c r="B2914">
        <v>44512</v>
      </c>
      <c r="C2914" t="s">
        <v>3583</v>
      </c>
      <c r="D2914" t="s">
        <v>498</v>
      </c>
      <c r="E2914" t="s">
        <v>659</v>
      </c>
      <c r="F2914">
        <f t="shared" si="27"/>
        <v>15.89</v>
      </c>
      <c r="G2914">
        <v>15.89</v>
      </c>
    </row>
    <row r="2915" spans="1:7" hidden="1" x14ac:dyDescent="0.25">
      <c r="A2915" t="s">
        <v>660</v>
      </c>
      <c r="B2915">
        <v>44513</v>
      </c>
      <c r="C2915" t="s">
        <v>3584</v>
      </c>
      <c r="D2915" t="s">
        <v>498</v>
      </c>
      <c r="E2915" t="s">
        <v>659</v>
      </c>
      <c r="F2915">
        <f t="shared" si="27"/>
        <v>22.43</v>
      </c>
      <c r="G2915">
        <v>22.43</v>
      </c>
    </row>
    <row r="2916" spans="1:7" hidden="1" x14ac:dyDescent="0.25">
      <c r="A2916" t="s">
        <v>660</v>
      </c>
      <c r="B2916">
        <v>44514</v>
      </c>
      <c r="C2916" t="s">
        <v>3585</v>
      </c>
      <c r="D2916" t="s">
        <v>498</v>
      </c>
      <c r="E2916" t="s">
        <v>659</v>
      </c>
      <c r="F2916">
        <f t="shared" si="27"/>
        <v>25.43</v>
      </c>
      <c r="G2916">
        <v>25.43</v>
      </c>
    </row>
    <row r="2917" spans="1:7" hidden="1" x14ac:dyDescent="0.25">
      <c r="A2917" t="s">
        <v>660</v>
      </c>
      <c r="B2917">
        <v>44515</v>
      </c>
      <c r="C2917" t="s">
        <v>3586</v>
      </c>
      <c r="D2917" t="s">
        <v>498</v>
      </c>
      <c r="E2917" t="s">
        <v>659</v>
      </c>
      <c r="F2917">
        <f t="shared" si="27"/>
        <v>31.22</v>
      </c>
      <c r="G2917">
        <v>31.22</v>
      </c>
    </row>
    <row r="2918" spans="1:7" hidden="1" x14ac:dyDescent="0.25">
      <c r="A2918" t="s">
        <v>660</v>
      </c>
      <c r="B2918">
        <v>44511</v>
      </c>
      <c r="C2918" t="s">
        <v>3587</v>
      </c>
      <c r="D2918" t="s">
        <v>498</v>
      </c>
      <c r="E2918" t="s">
        <v>659</v>
      </c>
      <c r="F2918">
        <f t="shared" si="27"/>
        <v>46.22</v>
      </c>
      <c r="G2918">
        <v>46.22</v>
      </c>
    </row>
    <row r="2919" spans="1:7" hidden="1" x14ac:dyDescent="0.25">
      <c r="A2919" t="s">
        <v>660</v>
      </c>
      <c r="B2919">
        <v>44516</v>
      </c>
      <c r="C2919" t="s">
        <v>3588</v>
      </c>
      <c r="D2919" t="s">
        <v>498</v>
      </c>
      <c r="E2919" t="s">
        <v>659</v>
      </c>
      <c r="F2919">
        <f t="shared" si="27"/>
        <v>62.46</v>
      </c>
      <c r="G2919">
        <v>62.46</v>
      </c>
    </row>
    <row r="2920" spans="1:7" hidden="1" x14ac:dyDescent="0.25">
      <c r="A2920" t="s">
        <v>660</v>
      </c>
      <c r="B2920">
        <v>44517</v>
      </c>
      <c r="C2920" t="s">
        <v>3589</v>
      </c>
      <c r="D2920" t="s">
        <v>498</v>
      </c>
      <c r="E2920" t="s">
        <v>659</v>
      </c>
      <c r="F2920">
        <f t="shared" si="27"/>
        <v>77.91</v>
      </c>
      <c r="G2920">
        <v>77.91</v>
      </c>
    </row>
    <row r="2921" spans="1:7" hidden="1" x14ac:dyDescent="0.25">
      <c r="A2921" t="s">
        <v>660</v>
      </c>
      <c r="B2921">
        <v>11479</v>
      </c>
      <c r="C2921" t="s">
        <v>3590</v>
      </c>
      <c r="D2921" t="s">
        <v>226</v>
      </c>
      <c r="E2921" t="s">
        <v>659</v>
      </c>
      <c r="F2921">
        <v>36.78</v>
      </c>
      <c r="G2921">
        <v>42.3</v>
      </c>
    </row>
    <row r="2922" spans="1:7" hidden="1" x14ac:dyDescent="0.25">
      <c r="A2922" t="s">
        <v>660</v>
      </c>
      <c r="B2922">
        <v>11481</v>
      </c>
      <c r="C2922" t="s">
        <v>3591</v>
      </c>
      <c r="D2922" t="s">
        <v>226</v>
      </c>
      <c r="E2922" t="s">
        <v>659</v>
      </c>
      <c r="F2922">
        <v>33.270000000000003</v>
      </c>
      <c r="G2922">
        <v>38.270000000000003</v>
      </c>
    </row>
    <row r="2923" spans="1:7" hidden="1" x14ac:dyDescent="0.25">
      <c r="A2923" t="s">
        <v>660</v>
      </c>
      <c r="B2923">
        <v>43609</v>
      </c>
      <c r="C2923" t="s">
        <v>3592</v>
      </c>
      <c r="D2923" t="s">
        <v>226</v>
      </c>
      <c r="E2923" t="s">
        <v>659</v>
      </c>
      <c r="F2923">
        <v>33.270000000000003</v>
      </c>
      <c r="G2923">
        <v>38.270000000000003</v>
      </c>
    </row>
    <row r="2924" spans="1:7" hidden="1" x14ac:dyDescent="0.25">
      <c r="A2924" t="s">
        <v>660</v>
      </c>
      <c r="B2924">
        <v>11478</v>
      </c>
      <c r="C2924" t="s">
        <v>3593</v>
      </c>
      <c r="D2924" t="s">
        <v>226</v>
      </c>
      <c r="E2924" t="s">
        <v>659</v>
      </c>
      <c r="F2924">
        <v>63.11</v>
      </c>
      <c r="G2924">
        <v>72.58</v>
      </c>
    </row>
    <row r="2925" spans="1:7" hidden="1" x14ac:dyDescent="0.25">
      <c r="A2925" t="s">
        <v>660</v>
      </c>
      <c r="B2925">
        <v>43608</v>
      </c>
      <c r="C2925" t="s">
        <v>3594</v>
      </c>
      <c r="D2925" t="s">
        <v>226</v>
      </c>
      <c r="E2925" t="s">
        <v>659</v>
      </c>
      <c r="F2925">
        <v>48.16</v>
      </c>
      <c r="G2925">
        <v>55.38</v>
      </c>
    </row>
    <row r="2926" spans="1:7" hidden="1" x14ac:dyDescent="0.25">
      <c r="A2926" t="s">
        <v>660</v>
      </c>
      <c r="B2926">
        <v>11476</v>
      </c>
      <c r="C2926" t="s">
        <v>3595</v>
      </c>
      <c r="D2926" t="s">
        <v>226</v>
      </c>
      <c r="E2926" t="s">
        <v>659</v>
      </c>
      <c r="F2926">
        <v>48.16</v>
      </c>
      <c r="G2926">
        <v>55.38</v>
      </c>
    </row>
    <row r="2927" spans="1:7" hidden="1" x14ac:dyDescent="0.25">
      <c r="A2927" t="s">
        <v>842</v>
      </c>
      <c r="B2927">
        <v>40637</v>
      </c>
      <c r="C2927" t="s">
        <v>3596</v>
      </c>
      <c r="D2927" t="s">
        <v>226</v>
      </c>
      <c r="E2927" t="s">
        <v>659</v>
      </c>
      <c r="F2927">
        <f>G2927</f>
        <v>959890.6</v>
      </c>
      <c r="G2927" s="538">
        <v>959890.6</v>
      </c>
    </row>
    <row r="2928" spans="1:7" hidden="1" x14ac:dyDescent="0.25">
      <c r="A2928" t="s">
        <v>842</v>
      </c>
      <c r="B2928">
        <v>13836</v>
      </c>
      <c r="C2928" t="s">
        <v>3597</v>
      </c>
      <c r="D2928" t="s">
        <v>226</v>
      </c>
      <c r="E2928" t="s">
        <v>659</v>
      </c>
      <c r="F2928">
        <f>G2928</f>
        <v>68434.17</v>
      </c>
      <c r="G2928" s="538">
        <v>68434.17</v>
      </c>
    </row>
    <row r="2929" spans="1:7" hidden="1" x14ac:dyDescent="0.25">
      <c r="A2929" t="s">
        <v>842</v>
      </c>
      <c r="B2929">
        <v>14534</v>
      </c>
      <c r="C2929" t="s">
        <v>3598</v>
      </c>
      <c r="D2929" t="s">
        <v>226</v>
      </c>
      <c r="E2929" t="s">
        <v>659</v>
      </c>
      <c r="F2929">
        <f>G2929</f>
        <v>28648.36</v>
      </c>
      <c r="G2929" s="538">
        <v>28648.36</v>
      </c>
    </row>
    <row r="2930" spans="1:7" hidden="1" x14ac:dyDescent="0.25">
      <c r="A2930" t="s">
        <v>842</v>
      </c>
      <c r="B2930">
        <v>14535</v>
      </c>
      <c r="C2930" t="s">
        <v>3599</v>
      </c>
      <c r="D2930" t="s">
        <v>226</v>
      </c>
      <c r="E2930" t="s">
        <v>659</v>
      </c>
      <c r="F2930">
        <f>G2930</f>
        <v>284337.68</v>
      </c>
      <c r="G2930" s="538">
        <v>284337.68</v>
      </c>
    </row>
    <row r="2931" spans="1:7" hidden="1" x14ac:dyDescent="0.25">
      <c r="A2931" t="s">
        <v>842</v>
      </c>
      <c r="B2931">
        <v>39813</v>
      </c>
      <c r="C2931" t="s">
        <v>3600</v>
      </c>
      <c r="D2931" t="s">
        <v>226</v>
      </c>
      <c r="E2931" t="s">
        <v>659</v>
      </c>
      <c r="F2931">
        <f>G2931</f>
        <v>38997.879999999997</v>
      </c>
      <c r="G2931" s="538">
        <v>38997.879999999997</v>
      </c>
    </row>
    <row r="2932" spans="1:7" hidden="1" x14ac:dyDescent="0.25">
      <c r="A2932" t="s">
        <v>807</v>
      </c>
      <c r="B2932">
        <v>12868</v>
      </c>
      <c r="C2932" t="s">
        <v>3601</v>
      </c>
      <c r="D2932" t="s">
        <v>809</v>
      </c>
      <c r="E2932" t="s">
        <v>659</v>
      </c>
      <c r="F2932">
        <v>11.14</v>
      </c>
      <c r="G2932">
        <v>12.11</v>
      </c>
    </row>
    <row r="2933" spans="1:7" hidden="1" x14ac:dyDescent="0.25">
      <c r="A2933" t="s">
        <v>807</v>
      </c>
      <c r="B2933">
        <v>40916</v>
      </c>
      <c r="C2933" t="s">
        <v>3602</v>
      </c>
      <c r="D2933" t="s">
        <v>811</v>
      </c>
      <c r="E2933" t="s">
        <v>659</v>
      </c>
      <c r="F2933" s="538">
        <v>2451.77</v>
      </c>
      <c r="G2933" s="538">
        <v>2664.2</v>
      </c>
    </row>
    <row r="2934" spans="1:7" hidden="1" x14ac:dyDescent="0.25">
      <c r="A2934" t="s">
        <v>807</v>
      </c>
      <c r="B2934">
        <v>4755</v>
      </c>
      <c r="C2934" t="s">
        <v>3603</v>
      </c>
      <c r="D2934" t="s">
        <v>809</v>
      </c>
      <c r="E2934" t="s">
        <v>659</v>
      </c>
      <c r="F2934">
        <v>11.79</v>
      </c>
      <c r="G2934">
        <v>12.54</v>
      </c>
    </row>
    <row r="2935" spans="1:7" hidden="1" x14ac:dyDescent="0.25">
      <c r="A2935" t="s">
        <v>807</v>
      </c>
      <c r="B2935">
        <v>41067</v>
      </c>
      <c r="C2935" t="s">
        <v>3604</v>
      </c>
      <c r="D2935" t="s">
        <v>811</v>
      </c>
      <c r="E2935" t="s">
        <v>659</v>
      </c>
      <c r="F2935" s="538">
        <v>2595.0700000000002</v>
      </c>
      <c r="G2935" s="538">
        <v>2760.77</v>
      </c>
    </row>
    <row r="2936" spans="1:7" hidden="1" x14ac:dyDescent="0.25">
      <c r="A2936" t="s">
        <v>660</v>
      </c>
      <c r="B2936">
        <v>45240</v>
      </c>
      <c r="C2936" t="s">
        <v>3605</v>
      </c>
      <c r="D2936" t="s">
        <v>226</v>
      </c>
      <c r="E2936" t="s">
        <v>659</v>
      </c>
      <c r="F2936">
        <v>37.049999999999997</v>
      </c>
      <c r="G2936">
        <v>32.03</v>
      </c>
    </row>
    <row r="2937" spans="1:7" hidden="1" x14ac:dyDescent="0.25">
      <c r="A2937" t="s">
        <v>660</v>
      </c>
      <c r="B2937">
        <v>45228</v>
      </c>
      <c r="C2937" t="s">
        <v>3606</v>
      </c>
      <c r="D2937" t="s">
        <v>226</v>
      </c>
      <c r="E2937" t="s">
        <v>659</v>
      </c>
      <c r="F2937">
        <v>31.66</v>
      </c>
      <c r="G2937">
        <v>27.37</v>
      </c>
    </row>
    <row r="2938" spans="1:7" hidden="1" x14ac:dyDescent="0.25">
      <c r="A2938" t="s">
        <v>660</v>
      </c>
      <c r="B2938">
        <v>45241</v>
      </c>
      <c r="C2938" t="s">
        <v>3607</v>
      </c>
      <c r="D2938" t="s">
        <v>226</v>
      </c>
      <c r="E2938" t="s">
        <v>659</v>
      </c>
      <c r="F2938">
        <v>45.56</v>
      </c>
      <c r="G2938">
        <v>39.380000000000003</v>
      </c>
    </row>
    <row r="2939" spans="1:7" hidden="1" x14ac:dyDescent="0.25">
      <c r="A2939" t="s">
        <v>660</v>
      </c>
      <c r="B2939">
        <v>38463</v>
      </c>
      <c r="C2939" t="s">
        <v>3608</v>
      </c>
      <c r="D2939" t="s">
        <v>226</v>
      </c>
      <c r="E2939" t="s">
        <v>659</v>
      </c>
      <c r="F2939">
        <v>54.34</v>
      </c>
      <c r="G2939">
        <v>46.02</v>
      </c>
    </row>
    <row r="2940" spans="1:7" hidden="1" x14ac:dyDescent="0.25">
      <c r="A2940" t="s">
        <v>842</v>
      </c>
      <c r="B2940">
        <v>40703</v>
      </c>
      <c r="C2940" t="s">
        <v>3609</v>
      </c>
      <c r="D2940" t="s">
        <v>226</v>
      </c>
      <c r="E2940" t="s">
        <v>172</v>
      </c>
      <c r="F2940" s="538">
        <v>12000</v>
      </c>
      <c r="G2940" s="538">
        <v>10038.450000000001</v>
      </c>
    </row>
    <row r="2941" spans="1:7" hidden="1" x14ac:dyDescent="0.25">
      <c r="A2941" t="s">
        <v>842</v>
      </c>
      <c r="B2941">
        <v>14531</v>
      </c>
      <c r="C2941" t="s">
        <v>3610</v>
      </c>
      <c r="D2941" t="s">
        <v>226</v>
      </c>
      <c r="E2941" t="s">
        <v>659</v>
      </c>
      <c r="F2941" s="538">
        <v>15771.55</v>
      </c>
      <c r="G2941" s="538">
        <v>13193.49</v>
      </c>
    </row>
    <row r="2942" spans="1:7" hidden="1" x14ac:dyDescent="0.25">
      <c r="A2942" t="s">
        <v>842</v>
      </c>
      <c r="B2942">
        <v>36533</v>
      </c>
      <c r="C2942" t="s">
        <v>3611</v>
      </c>
      <c r="D2942" t="s">
        <v>226</v>
      </c>
      <c r="E2942" t="s">
        <v>659</v>
      </c>
      <c r="F2942" s="538">
        <v>17804.900000000001</v>
      </c>
      <c r="G2942" s="538">
        <v>14894.46</v>
      </c>
    </row>
    <row r="2943" spans="1:7" hidden="1" x14ac:dyDescent="0.25">
      <c r="A2943" t="s">
        <v>842</v>
      </c>
      <c r="B2943">
        <v>11616</v>
      </c>
      <c r="C2943" t="s">
        <v>3612</v>
      </c>
      <c r="D2943" t="s">
        <v>226</v>
      </c>
      <c r="E2943" t="s">
        <v>659</v>
      </c>
      <c r="F2943" s="538">
        <v>14333.44</v>
      </c>
      <c r="G2943" s="538">
        <v>11990.46</v>
      </c>
    </row>
    <row r="2944" spans="1:7" hidden="1" x14ac:dyDescent="0.25">
      <c r="A2944" t="s">
        <v>842</v>
      </c>
      <c r="B2944">
        <v>41898</v>
      </c>
      <c r="C2944" t="s">
        <v>3613</v>
      </c>
      <c r="D2944" t="s">
        <v>226</v>
      </c>
      <c r="E2944" t="s">
        <v>659</v>
      </c>
      <c r="F2944" s="538">
        <v>7079.11</v>
      </c>
      <c r="G2944" s="538">
        <v>5921.94</v>
      </c>
    </row>
    <row r="2945" spans="1:7" hidden="1" x14ac:dyDescent="0.25">
      <c r="A2945" t="s">
        <v>842</v>
      </c>
      <c r="B2945">
        <v>45303</v>
      </c>
      <c r="C2945" t="s">
        <v>3614</v>
      </c>
      <c r="D2945" t="s">
        <v>226</v>
      </c>
      <c r="E2945" t="s">
        <v>659</v>
      </c>
      <c r="F2945" s="538">
        <v>45605.120000000003</v>
      </c>
      <c r="G2945" s="538">
        <v>38150.39</v>
      </c>
    </row>
    <row r="2946" spans="1:7" hidden="1" x14ac:dyDescent="0.25">
      <c r="A2946" t="s">
        <v>842</v>
      </c>
      <c r="B2946">
        <v>45304</v>
      </c>
      <c r="C2946" t="s">
        <v>3615</v>
      </c>
      <c r="D2946" t="s">
        <v>226</v>
      </c>
      <c r="E2946" t="s">
        <v>659</v>
      </c>
      <c r="F2946" s="538">
        <v>12178.19</v>
      </c>
      <c r="G2946" s="538">
        <v>10187.51</v>
      </c>
    </row>
    <row r="2947" spans="1:7" hidden="1" x14ac:dyDescent="0.25">
      <c r="A2947" t="s">
        <v>842</v>
      </c>
      <c r="B2947">
        <v>10747</v>
      </c>
      <c r="C2947" t="s">
        <v>3616</v>
      </c>
      <c r="D2947" t="s">
        <v>226</v>
      </c>
      <c r="E2947" t="s">
        <v>659</v>
      </c>
      <c r="F2947" s="538">
        <v>19625.87</v>
      </c>
      <c r="G2947" s="538">
        <v>16417.77</v>
      </c>
    </row>
    <row r="2948" spans="1:7" hidden="1" x14ac:dyDescent="0.25">
      <c r="A2948" t="s">
        <v>842</v>
      </c>
      <c r="B2948">
        <v>45302</v>
      </c>
      <c r="C2948" t="s">
        <v>3617</v>
      </c>
      <c r="D2948" t="s">
        <v>226</v>
      </c>
      <c r="E2948" t="s">
        <v>659</v>
      </c>
      <c r="F2948" s="538">
        <v>7691.96</v>
      </c>
      <c r="G2948" s="538">
        <v>6434.61</v>
      </c>
    </row>
    <row r="2949" spans="1:7" hidden="1" x14ac:dyDescent="0.25">
      <c r="A2949" t="s">
        <v>660</v>
      </c>
      <c r="B2949">
        <v>36141</v>
      </c>
      <c r="C2949" t="s">
        <v>3618</v>
      </c>
      <c r="D2949" t="s">
        <v>226</v>
      </c>
      <c r="E2949" t="s">
        <v>659</v>
      </c>
      <c r="F2949">
        <v>92.76</v>
      </c>
      <c r="G2949">
        <v>103.89</v>
      </c>
    </row>
    <row r="2950" spans="1:7" hidden="1" x14ac:dyDescent="0.25">
      <c r="A2950" t="s">
        <v>660</v>
      </c>
      <c r="B2950">
        <v>45211</v>
      </c>
      <c r="C2950" t="s">
        <v>3619</v>
      </c>
      <c r="D2950" t="s">
        <v>226</v>
      </c>
      <c r="E2950" t="s">
        <v>659</v>
      </c>
      <c r="F2950">
        <v>84.3</v>
      </c>
      <c r="G2950">
        <v>94.42</v>
      </c>
    </row>
    <row r="2951" spans="1:7" hidden="1" x14ac:dyDescent="0.25">
      <c r="A2951" t="s">
        <v>660</v>
      </c>
      <c r="B2951">
        <v>43651</v>
      </c>
      <c r="C2951" t="s">
        <v>3620</v>
      </c>
      <c r="D2951" t="s">
        <v>708</v>
      </c>
      <c r="E2951" t="s">
        <v>659</v>
      </c>
      <c r="F2951">
        <v>6.83</v>
      </c>
      <c r="G2951">
        <v>7.19</v>
      </c>
    </row>
    <row r="2952" spans="1:7" hidden="1" x14ac:dyDescent="0.25">
      <c r="A2952" t="s">
        <v>660</v>
      </c>
      <c r="B2952">
        <v>43626</v>
      </c>
      <c r="C2952" t="s">
        <v>3621</v>
      </c>
      <c r="D2952" t="s">
        <v>708</v>
      </c>
      <c r="E2952" t="s">
        <v>172</v>
      </c>
      <c r="F2952">
        <v>3.8</v>
      </c>
      <c r="G2952">
        <v>4</v>
      </c>
    </row>
    <row r="2953" spans="1:7" hidden="1" x14ac:dyDescent="0.25">
      <c r="A2953" t="s">
        <v>660</v>
      </c>
      <c r="B2953">
        <v>39434</v>
      </c>
      <c r="C2953" t="s">
        <v>3622</v>
      </c>
      <c r="D2953" t="s">
        <v>708</v>
      </c>
      <c r="E2953" t="s">
        <v>659</v>
      </c>
      <c r="F2953">
        <v>3.64</v>
      </c>
      <c r="G2953">
        <v>3.44</v>
      </c>
    </row>
    <row r="2954" spans="1:7" hidden="1" x14ac:dyDescent="0.25">
      <c r="A2954" t="s">
        <v>660</v>
      </c>
      <c r="B2954">
        <v>39433</v>
      </c>
      <c r="C2954" t="s">
        <v>3623</v>
      </c>
      <c r="D2954" t="s">
        <v>708</v>
      </c>
      <c r="E2954" t="s">
        <v>659</v>
      </c>
      <c r="F2954">
        <v>2.89</v>
      </c>
      <c r="G2954">
        <v>2.73</v>
      </c>
    </row>
    <row r="2955" spans="1:7" hidden="1" x14ac:dyDescent="0.25">
      <c r="A2955" t="s">
        <v>660</v>
      </c>
      <c r="B2955">
        <v>4049</v>
      </c>
      <c r="C2955" t="s">
        <v>3624</v>
      </c>
      <c r="D2955" t="s">
        <v>710</v>
      </c>
      <c r="E2955" t="s">
        <v>659</v>
      </c>
      <c r="F2955">
        <v>76.27</v>
      </c>
      <c r="G2955">
        <v>80.28</v>
      </c>
    </row>
    <row r="2956" spans="1:7" hidden="1" x14ac:dyDescent="0.25">
      <c r="A2956" t="s">
        <v>660</v>
      </c>
      <c r="B2956">
        <v>38120</v>
      </c>
      <c r="C2956" t="s">
        <v>3625</v>
      </c>
      <c r="D2956" t="s">
        <v>708</v>
      </c>
      <c r="E2956" t="s">
        <v>659</v>
      </c>
      <c r="F2956">
        <v>118.56</v>
      </c>
      <c r="G2956">
        <v>126.46</v>
      </c>
    </row>
    <row r="2957" spans="1:7" hidden="1" x14ac:dyDescent="0.25">
      <c r="A2957" t="s">
        <v>660</v>
      </c>
      <c r="B2957">
        <v>43652</v>
      </c>
      <c r="C2957" t="s">
        <v>3626</v>
      </c>
      <c r="D2957" t="s">
        <v>708</v>
      </c>
      <c r="E2957" t="s">
        <v>659</v>
      </c>
      <c r="F2957">
        <v>15.31</v>
      </c>
      <c r="G2957">
        <v>16.12</v>
      </c>
    </row>
    <row r="2958" spans="1:7" hidden="1" x14ac:dyDescent="0.25">
      <c r="A2958" t="s">
        <v>660</v>
      </c>
      <c r="B2958">
        <v>10498</v>
      </c>
      <c r="C2958" t="s">
        <v>3627</v>
      </c>
      <c r="D2958" t="s">
        <v>708</v>
      </c>
      <c r="E2958" t="s">
        <v>659</v>
      </c>
      <c r="F2958">
        <v>6.36</v>
      </c>
      <c r="G2958">
        <v>11.46</v>
      </c>
    </row>
    <row r="2959" spans="1:7" hidden="1" x14ac:dyDescent="0.25">
      <c r="A2959" t="s">
        <v>660</v>
      </c>
      <c r="B2959">
        <v>4823</v>
      </c>
      <c r="C2959" t="s">
        <v>3628</v>
      </c>
      <c r="D2959" t="s">
        <v>708</v>
      </c>
      <c r="E2959" t="s">
        <v>659</v>
      </c>
      <c r="F2959">
        <v>36.97</v>
      </c>
      <c r="G2959">
        <v>35.76</v>
      </c>
    </row>
    <row r="2960" spans="1:7" hidden="1" x14ac:dyDescent="0.25">
      <c r="A2960" t="s">
        <v>660</v>
      </c>
      <c r="B2960">
        <v>38877</v>
      </c>
      <c r="C2960" t="s">
        <v>3629</v>
      </c>
      <c r="D2960" t="s">
        <v>708</v>
      </c>
      <c r="E2960" t="s">
        <v>659</v>
      </c>
      <c r="F2960">
        <v>7.08</v>
      </c>
      <c r="G2960">
        <v>7.7</v>
      </c>
    </row>
    <row r="2961" spans="1:7" hidden="1" x14ac:dyDescent="0.25">
      <c r="A2961" t="s">
        <v>660</v>
      </c>
      <c r="B2961">
        <v>34546</v>
      </c>
      <c r="C2961" t="s">
        <v>3630</v>
      </c>
      <c r="D2961" t="s">
        <v>708</v>
      </c>
      <c r="E2961" t="s">
        <v>659</v>
      </c>
      <c r="F2961">
        <v>7.28</v>
      </c>
      <c r="G2961">
        <v>7.92</v>
      </c>
    </row>
    <row r="2962" spans="1:7" hidden="1" x14ac:dyDescent="0.25">
      <c r="A2962" t="s">
        <v>660</v>
      </c>
      <c r="B2962">
        <v>41387</v>
      </c>
      <c r="C2962" t="s">
        <v>3631</v>
      </c>
      <c r="D2962" t="s">
        <v>704</v>
      </c>
      <c r="E2962" t="s">
        <v>659</v>
      </c>
      <c r="F2962">
        <v>48.06</v>
      </c>
      <c r="G2962">
        <v>57.04</v>
      </c>
    </row>
    <row r="2963" spans="1:7" hidden="1" x14ac:dyDescent="0.25">
      <c r="A2963" t="s">
        <v>660</v>
      </c>
      <c r="B2963">
        <v>41388</v>
      </c>
      <c r="C2963" t="s">
        <v>3632</v>
      </c>
      <c r="D2963" t="s">
        <v>704</v>
      </c>
      <c r="E2963" t="s">
        <v>659</v>
      </c>
      <c r="F2963">
        <v>57.66</v>
      </c>
      <c r="G2963">
        <v>68.44</v>
      </c>
    </row>
    <row r="2964" spans="1:7" hidden="1" x14ac:dyDescent="0.25">
      <c r="A2964" t="s">
        <v>660</v>
      </c>
      <c r="B2964">
        <v>41380</v>
      </c>
      <c r="C2964" t="s">
        <v>3633</v>
      </c>
      <c r="D2964" t="s">
        <v>226</v>
      </c>
      <c r="E2964" t="s">
        <v>659</v>
      </c>
      <c r="F2964">
        <v>383.66</v>
      </c>
      <c r="G2964">
        <v>455.36</v>
      </c>
    </row>
    <row r="2965" spans="1:7" hidden="1" x14ac:dyDescent="0.25">
      <c r="A2965" t="s">
        <v>660</v>
      </c>
      <c r="B2965">
        <v>41381</v>
      </c>
      <c r="C2965" t="s">
        <v>3634</v>
      </c>
      <c r="D2965" t="s">
        <v>226</v>
      </c>
      <c r="E2965" t="s">
        <v>659</v>
      </c>
      <c r="F2965">
        <v>401.93</v>
      </c>
      <c r="G2965">
        <v>477.05</v>
      </c>
    </row>
    <row r="2966" spans="1:7" hidden="1" x14ac:dyDescent="0.25">
      <c r="A2966" t="s">
        <v>660</v>
      </c>
      <c r="B2966">
        <v>41382</v>
      </c>
      <c r="C2966" t="s">
        <v>3635</v>
      </c>
      <c r="D2966" t="s">
        <v>226</v>
      </c>
      <c r="E2966" t="s">
        <v>659</v>
      </c>
      <c r="F2966">
        <v>389.05</v>
      </c>
      <c r="G2966">
        <v>461.75</v>
      </c>
    </row>
    <row r="2967" spans="1:7" hidden="1" x14ac:dyDescent="0.25">
      <c r="A2967" t="s">
        <v>660</v>
      </c>
      <c r="B2967">
        <v>41383</v>
      </c>
      <c r="C2967" t="s">
        <v>3636</v>
      </c>
      <c r="D2967" t="s">
        <v>226</v>
      </c>
      <c r="E2967" t="s">
        <v>659</v>
      </c>
      <c r="F2967">
        <v>528.04999999999995</v>
      </c>
      <c r="G2967">
        <v>626.74</v>
      </c>
    </row>
    <row r="2968" spans="1:7" hidden="1" x14ac:dyDescent="0.25">
      <c r="A2968" t="s">
        <v>660</v>
      </c>
      <c r="B2968">
        <v>41385</v>
      </c>
      <c r="C2968" t="s">
        <v>3637</v>
      </c>
      <c r="D2968" t="s">
        <v>226</v>
      </c>
      <c r="E2968" t="s">
        <v>659</v>
      </c>
      <c r="F2968">
        <v>657.09</v>
      </c>
      <c r="G2968">
        <v>779.89</v>
      </c>
    </row>
    <row r="2969" spans="1:7" hidden="1" x14ac:dyDescent="0.25">
      <c r="A2969" t="s">
        <v>807</v>
      </c>
      <c r="B2969">
        <v>4058</v>
      </c>
      <c r="C2969" t="s">
        <v>3638</v>
      </c>
      <c r="D2969" t="s">
        <v>809</v>
      </c>
      <c r="E2969" t="s">
        <v>659</v>
      </c>
      <c r="F2969">
        <v>15.62</v>
      </c>
      <c r="G2969">
        <v>19.39</v>
      </c>
    </row>
    <row r="2970" spans="1:7" hidden="1" x14ac:dyDescent="0.25">
      <c r="A2970" t="s">
        <v>807</v>
      </c>
      <c r="B2970">
        <v>40974</v>
      </c>
      <c r="C2970" t="s">
        <v>3639</v>
      </c>
      <c r="D2970" t="s">
        <v>811</v>
      </c>
      <c r="E2970" t="s">
        <v>659</v>
      </c>
      <c r="F2970" s="538">
        <v>3438.05</v>
      </c>
      <c r="G2970" s="538">
        <v>4266.92</v>
      </c>
    </row>
    <row r="2971" spans="1:7" hidden="1" x14ac:dyDescent="0.25">
      <c r="A2971" t="s">
        <v>807</v>
      </c>
      <c r="B2971">
        <v>34794</v>
      </c>
      <c r="C2971" t="s">
        <v>3640</v>
      </c>
      <c r="D2971" t="s">
        <v>809</v>
      </c>
      <c r="E2971" t="s">
        <v>659</v>
      </c>
      <c r="F2971">
        <v>12.02</v>
      </c>
      <c r="G2971">
        <v>15.77</v>
      </c>
    </row>
    <row r="2972" spans="1:7" hidden="1" x14ac:dyDescent="0.25">
      <c r="A2972" t="s">
        <v>807</v>
      </c>
      <c r="B2972">
        <v>40925</v>
      </c>
      <c r="C2972" t="s">
        <v>3641</v>
      </c>
      <c r="D2972" t="s">
        <v>811</v>
      </c>
      <c r="E2972" t="s">
        <v>659</v>
      </c>
      <c r="F2972" s="538">
        <v>2645.69</v>
      </c>
      <c r="G2972" s="538">
        <v>3471.36</v>
      </c>
    </row>
    <row r="2973" spans="1:7" hidden="1" x14ac:dyDescent="0.25">
      <c r="A2973" t="s">
        <v>660</v>
      </c>
      <c r="B2973">
        <v>13741</v>
      </c>
      <c r="C2973" t="s">
        <v>3642</v>
      </c>
      <c r="D2973" t="s">
        <v>226</v>
      </c>
      <c r="E2973" t="s">
        <v>659</v>
      </c>
      <c r="F2973" s="538">
        <v>2797.99</v>
      </c>
      <c r="G2973" s="538">
        <v>2323.13</v>
      </c>
    </row>
    <row r="2974" spans="1:7" hidden="1" x14ac:dyDescent="0.25">
      <c r="A2974" t="s">
        <v>660</v>
      </c>
      <c r="B2974">
        <v>3288</v>
      </c>
      <c r="C2974" t="s">
        <v>3643</v>
      </c>
      <c r="D2974" t="s">
        <v>704</v>
      </c>
      <c r="E2974" t="s">
        <v>172</v>
      </c>
      <c r="F2974">
        <v>10.7</v>
      </c>
      <c r="G2974">
        <v>7.5</v>
      </c>
    </row>
    <row r="2975" spans="1:7" hidden="1" x14ac:dyDescent="0.25">
      <c r="A2975" t="s">
        <v>660</v>
      </c>
      <c r="B2975">
        <v>13587</v>
      </c>
      <c r="C2975" t="s">
        <v>3644</v>
      </c>
      <c r="D2975" t="s">
        <v>704</v>
      </c>
      <c r="E2975" t="s">
        <v>659</v>
      </c>
      <c r="F2975">
        <v>6.46</v>
      </c>
      <c r="G2975">
        <v>4.53</v>
      </c>
    </row>
    <row r="2976" spans="1:7" hidden="1" x14ac:dyDescent="0.25">
      <c r="A2976" t="s">
        <v>660</v>
      </c>
      <c r="B2976">
        <v>38598</v>
      </c>
      <c r="C2976" t="s">
        <v>3645</v>
      </c>
      <c r="D2976" t="s">
        <v>226</v>
      </c>
      <c r="E2976" t="s">
        <v>659</v>
      </c>
      <c r="F2976">
        <v>3.83</v>
      </c>
      <c r="G2976">
        <v>3.41</v>
      </c>
    </row>
    <row r="2977" spans="1:7" hidden="1" x14ac:dyDescent="0.25">
      <c r="A2977" t="s">
        <v>660</v>
      </c>
      <c r="B2977">
        <v>38595</v>
      </c>
      <c r="C2977" t="s">
        <v>3646</v>
      </c>
      <c r="D2977" t="s">
        <v>226</v>
      </c>
      <c r="E2977" t="s">
        <v>659</v>
      </c>
      <c r="F2977">
        <v>3.25</v>
      </c>
      <c r="G2977">
        <v>2.89</v>
      </c>
    </row>
    <row r="2978" spans="1:7" hidden="1" x14ac:dyDescent="0.25">
      <c r="A2978" t="s">
        <v>660</v>
      </c>
      <c r="B2978">
        <v>38592</v>
      </c>
      <c r="C2978" t="s">
        <v>3647</v>
      </c>
      <c r="D2978" t="s">
        <v>226</v>
      </c>
      <c r="E2978" t="s">
        <v>659</v>
      </c>
      <c r="F2978">
        <v>3.28</v>
      </c>
      <c r="G2978">
        <v>2.92</v>
      </c>
    </row>
    <row r="2979" spans="1:7" hidden="1" x14ac:dyDescent="0.25">
      <c r="A2979" t="s">
        <v>660</v>
      </c>
      <c r="B2979">
        <v>38588</v>
      </c>
      <c r="C2979" t="s">
        <v>3648</v>
      </c>
      <c r="D2979" t="s">
        <v>226</v>
      </c>
      <c r="E2979" t="s">
        <v>659</v>
      </c>
      <c r="F2979">
        <v>2.63</v>
      </c>
      <c r="G2979">
        <v>2.34</v>
      </c>
    </row>
    <row r="2980" spans="1:7" hidden="1" x14ac:dyDescent="0.25">
      <c r="A2980" t="s">
        <v>660</v>
      </c>
      <c r="B2980">
        <v>38593</v>
      </c>
      <c r="C2980" t="s">
        <v>3649</v>
      </c>
      <c r="D2980" t="s">
        <v>226</v>
      </c>
      <c r="E2980" t="s">
        <v>659</v>
      </c>
      <c r="F2980">
        <v>3.63</v>
      </c>
      <c r="G2980">
        <v>3.23</v>
      </c>
    </row>
    <row r="2981" spans="1:7" hidden="1" x14ac:dyDescent="0.25">
      <c r="A2981" t="s">
        <v>660</v>
      </c>
      <c r="B2981">
        <v>38589</v>
      </c>
      <c r="C2981" t="s">
        <v>3650</v>
      </c>
      <c r="D2981" t="s">
        <v>226</v>
      </c>
      <c r="E2981" t="s">
        <v>659</v>
      </c>
      <c r="F2981">
        <v>2.75</v>
      </c>
      <c r="G2981">
        <v>2.4500000000000002</v>
      </c>
    </row>
    <row r="2982" spans="1:7" hidden="1" x14ac:dyDescent="0.25">
      <c r="A2982" t="s">
        <v>660</v>
      </c>
      <c r="B2982">
        <v>38594</v>
      </c>
      <c r="C2982" t="s">
        <v>3651</v>
      </c>
      <c r="D2982" t="s">
        <v>226</v>
      </c>
      <c r="E2982" t="s">
        <v>659</v>
      </c>
      <c r="F2982">
        <v>5.72</v>
      </c>
      <c r="G2982">
        <v>5.09</v>
      </c>
    </row>
    <row r="2983" spans="1:7" hidden="1" x14ac:dyDescent="0.25">
      <c r="A2983" t="s">
        <v>660</v>
      </c>
      <c r="B2983">
        <v>34774</v>
      </c>
      <c r="C2983" t="s">
        <v>3652</v>
      </c>
      <c r="D2983" t="s">
        <v>226</v>
      </c>
      <c r="E2983" t="s">
        <v>659</v>
      </c>
      <c r="F2983">
        <v>2.57</v>
      </c>
      <c r="G2983">
        <v>2.29</v>
      </c>
    </row>
    <row r="2984" spans="1:7" hidden="1" x14ac:dyDescent="0.25">
      <c r="A2984" t="s">
        <v>660</v>
      </c>
      <c r="B2984">
        <v>34771</v>
      </c>
      <c r="C2984" t="s">
        <v>3653</v>
      </c>
      <c r="D2984" t="s">
        <v>226</v>
      </c>
      <c r="E2984" t="s">
        <v>659</v>
      </c>
      <c r="F2984">
        <v>3.1</v>
      </c>
      <c r="G2984">
        <v>2.76</v>
      </c>
    </row>
    <row r="2985" spans="1:7" hidden="1" x14ac:dyDescent="0.25">
      <c r="A2985" t="s">
        <v>660</v>
      </c>
      <c r="B2985">
        <v>34764</v>
      </c>
      <c r="C2985" t="s">
        <v>3654</v>
      </c>
      <c r="D2985" t="s">
        <v>226</v>
      </c>
      <c r="E2985" t="s">
        <v>659</v>
      </c>
      <c r="F2985">
        <v>2.0299999999999998</v>
      </c>
      <c r="G2985">
        <v>1.81</v>
      </c>
    </row>
    <row r="2986" spans="1:7" hidden="1" x14ac:dyDescent="0.25">
      <c r="A2986" t="s">
        <v>660</v>
      </c>
      <c r="B2986">
        <v>34773</v>
      </c>
      <c r="C2986" t="s">
        <v>3655</v>
      </c>
      <c r="D2986" t="s">
        <v>226</v>
      </c>
      <c r="E2986" t="s">
        <v>659</v>
      </c>
      <c r="F2986">
        <v>2.71</v>
      </c>
      <c r="G2986">
        <v>2.41</v>
      </c>
    </row>
    <row r="2987" spans="1:7" hidden="1" x14ac:dyDescent="0.25">
      <c r="A2987" t="s">
        <v>660</v>
      </c>
      <c r="B2987">
        <v>34769</v>
      </c>
      <c r="C2987" t="s">
        <v>3656</v>
      </c>
      <c r="D2987" t="s">
        <v>226</v>
      </c>
      <c r="E2987" t="s">
        <v>659</v>
      </c>
      <c r="F2987">
        <v>3.35</v>
      </c>
      <c r="G2987">
        <v>2.98</v>
      </c>
    </row>
    <row r="2988" spans="1:7" hidden="1" x14ac:dyDescent="0.25">
      <c r="A2988" t="s">
        <v>660</v>
      </c>
      <c r="B2988">
        <v>34763</v>
      </c>
      <c r="C2988" t="s">
        <v>3657</v>
      </c>
      <c r="D2988" t="s">
        <v>226</v>
      </c>
      <c r="E2988" t="s">
        <v>659</v>
      </c>
      <c r="F2988">
        <v>2.06</v>
      </c>
      <c r="G2988">
        <v>1.84</v>
      </c>
    </row>
    <row r="2989" spans="1:7" hidden="1" x14ac:dyDescent="0.25">
      <c r="A2989" t="s">
        <v>660</v>
      </c>
      <c r="B2989">
        <v>34788</v>
      </c>
      <c r="C2989" t="s">
        <v>3658</v>
      </c>
      <c r="D2989" t="s">
        <v>226</v>
      </c>
      <c r="E2989" t="s">
        <v>659</v>
      </c>
      <c r="F2989">
        <v>1.29</v>
      </c>
      <c r="G2989">
        <v>1.23</v>
      </c>
    </row>
    <row r="2990" spans="1:7" hidden="1" x14ac:dyDescent="0.25">
      <c r="A2990" t="s">
        <v>660</v>
      </c>
      <c r="B2990">
        <v>34781</v>
      </c>
      <c r="C2990" t="s">
        <v>3659</v>
      </c>
      <c r="D2990" t="s">
        <v>226</v>
      </c>
      <c r="E2990" t="s">
        <v>659</v>
      </c>
      <c r="F2990">
        <v>1.77</v>
      </c>
      <c r="G2990">
        <v>1.69</v>
      </c>
    </row>
    <row r="2991" spans="1:7" hidden="1" x14ac:dyDescent="0.25">
      <c r="A2991" t="s">
        <v>660</v>
      </c>
      <c r="B2991">
        <v>41682</v>
      </c>
      <c r="C2991" t="s">
        <v>3660</v>
      </c>
      <c r="D2991" t="s">
        <v>226</v>
      </c>
      <c r="E2991" t="s">
        <v>659</v>
      </c>
      <c r="F2991">
        <v>49.42</v>
      </c>
      <c r="G2991">
        <v>31.5</v>
      </c>
    </row>
    <row r="2992" spans="1:7" hidden="1" x14ac:dyDescent="0.25">
      <c r="A2992" t="s">
        <v>660</v>
      </c>
      <c r="B2992">
        <v>41683</v>
      </c>
      <c r="C2992" t="s">
        <v>3661</v>
      </c>
      <c r="D2992" t="s">
        <v>226</v>
      </c>
      <c r="E2992" t="s">
        <v>659</v>
      </c>
      <c r="F2992">
        <v>36.36</v>
      </c>
      <c r="G2992">
        <v>23.17</v>
      </c>
    </row>
    <row r="2993" spans="1:7" hidden="1" x14ac:dyDescent="0.25">
      <c r="A2993" t="s">
        <v>660</v>
      </c>
      <c r="B2993">
        <v>41680</v>
      </c>
      <c r="C2993" t="s">
        <v>3662</v>
      </c>
      <c r="D2993" t="s">
        <v>226</v>
      </c>
      <c r="E2993" t="s">
        <v>659</v>
      </c>
      <c r="F2993">
        <v>19.579999999999998</v>
      </c>
      <c r="G2993">
        <v>12.48</v>
      </c>
    </row>
    <row r="2994" spans="1:7" hidden="1" x14ac:dyDescent="0.25">
      <c r="A2994" t="s">
        <v>660</v>
      </c>
      <c r="B2994">
        <v>41679</v>
      </c>
      <c r="C2994" t="s">
        <v>3663</v>
      </c>
      <c r="D2994" t="s">
        <v>226</v>
      </c>
      <c r="E2994" t="s">
        <v>659</v>
      </c>
      <c r="F2994">
        <v>44.75</v>
      </c>
      <c r="G2994">
        <v>28.52</v>
      </c>
    </row>
    <row r="2995" spans="1:7" hidden="1" x14ac:dyDescent="0.25">
      <c r="A2995" t="s">
        <v>660</v>
      </c>
      <c r="B2995">
        <v>41681</v>
      </c>
      <c r="C2995" t="s">
        <v>3664</v>
      </c>
      <c r="D2995" t="s">
        <v>226</v>
      </c>
      <c r="E2995" t="s">
        <v>659</v>
      </c>
      <c r="F2995">
        <v>30.63</v>
      </c>
      <c r="G2995">
        <v>19.52</v>
      </c>
    </row>
    <row r="2996" spans="1:7" hidden="1" x14ac:dyDescent="0.25">
      <c r="A2996" t="s">
        <v>660</v>
      </c>
      <c r="B2996">
        <v>43386</v>
      </c>
      <c r="C2996" t="s">
        <v>3665</v>
      </c>
      <c r="D2996" t="s">
        <v>226</v>
      </c>
      <c r="E2996" t="s">
        <v>659</v>
      </c>
      <c r="F2996">
        <v>69.930000000000007</v>
      </c>
      <c r="G2996">
        <v>44.57</v>
      </c>
    </row>
    <row r="2997" spans="1:7" hidden="1" x14ac:dyDescent="0.25">
      <c r="A2997" t="s">
        <v>660</v>
      </c>
      <c r="B2997">
        <v>4059</v>
      </c>
      <c r="C2997" t="s">
        <v>3666</v>
      </c>
      <c r="D2997" t="s">
        <v>704</v>
      </c>
      <c r="E2997" t="s">
        <v>659</v>
      </c>
      <c r="F2997">
        <v>49.42</v>
      </c>
      <c r="G2997">
        <v>31.5</v>
      </c>
    </row>
    <row r="2998" spans="1:7" hidden="1" x14ac:dyDescent="0.25">
      <c r="A2998" t="s">
        <v>660</v>
      </c>
      <c r="B2998">
        <v>4062</v>
      </c>
      <c r="C2998" t="s">
        <v>3667</v>
      </c>
      <c r="D2998" t="s">
        <v>226</v>
      </c>
      <c r="E2998" t="s">
        <v>659</v>
      </c>
      <c r="F2998">
        <v>49.42</v>
      </c>
      <c r="G2998">
        <v>31.5</v>
      </c>
    </row>
    <row r="2999" spans="1:7" hidden="1" x14ac:dyDescent="0.25">
      <c r="A2999" t="s">
        <v>660</v>
      </c>
      <c r="B2999">
        <v>4061</v>
      </c>
      <c r="C2999" t="s">
        <v>3668</v>
      </c>
      <c r="D2999" t="s">
        <v>226</v>
      </c>
      <c r="E2999" t="s">
        <v>659</v>
      </c>
      <c r="F2999">
        <v>61.54</v>
      </c>
      <c r="G2999">
        <v>39.22</v>
      </c>
    </row>
    <row r="3000" spans="1:7" hidden="1" x14ac:dyDescent="0.25">
      <c r="A3000" t="s">
        <v>660</v>
      </c>
      <c r="B3000">
        <v>41315</v>
      </c>
      <c r="C3000" t="s">
        <v>3669</v>
      </c>
      <c r="D3000" t="s">
        <v>708</v>
      </c>
      <c r="E3000" t="s">
        <v>659</v>
      </c>
      <c r="F3000">
        <v>78.92</v>
      </c>
      <c r="G3000">
        <v>89.82</v>
      </c>
    </row>
    <row r="3001" spans="1:7" hidden="1" x14ac:dyDescent="0.25">
      <c r="A3001" t="s">
        <v>660</v>
      </c>
      <c r="B3001">
        <v>43148</v>
      </c>
      <c r="C3001" t="s">
        <v>3670</v>
      </c>
      <c r="D3001" t="s">
        <v>708</v>
      </c>
      <c r="E3001" t="s">
        <v>659</v>
      </c>
      <c r="F3001">
        <v>53.57</v>
      </c>
      <c r="G3001">
        <v>60.97</v>
      </c>
    </row>
    <row r="3002" spans="1:7" hidden="1" x14ac:dyDescent="0.25">
      <c r="A3002" t="s">
        <v>660</v>
      </c>
      <c r="B3002">
        <v>43147</v>
      </c>
      <c r="C3002" t="s">
        <v>3671</v>
      </c>
      <c r="D3002" t="s">
        <v>708</v>
      </c>
      <c r="E3002" t="s">
        <v>659</v>
      </c>
      <c r="F3002">
        <v>20.74</v>
      </c>
      <c r="G3002">
        <v>23.61</v>
      </c>
    </row>
    <row r="3003" spans="1:7" hidden="1" x14ac:dyDescent="0.25">
      <c r="A3003" t="s">
        <v>842</v>
      </c>
      <c r="B3003">
        <v>10608</v>
      </c>
      <c r="C3003" t="s">
        <v>3672</v>
      </c>
      <c r="D3003" t="s">
        <v>226</v>
      </c>
      <c r="E3003" t="s">
        <v>172</v>
      </c>
      <c r="F3003">
        <f>G3003</f>
        <v>9789.7999999999993</v>
      </c>
      <c r="G3003" s="538">
        <v>9789.7999999999993</v>
      </c>
    </row>
    <row r="3004" spans="1:7" hidden="1" x14ac:dyDescent="0.25">
      <c r="A3004" t="s">
        <v>807</v>
      </c>
      <c r="B3004">
        <v>4069</v>
      </c>
      <c r="C3004" t="s">
        <v>3673</v>
      </c>
      <c r="D3004" t="s">
        <v>809</v>
      </c>
      <c r="E3004" t="s">
        <v>659</v>
      </c>
      <c r="F3004">
        <v>47.94</v>
      </c>
      <c r="G3004">
        <v>34.9</v>
      </c>
    </row>
    <row r="3005" spans="1:7" hidden="1" x14ac:dyDescent="0.25">
      <c r="A3005" t="s">
        <v>807</v>
      </c>
      <c r="B3005">
        <v>40819</v>
      </c>
      <c r="C3005" t="s">
        <v>3674</v>
      </c>
      <c r="D3005" t="s">
        <v>811</v>
      </c>
      <c r="E3005" t="s">
        <v>659</v>
      </c>
      <c r="F3005" s="538">
        <v>10547.28</v>
      </c>
      <c r="G3005" s="538">
        <v>7679.89</v>
      </c>
    </row>
    <row r="3006" spans="1:7" x14ac:dyDescent="0.25">
      <c r="A3006" t="s">
        <v>660</v>
      </c>
      <c r="B3006">
        <v>34361</v>
      </c>
      <c r="C3006" t="s">
        <v>3675</v>
      </c>
      <c r="D3006" t="s">
        <v>708</v>
      </c>
      <c r="E3006" t="s">
        <v>659</v>
      </c>
      <c r="F3006">
        <v>15.1</v>
      </c>
      <c r="G3006">
        <v>17.190000000000001</v>
      </c>
    </row>
    <row r="3007" spans="1:7" hidden="1" x14ac:dyDescent="0.25">
      <c r="A3007" t="s">
        <v>842</v>
      </c>
      <c r="B3007">
        <v>36512</v>
      </c>
      <c r="C3007" t="s">
        <v>3676</v>
      </c>
      <c r="D3007" t="s">
        <v>226</v>
      </c>
      <c r="E3007" t="s">
        <v>659</v>
      </c>
      <c r="F3007" s="538">
        <v>23411.19</v>
      </c>
      <c r="G3007" s="538">
        <v>20679.88</v>
      </c>
    </row>
    <row r="3008" spans="1:7" hidden="1" x14ac:dyDescent="0.25">
      <c r="A3008" t="s">
        <v>660</v>
      </c>
      <c r="B3008">
        <v>44478</v>
      </c>
      <c r="C3008" t="s">
        <v>3677</v>
      </c>
      <c r="D3008" t="s">
        <v>708</v>
      </c>
      <c r="E3008" t="s">
        <v>659</v>
      </c>
      <c r="F3008">
        <v>8.33</v>
      </c>
      <c r="G3008">
        <v>14.99</v>
      </c>
    </row>
    <row r="3009" spans="1:7" hidden="1" x14ac:dyDescent="0.25">
      <c r="A3009" t="s">
        <v>660</v>
      </c>
      <c r="B3009">
        <v>44477</v>
      </c>
      <c r="C3009" t="s">
        <v>3678</v>
      </c>
      <c r="D3009" t="s">
        <v>708</v>
      </c>
      <c r="E3009" t="s">
        <v>659</v>
      </c>
      <c r="F3009">
        <v>8.33</v>
      </c>
      <c r="G3009">
        <v>14.99</v>
      </c>
    </row>
    <row r="3010" spans="1:7" hidden="1" x14ac:dyDescent="0.25">
      <c r="A3010" t="s">
        <v>660</v>
      </c>
      <c r="B3010">
        <v>11697</v>
      </c>
      <c r="C3010" t="s">
        <v>3679</v>
      </c>
      <c r="D3010" t="s">
        <v>226</v>
      </c>
      <c r="E3010" t="s">
        <v>659</v>
      </c>
      <c r="F3010">
        <v>773.22</v>
      </c>
      <c r="G3010">
        <v>710.3</v>
      </c>
    </row>
    <row r="3011" spans="1:7" hidden="1" x14ac:dyDescent="0.25">
      <c r="A3011" t="s">
        <v>660</v>
      </c>
      <c r="B3011">
        <v>11698</v>
      </c>
      <c r="C3011" t="s">
        <v>3680</v>
      </c>
      <c r="D3011" t="s">
        <v>226</v>
      </c>
      <c r="E3011" t="s">
        <v>659</v>
      </c>
      <c r="F3011">
        <v>922.41</v>
      </c>
      <c r="G3011">
        <v>847.34</v>
      </c>
    </row>
    <row r="3012" spans="1:7" hidden="1" x14ac:dyDescent="0.25">
      <c r="A3012" t="s">
        <v>660</v>
      </c>
      <c r="B3012">
        <v>11699</v>
      </c>
      <c r="C3012" t="s">
        <v>3681</v>
      </c>
      <c r="D3012" t="s">
        <v>226</v>
      </c>
      <c r="E3012" t="s">
        <v>659</v>
      </c>
      <c r="F3012" s="538">
        <v>1019.48</v>
      </c>
      <c r="G3012">
        <v>936.51</v>
      </c>
    </row>
    <row r="3013" spans="1:7" hidden="1" x14ac:dyDescent="0.25">
      <c r="A3013" t="s">
        <v>660</v>
      </c>
      <c r="B3013">
        <v>10432</v>
      </c>
      <c r="C3013" t="s">
        <v>3682</v>
      </c>
      <c r="D3013" t="s">
        <v>226</v>
      </c>
      <c r="E3013" t="s">
        <v>659</v>
      </c>
      <c r="F3013">
        <v>412.63</v>
      </c>
      <c r="G3013">
        <v>346.45</v>
      </c>
    </row>
    <row r="3014" spans="1:7" hidden="1" x14ac:dyDescent="0.25">
      <c r="A3014" t="s">
        <v>660</v>
      </c>
      <c r="B3014">
        <v>44020</v>
      </c>
      <c r="C3014" t="s">
        <v>3683</v>
      </c>
      <c r="D3014" t="s">
        <v>226</v>
      </c>
      <c r="E3014" t="s">
        <v>659</v>
      </c>
      <c r="F3014" s="538">
        <v>1018.02</v>
      </c>
      <c r="G3014">
        <v>854.75</v>
      </c>
    </row>
    <row r="3015" spans="1:7" hidden="1" x14ac:dyDescent="0.25">
      <c r="A3015" t="s">
        <v>660</v>
      </c>
      <c r="B3015">
        <v>41419</v>
      </c>
      <c r="C3015" t="s">
        <v>3684</v>
      </c>
      <c r="D3015" t="s">
        <v>226</v>
      </c>
      <c r="E3015" t="s">
        <v>659</v>
      </c>
      <c r="F3015">
        <v>7.19</v>
      </c>
      <c r="G3015">
        <v>8.5299999999999994</v>
      </c>
    </row>
    <row r="3016" spans="1:7" hidden="1" x14ac:dyDescent="0.25">
      <c r="A3016" t="s">
        <v>660</v>
      </c>
      <c r="B3016">
        <v>41420</v>
      </c>
      <c r="C3016" t="s">
        <v>3685</v>
      </c>
      <c r="D3016" t="s">
        <v>226</v>
      </c>
      <c r="E3016" t="s">
        <v>659</v>
      </c>
      <c r="F3016">
        <v>9.7799999999999994</v>
      </c>
      <c r="G3016">
        <v>11.61</v>
      </c>
    </row>
    <row r="3017" spans="1:7" hidden="1" x14ac:dyDescent="0.25">
      <c r="A3017" t="s">
        <v>660</v>
      </c>
      <c r="B3017">
        <v>41421</v>
      </c>
      <c r="C3017" t="s">
        <v>3686</v>
      </c>
      <c r="D3017" t="s">
        <v>226</v>
      </c>
      <c r="E3017" t="s">
        <v>659</v>
      </c>
      <c r="F3017">
        <v>9.76</v>
      </c>
      <c r="G3017">
        <v>11.58</v>
      </c>
    </row>
    <row r="3018" spans="1:7" hidden="1" x14ac:dyDescent="0.25">
      <c r="A3018" t="s">
        <v>660</v>
      </c>
      <c r="B3018">
        <v>41422</v>
      </c>
      <c r="C3018" t="s">
        <v>3687</v>
      </c>
      <c r="D3018" t="s">
        <v>226</v>
      </c>
      <c r="E3018" t="s">
        <v>659</v>
      </c>
      <c r="F3018">
        <v>13.36</v>
      </c>
      <c r="G3018">
        <v>15.85</v>
      </c>
    </row>
    <row r="3019" spans="1:7" hidden="1" x14ac:dyDescent="0.25">
      <c r="A3019" t="s">
        <v>660</v>
      </c>
      <c r="B3019">
        <v>41425</v>
      </c>
      <c r="C3019" t="s">
        <v>3688</v>
      </c>
      <c r="D3019" t="s">
        <v>226</v>
      </c>
      <c r="E3019" t="s">
        <v>659</v>
      </c>
      <c r="F3019">
        <v>6.83</v>
      </c>
      <c r="G3019">
        <v>8.11</v>
      </c>
    </row>
    <row r="3020" spans="1:7" hidden="1" x14ac:dyDescent="0.25">
      <c r="A3020" t="s">
        <v>660</v>
      </c>
      <c r="B3020">
        <v>41426</v>
      </c>
      <c r="C3020" t="s">
        <v>3689</v>
      </c>
      <c r="D3020" t="s">
        <v>226</v>
      </c>
      <c r="E3020" t="s">
        <v>659</v>
      </c>
      <c r="F3020">
        <v>12.32</v>
      </c>
      <c r="G3020">
        <v>14.63</v>
      </c>
    </row>
    <row r="3021" spans="1:7" hidden="1" x14ac:dyDescent="0.25">
      <c r="A3021" t="s">
        <v>660</v>
      </c>
      <c r="B3021">
        <v>41414</v>
      </c>
      <c r="C3021" t="s">
        <v>3690</v>
      </c>
      <c r="D3021" t="s">
        <v>226</v>
      </c>
      <c r="E3021" t="s">
        <v>659</v>
      </c>
      <c r="F3021">
        <v>22.62</v>
      </c>
      <c r="G3021">
        <v>26.85</v>
      </c>
    </row>
    <row r="3022" spans="1:7" hidden="1" x14ac:dyDescent="0.25">
      <c r="A3022" t="s">
        <v>660</v>
      </c>
      <c r="B3022">
        <v>41415</v>
      </c>
      <c r="C3022" t="s">
        <v>3691</v>
      </c>
      <c r="D3022" t="s">
        <v>226</v>
      </c>
      <c r="E3022" t="s">
        <v>659</v>
      </c>
      <c r="F3022">
        <v>26.34</v>
      </c>
      <c r="G3022">
        <v>31.27</v>
      </c>
    </row>
    <row r="3023" spans="1:7" hidden="1" x14ac:dyDescent="0.25">
      <c r="A3023" t="s">
        <v>842</v>
      </c>
      <c r="B3023">
        <v>37514</v>
      </c>
      <c r="C3023" t="s">
        <v>228</v>
      </c>
      <c r="D3023" t="s">
        <v>226</v>
      </c>
      <c r="E3023" t="s">
        <v>172</v>
      </c>
      <c r="F3023" s="538">
        <v>300000</v>
      </c>
      <c r="G3023" s="538">
        <v>360000</v>
      </c>
    </row>
    <row r="3024" spans="1:7" hidden="1" x14ac:dyDescent="0.25">
      <c r="A3024" t="s">
        <v>842</v>
      </c>
      <c r="B3024">
        <v>37519</v>
      </c>
      <c r="C3024" t="s">
        <v>3692</v>
      </c>
      <c r="D3024" t="s">
        <v>226</v>
      </c>
      <c r="E3024" t="s">
        <v>659</v>
      </c>
      <c r="F3024" s="538">
        <v>462988.02</v>
      </c>
      <c r="G3024" s="538">
        <v>555585.62</v>
      </c>
    </row>
    <row r="3025" spans="1:7" hidden="1" x14ac:dyDescent="0.25">
      <c r="A3025" t="s">
        <v>842</v>
      </c>
      <c r="B3025">
        <v>37520</v>
      </c>
      <c r="C3025" t="s">
        <v>3693</v>
      </c>
      <c r="D3025" t="s">
        <v>226</v>
      </c>
      <c r="E3025" t="s">
        <v>659</v>
      </c>
      <c r="F3025" s="538">
        <v>455398.05</v>
      </c>
      <c r="G3025" s="538">
        <v>546477.66</v>
      </c>
    </row>
    <row r="3026" spans="1:7" hidden="1" x14ac:dyDescent="0.25">
      <c r="A3026" t="s">
        <v>842</v>
      </c>
      <c r="B3026">
        <v>37521</v>
      </c>
      <c r="C3026" t="s">
        <v>3694</v>
      </c>
      <c r="D3026" t="s">
        <v>226</v>
      </c>
      <c r="E3026" t="s">
        <v>659</v>
      </c>
      <c r="F3026" s="538">
        <v>555585.63</v>
      </c>
      <c r="G3026" s="538">
        <v>666702.75</v>
      </c>
    </row>
    <row r="3027" spans="1:7" hidden="1" x14ac:dyDescent="0.25">
      <c r="A3027" t="s">
        <v>842</v>
      </c>
      <c r="B3027">
        <v>37522</v>
      </c>
      <c r="C3027" t="s">
        <v>3695</v>
      </c>
      <c r="D3027" t="s">
        <v>226</v>
      </c>
      <c r="E3027" t="s">
        <v>659</v>
      </c>
      <c r="F3027" s="538">
        <v>572300.85</v>
      </c>
      <c r="G3027" s="538">
        <v>686761.02</v>
      </c>
    </row>
    <row r="3028" spans="1:7" hidden="1" x14ac:dyDescent="0.25">
      <c r="A3028" t="s">
        <v>842</v>
      </c>
      <c r="B3028">
        <v>37546</v>
      </c>
      <c r="C3028" t="s">
        <v>3696</v>
      </c>
      <c r="D3028" t="s">
        <v>226</v>
      </c>
      <c r="E3028" t="s">
        <v>659</v>
      </c>
      <c r="F3028" s="538">
        <v>15374.13</v>
      </c>
      <c r="G3028" s="538">
        <v>12314.54</v>
      </c>
    </row>
    <row r="3029" spans="1:7" hidden="1" x14ac:dyDescent="0.25">
      <c r="A3029" t="s">
        <v>842</v>
      </c>
      <c r="B3029">
        <v>37544</v>
      </c>
      <c r="C3029" t="s">
        <v>3697</v>
      </c>
      <c r="D3029" t="s">
        <v>226</v>
      </c>
      <c r="E3029" t="s">
        <v>659</v>
      </c>
      <c r="F3029" s="538">
        <v>16260.72</v>
      </c>
      <c r="G3029" s="538">
        <v>13024.69</v>
      </c>
    </row>
    <row r="3030" spans="1:7" hidden="1" x14ac:dyDescent="0.25">
      <c r="A3030" t="s">
        <v>842</v>
      </c>
      <c r="B3030">
        <v>37545</v>
      </c>
      <c r="C3030" t="s">
        <v>3698</v>
      </c>
      <c r="D3030" t="s">
        <v>226</v>
      </c>
      <c r="E3030" t="s">
        <v>659</v>
      </c>
      <c r="F3030" s="538">
        <v>19348.080000000002</v>
      </c>
      <c r="G3030" s="538">
        <v>15497.64</v>
      </c>
    </row>
    <row r="3031" spans="1:7" hidden="1" x14ac:dyDescent="0.25">
      <c r="A3031" t="s">
        <v>660</v>
      </c>
      <c r="B3031">
        <v>36793</v>
      </c>
      <c r="C3031" t="s">
        <v>3699</v>
      </c>
      <c r="D3031" t="s">
        <v>226</v>
      </c>
      <c r="E3031" t="s">
        <v>659</v>
      </c>
      <c r="F3031">
        <v>854.3</v>
      </c>
      <c r="G3031">
        <v>767.86</v>
      </c>
    </row>
    <row r="3032" spans="1:7" hidden="1" x14ac:dyDescent="0.25">
      <c r="A3032" t="s">
        <v>660</v>
      </c>
      <c r="B3032">
        <v>11769</v>
      </c>
      <c r="C3032" t="s">
        <v>3700</v>
      </c>
      <c r="D3032" t="s">
        <v>226</v>
      </c>
      <c r="E3032" t="s">
        <v>659</v>
      </c>
      <c r="F3032">
        <v>377.53</v>
      </c>
      <c r="G3032">
        <v>339.34</v>
      </c>
    </row>
    <row r="3033" spans="1:7" hidden="1" x14ac:dyDescent="0.25">
      <c r="A3033" t="s">
        <v>660</v>
      </c>
      <c r="B3033">
        <v>11771</v>
      </c>
      <c r="C3033" t="s">
        <v>3701</v>
      </c>
      <c r="D3033" t="s">
        <v>226</v>
      </c>
      <c r="E3033" t="s">
        <v>659</v>
      </c>
      <c r="F3033">
        <v>462.43</v>
      </c>
      <c r="G3033">
        <v>415.64</v>
      </c>
    </row>
    <row r="3034" spans="1:7" hidden="1" x14ac:dyDescent="0.25">
      <c r="A3034" t="s">
        <v>842</v>
      </c>
      <c r="B3034">
        <v>39919</v>
      </c>
      <c r="C3034" t="s">
        <v>3702</v>
      </c>
      <c r="D3034" t="s">
        <v>226</v>
      </c>
      <c r="E3034" t="s">
        <v>659</v>
      </c>
      <c r="F3034" s="538">
        <v>76956.009999999995</v>
      </c>
      <c r="G3034" s="538">
        <v>61641.07</v>
      </c>
    </row>
    <row r="3035" spans="1:7" hidden="1" x14ac:dyDescent="0.25">
      <c r="A3035" t="s">
        <v>660</v>
      </c>
      <c r="B3035">
        <v>38385</v>
      </c>
      <c r="C3035" t="s">
        <v>3703</v>
      </c>
      <c r="D3035" t="s">
        <v>226</v>
      </c>
      <c r="E3035" t="s">
        <v>659</v>
      </c>
      <c r="F3035">
        <v>43.17</v>
      </c>
      <c r="G3035">
        <v>37.32</v>
      </c>
    </row>
    <row r="3036" spans="1:7" hidden="1" x14ac:dyDescent="0.25">
      <c r="A3036" t="s">
        <v>660</v>
      </c>
      <c r="B3036">
        <v>36800</v>
      </c>
      <c r="C3036" t="s">
        <v>3704</v>
      </c>
      <c r="D3036" t="s">
        <v>226</v>
      </c>
      <c r="E3036" t="s">
        <v>659</v>
      </c>
      <c r="F3036">
        <v>226.85</v>
      </c>
      <c r="G3036">
        <v>203.9</v>
      </c>
    </row>
    <row r="3037" spans="1:7" hidden="1" x14ac:dyDescent="0.25">
      <c r="A3037" t="s">
        <v>660</v>
      </c>
      <c r="B3037">
        <v>37587</v>
      </c>
      <c r="C3037" t="s">
        <v>3705</v>
      </c>
      <c r="D3037" t="s">
        <v>226</v>
      </c>
      <c r="E3037" t="s">
        <v>659</v>
      </c>
      <c r="F3037">
        <v>498.4</v>
      </c>
      <c r="G3037">
        <v>447.97</v>
      </c>
    </row>
    <row r="3038" spans="1:7" hidden="1" x14ac:dyDescent="0.25">
      <c r="A3038" t="s">
        <v>660</v>
      </c>
      <c r="B3038">
        <v>11561</v>
      </c>
      <c r="C3038" t="s">
        <v>3706</v>
      </c>
      <c r="D3038" t="s">
        <v>226</v>
      </c>
      <c r="E3038" t="s">
        <v>659</v>
      </c>
      <c r="F3038">
        <v>259.38</v>
      </c>
      <c r="G3038">
        <v>231.59</v>
      </c>
    </row>
    <row r="3039" spans="1:7" hidden="1" x14ac:dyDescent="0.25">
      <c r="A3039" t="s">
        <v>660</v>
      </c>
      <c r="B3039">
        <v>43604</v>
      </c>
      <c r="C3039" t="s">
        <v>3707</v>
      </c>
      <c r="D3039" t="s">
        <v>226</v>
      </c>
      <c r="E3039" t="s">
        <v>659</v>
      </c>
      <c r="F3039">
        <v>138.28</v>
      </c>
      <c r="G3039">
        <v>123.46</v>
      </c>
    </row>
    <row r="3040" spans="1:7" hidden="1" x14ac:dyDescent="0.25">
      <c r="A3040" t="s">
        <v>660</v>
      </c>
      <c r="B3040">
        <v>11560</v>
      </c>
      <c r="C3040" t="s">
        <v>3708</v>
      </c>
      <c r="D3040" t="s">
        <v>226</v>
      </c>
      <c r="E3040" t="s">
        <v>659</v>
      </c>
      <c r="F3040">
        <v>200.2</v>
      </c>
      <c r="G3040">
        <v>178.75</v>
      </c>
    </row>
    <row r="3041" spans="1:7" hidden="1" x14ac:dyDescent="0.25">
      <c r="A3041" t="s">
        <v>660</v>
      </c>
      <c r="B3041">
        <v>11499</v>
      </c>
      <c r="C3041" t="s">
        <v>3709</v>
      </c>
      <c r="D3041" t="s">
        <v>226</v>
      </c>
      <c r="E3041" t="s">
        <v>659</v>
      </c>
      <c r="F3041">
        <v>869.47</v>
      </c>
      <c r="G3041">
        <v>999.9</v>
      </c>
    </row>
    <row r="3042" spans="1:7" hidden="1" x14ac:dyDescent="0.25">
      <c r="A3042" t="s">
        <v>807</v>
      </c>
      <c r="B3042">
        <v>34761</v>
      </c>
      <c r="C3042" t="s">
        <v>3710</v>
      </c>
      <c r="D3042" t="s">
        <v>809</v>
      </c>
      <c r="E3042" t="s">
        <v>659</v>
      </c>
      <c r="F3042">
        <v>8.77</v>
      </c>
      <c r="G3042">
        <v>15.57</v>
      </c>
    </row>
    <row r="3043" spans="1:7" hidden="1" x14ac:dyDescent="0.25">
      <c r="A3043" t="s">
        <v>807</v>
      </c>
      <c r="B3043">
        <v>40924</v>
      </c>
      <c r="C3043" t="s">
        <v>3711</v>
      </c>
      <c r="D3043" t="s">
        <v>811</v>
      </c>
      <c r="E3043" t="s">
        <v>659</v>
      </c>
      <c r="F3043" s="538">
        <v>1930.91</v>
      </c>
      <c r="G3043" s="538">
        <v>3425.42</v>
      </c>
    </row>
    <row r="3044" spans="1:7" hidden="1" x14ac:dyDescent="0.25">
      <c r="A3044" t="s">
        <v>807</v>
      </c>
      <c r="B3044">
        <v>40983</v>
      </c>
      <c r="C3044" t="s">
        <v>3712</v>
      </c>
      <c r="D3044" t="s">
        <v>811</v>
      </c>
      <c r="E3044" t="s">
        <v>659</v>
      </c>
      <c r="F3044" s="538">
        <v>2165.52</v>
      </c>
      <c r="G3044" s="538">
        <v>2711.31</v>
      </c>
    </row>
    <row r="3045" spans="1:7" hidden="1" x14ac:dyDescent="0.25">
      <c r="A3045" t="s">
        <v>807</v>
      </c>
      <c r="B3045">
        <v>44497</v>
      </c>
      <c r="C3045" t="s">
        <v>3713</v>
      </c>
      <c r="D3045" t="s">
        <v>809</v>
      </c>
      <c r="E3045" t="s">
        <v>659</v>
      </c>
      <c r="F3045">
        <v>9.84</v>
      </c>
      <c r="G3045">
        <v>12.32</v>
      </c>
    </row>
    <row r="3046" spans="1:7" hidden="1" x14ac:dyDescent="0.25">
      <c r="A3046" t="s">
        <v>807</v>
      </c>
      <c r="B3046">
        <v>2437</v>
      </c>
      <c r="C3046" t="s">
        <v>3714</v>
      </c>
      <c r="D3046" t="s">
        <v>809</v>
      </c>
      <c r="E3046" t="s">
        <v>659</v>
      </c>
      <c r="F3046">
        <v>12.65</v>
      </c>
      <c r="G3046">
        <v>14.76</v>
      </c>
    </row>
    <row r="3047" spans="1:7" hidden="1" x14ac:dyDescent="0.25">
      <c r="A3047" t="s">
        <v>807</v>
      </c>
      <c r="B3047">
        <v>40921</v>
      </c>
      <c r="C3047" t="s">
        <v>3715</v>
      </c>
      <c r="D3047" t="s">
        <v>811</v>
      </c>
      <c r="E3047" t="s">
        <v>659</v>
      </c>
      <c r="F3047" s="538">
        <v>2784.25</v>
      </c>
      <c r="G3047" s="538">
        <v>3248.98</v>
      </c>
    </row>
    <row r="3048" spans="1:7" hidden="1" x14ac:dyDescent="0.25">
      <c r="A3048" t="s">
        <v>842</v>
      </c>
      <c r="B3048">
        <v>14252</v>
      </c>
      <c r="C3048" t="s">
        <v>3716</v>
      </c>
      <c r="D3048" t="s">
        <v>226</v>
      </c>
      <c r="E3048" t="s">
        <v>659</v>
      </c>
      <c r="F3048" s="538">
        <v>3905.2</v>
      </c>
      <c r="G3048" s="538">
        <v>3145.99</v>
      </c>
    </row>
    <row r="3049" spans="1:7" hidden="1" x14ac:dyDescent="0.25">
      <c r="A3049" t="s">
        <v>842</v>
      </c>
      <c r="B3049">
        <v>730</v>
      </c>
      <c r="C3049" t="s">
        <v>3717</v>
      </c>
      <c r="D3049" t="s">
        <v>226</v>
      </c>
      <c r="E3049" t="s">
        <v>659</v>
      </c>
      <c r="F3049" s="538">
        <v>10433.950000000001</v>
      </c>
      <c r="G3049" s="538">
        <v>8405.49</v>
      </c>
    </row>
    <row r="3050" spans="1:7" x14ac:dyDescent="0.25">
      <c r="A3050" t="s">
        <v>842</v>
      </c>
      <c r="B3050">
        <v>723</v>
      </c>
      <c r="C3050" t="s">
        <v>3718</v>
      </c>
      <c r="D3050" t="s">
        <v>226</v>
      </c>
      <c r="E3050" t="s">
        <v>659</v>
      </c>
      <c r="F3050" s="538">
        <v>5186.04</v>
      </c>
      <c r="G3050" s="538">
        <v>4177.82</v>
      </c>
    </row>
    <row r="3051" spans="1:7" hidden="1" x14ac:dyDescent="0.25">
      <c r="A3051" t="s">
        <v>842</v>
      </c>
      <c r="B3051">
        <v>36502</v>
      </c>
      <c r="C3051" t="s">
        <v>3719</v>
      </c>
      <c r="D3051" t="s">
        <v>226</v>
      </c>
      <c r="E3051" t="s">
        <v>659</v>
      </c>
      <c r="F3051" s="538">
        <v>4874.26</v>
      </c>
      <c r="G3051" s="538">
        <v>3926.66</v>
      </c>
    </row>
    <row r="3052" spans="1:7" x14ac:dyDescent="0.25">
      <c r="A3052" t="s">
        <v>842</v>
      </c>
      <c r="B3052">
        <v>36503</v>
      </c>
      <c r="C3052" t="s">
        <v>3720</v>
      </c>
      <c r="D3052" t="s">
        <v>226</v>
      </c>
      <c r="E3052" t="s">
        <v>659</v>
      </c>
      <c r="F3052" s="538">
        <v>6010.54</v>
      </c>
      <c r="G3052" s="538">
        <v>4842.03</v>
      </c>
    </row>
    <row r="3053" spans="1:7" hidden="1" x14ac:dyDescent="0.25">
      <c r="A3053" t="s">
        <v>842</v>
      </c>
      <c r="B3053">
        <v>4090</v>
      </c>
      <c r="C3053" t="s">
        <v>3721</v>
      </c>
      <c r="D3053" t="s">
        <v>226</v>
      </c>
      <c r="E3053" t="s">
        <v>172</v>
      </c>
      <c r="F3053" s="538">
        <v>1165000</v>
      </c>
      <c r="G3053" s="538">
        <v>1170000</v>
      </c>
    </row>
    <row r="3054" spans="1:7" hidden="1" x14ac:dyDescent="0.25">
      <c r="A3054" t="s">
        <v>842</v>
      </c>
      <c r="B3054">
        <v>13227</v>
      </c>
      <c r="C3054" t="s">
        <v>3722</v>
      </c>
      <c r="D3054" t="s">
        <v>226</v>
      </c>
      <c r="E3054" t="s">
        <v>659</v>
      </c>
      <c r="F3054" s="538">
        <v>1447657.77</v>
      </c>
      <c r="G3054" s="538">
        <v>1453870.89</v>
      </c>
    </row>
    <row r="3055" spans="1:7" hidden="1" x14ac:dyDescent="0.25">
      <c r="A3055" t="s">
        <v>842</v>
      </c>
      <c r="B3055">
        <v>10597</v>
      </c>
      <c r="C3055" t="s">
        <v>3723</v>
      </c>
      <c r="D3055" t="s">
        <v>226</v>
      </c>
      <c r="E3055" t="s">
        <v>659</v>
      </c>
      <c r="F3055" s="538">
        <v>1523846.56</v>
      </c>
      <c r="G3055" s="538">
        <v>1530386.67</v>
      </c>
    </row>
    <row r="3056" spans="1:7" hidden="1" x14ac:dyDescent="0.25">
      <c r="A3056" t="s">
        <v>842</v>
      </c>
      <c r="B3056">
        <v>39628</v>
      </c>
      <c r="C3056" t="s">
        <v>3724</v>
      </c>
      <c r="D3056" t="s">
        <v>226</v>
      </c>
      <c r="E3056" t="s">
        <v>659</v>
      </c>
      <c r="F3056">
        <f>G3056</f>
        <v>4729.2700000000004</v>
      </c>
      <c r="G3056" s="538">
        <v>4729.2700000000004</v>
      </c>
    </row>
    <row r="3057" spans="1:7" hidden="1" x14ac:dyDescent="0.25">
      <c r="A3057" t="s">
        <v>842</v>
      </c>
      <c r="B3057">
        <v>39404</v>
      </c>
      <c r="C3057" t="s">
        <v>3725</v>
      </c>
      <c r="D3057" t="s">
        <v>226</v>
      </c>
      <c r="E3057" t="s">
        <v>659</v>
      </c>
      <c r="F3057">
        <f>G3057</f>
        <v>2345.09</v>
      </c>
      <c r="G3057" s="538">
        <v>2345.09</v>
      </c>
    </row>
    <row r="3058" spans="1:7" hidden="1" x14ac:dyDescent="0.25">
      <c r="A3058" t="s">
        <v>842</v>
      </c>
      <c r="B3058">
        <v>39402</v>
      </c>
      <c r="C3058" t="s">
        <v>3726</v>
      </c>
      <c r="D3058" t="s">
        <v>226</v>
      </c>
      <c r="E3058" t="s">
        <v>659</v>
      </c>
      <c r="F3058">
        <f>G3058</f>
        <v>1931.91</v>
      </c>
      <c r="G3058" s="538">
        <v>1931.91</v>
      </c>
    </row>
    <row r="3059" spans="1:7" hidden="1" x14ac:dyDescent="0.25">
      <c r="A3059" t="s">
        <v>842</v>
      </c>
      <c r="B3059">
        <v>39403</v>
      </c>
      <c r="C3059" t="s">
        <v>3727</v>
      </c>
      <c r="D3059" t="s">
        <v>226</v>
      </c>
      <c r="E3059" t="s">
        <v>659</v>
      </c>
      <c r="F3059">
        <f>G3059</f>
        <v>1889.89</v>
      </c>
      <c r="G3059" s="538">
        <v>1889.89</v>
      </c>
    </row>
    <row r="3060" spans="1:7" hidden="1" x14ac:dyDescent="0.25">
      <c r="A3060" t="s">
        <v>807</v>
      </c>
      <c r="B3060">
        <v>4093</v>
      </c>
      <c r="C3060" t="s">
        <v>3728</v>
      </c>
      <c r="D3060" t="s">
        <v>809</v>
      </c>
      <c r="E3060" t="s">
        <v>172</v>
      </c>
      <c r="F3060">
        <v>12.66</v>
      </c>
      <c r="G3060">
        <v>13.48</v>
      </c>
    </row>
    <row r="3061" spans="1:7" hidden="1" x14ac:dyDescent="0.25">
      <c r="A3061" t="s">
        <v>807</v>
      </c>
      <c r="B3061">
        <v>10512</v>
      </c>
      <c r="C3061" t="s">
        <v>3729</v>
      </c>
      <c r="D3061" t="s">
        <v>811</v>
      </c>
      <c r="E3061" t="s">
        <v>659</v>
      </c>
      <c r="F3061" s="538">
        <v>2785.2</v>
      </c>
      <c r="G3061" s="538">
        <v>2965.6</v>
      </c>
    </row>
    <row r="3062" spans="1:7" hidden="1" x14ac:dyDescent="0.25">
      <c r="A3062" t="s">
        <v>807</v>
      </c>
      <c r="B3062">
        <v>4243</v>
      </c>
      <c r="C3062" t="s">
        <v>3730</v>
      </c>
      <c r="D3062" t="s">
        <v>809</v>
      </c>
      <c r="E3062" t="s">
        <v>659</v>
      </c>
      <c r="F3062">
        <v>12.66</v>
      </c>
      <c r="G3062">
        <v>13.3</v>
      </c>
    </row>
    <row r="3063" spans="1:7" hidden="1" x14ac:dyDescent="0.25">
      <c r="A3063" t="s">
        <v>807</v>
      </c>
      <c r="B3063">
        <v>20020</v>
      </c>
      <c r="C3063" t="s">
        <v>3731</v>
      </c>
      <c r="D3063" t="s">
        <v>809</v>
      </c>
      <c r="E3063" t="s">
        <v>659</v>
      </c>
      <c r="F3063">
        <v>13.15</v>
      </c>
      <c r="G3063">
        <v>14</v>
      </c>
    </row>
    <row r="3064" spans="1:7" hidden="1" x14ac:dyDescent="0.25">
      <c r="A3064" t="s">
        <v>807</v>
      </c>
      <c r="B3064">
        <v>41038</v>
      </c>
      <c r="C3064" t="s">
        <v>3732</v>
      </c>
      <c r="D3064" t="s">
        <v>811</v>
      </c>
      <c r="E3064" t="s">
        <v>659</v>
      </c>
      <c r="F3064" s="538">
        <v>2894.39</v>
      </c>
      <c r="G3064" s="538">
        <v>3081.86</v>
      </c>
    </row>
    <row r="3065" spans="1:7" hidden="1" x14ac:dyDescent="0.25">
      <c r="A3065" t="s">
        <v>807</v>
      </c>
      <c r="B3065">
        <v>4094</v>
      </c>
      <c r="C3065" t="s">
        <v>3733</v>
      </c>
      <c r="D3065" t="s">
        <v>809</v>
      </c>
      <c r="E3065" t="s">
        <v>659</v>
      </c>
      <c r="F3065">
        <v>15.74</v>
      </c>
      <c r="G3065">
        <v>16.760000000000002</v>
      </c>
    </row>
    <row r="3066" spans="1:7" hidden="1" x14ac:dyDescent="0.25">
      <c r="A3066" t="s">
        <v>807</v>
      </c>
      <c r="B3066">
        <v>40988</v>
      </c>
      <c r="C3066" t="s">
        <v>3734</v>
      </c>
      <c r="D3066" t="s">
        <v>811</v>
      </c>
      <c r="E3066" t="s">
        <v>659</v>
      </c>
      <c r="F3066" s="538">
        <v>3464.29</v>
      </c>
      <c r="G3066" s="538">
        <v>3688.68</v>
      </c>
    </row>
    <row r="3067" spans="1:7" hidden="1" x14ac:dyDescent="0.25">
      <c r="A3067" t="s">
        <v>807</v>
      </c>
      <c r="B3067">
        <v>4095</v>
      </c>
      <c r="C3067" t="s">
        <v>3735</v>
      </c>
      <c r="D3067" t="s">
        <v>809</v>
      </c>
      <c r="E3067" t="s">
        <v>659</v>
      </c>
      <c r="F3067">
        <v>11.11</v>
      </c>
      <c r="G3067">
        <v>11.22</v>
      </c>
    </row>
    <row r="3068" spans="1:7" hidden="1" x14ac:dyDescent="0.25">
      <c r="A3068" t="s">
        <v>807</v>
      </c>
      <c r="B3068">
        <v>40990</v>
      </c>
      <c r="C3068" t="s">
        <v>3736</v>
      </c>
      <c r="D3068" t="s">
        <v>811</v>
      </c>
      <c r="E3068" t="s">
        <v>659</v>
      </c>
      <c r="F3068" s="538">
        <v>2444.7800000000002</v>
      </c>
      <c r="G3068" s="538">
        <v>2470.27</v>
      </c>
    </row>
    <row r="3069" spans="1:7" hidden="1" x14ac:dyDescent="0.25">
      <c r="A3069" t="s">
        <v>807</v>
      </c>
      <c r="B3069">
        <v>4096</v>
      </c>
      <c r="C3069" t="s">
        <v>3737</v>
      </c>
      <c r="D3069" t="s">
        <v>809</v>
      </c>
      <c r="E3069" t="s">
        <v>659</v>
      </c>
      <c r="F3069">
        <v>14.19</v>
      </c>
      <c r="G3069">
        <v>15.11</v>
      </c>
    </row>
    <row r="3070" spans="1:7" hidden="1" x14ac:dyDescent="0.25">
      <c r="A3070" t="s">
        <v>807</v>
      </c>
      <c r="B3070">
        <v>40992</v>
      </c>
      <c r="C3070" t="s">
        <v>3738</v>
      </c>
      <c r="D3070" t="s">
        <v>811</v>
      </c>
      <c r="E3070" t="s">
        <v>659</v>
      </c>
      <c r="F3070" s="538">
        <v>3123.25</v>
      </c>
      <c r="G3070" s="538">
        <v>3325.54</v>
      </c>
    </row>
    <row r="3071" spans="1:7" hidden="1" x14ac:dyDescent="0.25">
      <c r="A3071" t="s">
        <v>660</v>
      </c>
      <c r="B3071">
        <v>4114</v>
      </c>
      <c r="C3071" t="s">
        <v>3739</v>
      </c>
      <c r="D3071" t="s">
        <v>226</v>
      </c>
      <c r="E3071" t="s">
        <v>659</v>
      </c>
      <c r="F3071">
        <v>113.29</v>
      </c>
      <c r="G3071">
        <v>72.2</v>
      </c>
    </row>
    <row r="3072" spans="1:7" hidden="1" x14ac:dyDescent="0.25">
      <c r="A3072" t="s">
        <v>660</v>
      </c>
      <c r="B3072">
        <v>36797</v>
      </c>
      <c r="C3072" t="s">
        <v>3740</v>
      </c>
      <c r="D3072" t="s">
        <v>226</v>
      </c>
      <c r="E3072" t="s">
        <v>659</v>
      </c>
      <c r="F3072">
        <v>100.87</v>
      </c>
      <c r="G3072">
        <v>64.290000000000006</v>
      </c>
    </row>
    <row r="3073" spans="1:7" hidden="1" x14ac:dyDescent="0.25">
      <c r="A3073" t="s">
        <v>660</v>
      </c>
      <c r="B3073">
        <v>4107</v>
      </c>
      <c r="C3073" t="s">
        <v>3741</v>
      </c>
      <c r="D3073" t="s">
        <v>226</v>
      </c>
      <c r="E3073" t="s">
        <v>659</v>
      </c>
      <c r="F3073">
        <v>95.1</v>
      </c>
      <c r="G3073">
        <v>60.61</v>
      </c>
    </row>
    <row r="3074" spans="1:7" hidden="1" x14ac:dyDescent="0.25">
      <c r="A3074" t="s">
        <v>660</v>
      </c>
      <c r="B3074">
        <v>4102</v>
      </c>
      <c r="C3074" t="s">
        <v>3742</v>
      </c>
      <c r="D3074" t="s">
        <v>226</v>
      </c>
      <c r="E3074" t="s">
        <v>172</v>
      </c>
      <c r="F3074">
        <v>116.09</v>
      </c>
      <c r="G3074">
        <v>73.989999999999995</v>
      </c>
    </row>
    <row r="3075" spans="1:7" hidden="1" x14ac:dyDescent="0.25">
      <c r="A3075" t="s">
        <v>660</v>
      </c>
      <c r="B3075">
        <v>36799</v>
      </c>
      <c r="C3075" t="s">
        <v>3743</v>
      </c>
      <c r="D3075" t="s">
        <v>226</v>
      </c>
      <c r="E3075" t="s">
        <v>659</v>
      </c>
      <c r="F3075">
        <v>97.9</v>
      </c>
      <c r="G3075">
        <v>62.4</v>
      </c>
    </row>
    <row r="3076" spans="1:7" x14ac:dyDescent="0.25">
      <c r="A3076" t="s">
        <v>660</v>
      </c>
      <c r="B3076">
        <v>2747</v>
      </c>
      <c r="C3076" t="s">
        <v>3744</v>
      </c>
      <c r="D3076" t="s">
        <v>704</v>
      </c>
      <c r="E3076" t="s">
        <v>659</v>
      </c>
      <c r="F3076">
        <v>27.03</v>
      </c>
      <c r="G3076">
        <v>33.22</v>
      </c>
    </row>
    <row r="3077" spans="1:7" x14ac:dyDescent="0.25">
      <c r="A3077" t="s">
        <v>660</v>
      </c>
      <c r="B3077">
        <v>21138</v>
      </c>
      <c r="C3077" t="s">
        <v>3745</v>
      </c>
      <c r="D3077" t="s">
        <v>704</v>
      </c>
      <c r="E3077" t="s">
        <v>172</v>
      </c>
      <c r="F3077">
        <v>8.57</v>
      </c>
      <c r="G3077">
        <v>10.53</v>
      </c>
    </row>
    <row r="3078" spans="1:7" hidden="1" x14ac:dyDescent="0.25">
      <c r="A3078" t="s">
        <v>660</v>
      </c>
      <c r="B3078">
        <v>10826</v>
      </c>
      <c r="C3078" t="s">
        <v>3746</v>
      </c>
      <c r="D3078" t="s">
        <v>226</v>
      </c>
      <c r="E3078" t="s">
        <v>659</v>
      </c>
      <c r="F3078">
        <v>100.57</v>
      </c>
      <c r="G3078">
        <v>75.86</v>
      </c>
    </row>
    <row r="3079" spans="1:7" hidden="1" x14ac:dyDescent="0.25">
      <c r="A3079" t="s">
        <v>660</v>
      </c>
      <c r="B3079">
        <v>365</v>
      </c>
      <c r="C3079" t="s">
        <v>3747</v>
      </c>
      <c r="D3079" t="s">
        <v>226</v>
      </c>
      <c r="E3079" t="s">
        <v>659</v>
      </c>
      <c r="F3079">
        <v>62.35</v>
      </c>
      <c r="G3079">
        <v>47.03</v>
      </c>
    </row>
    <row r="3080" spans="1:7" hidden="1" x14ac:dyDescent="0.25">
      <c r="A3080" t="s">
        <v>660</v>
      </c>
      <c r="B3080">
        <v>38639</v>
      </c>
      <c r="C3080" t="s">
        <v>3748</v>
      </c>
      <c r="D3080" t="s">
        <v>226</v>
      </c>
      <c r="E3080" t="s">
        <v>659</v>
      </c>
      <c r="F3080">
        <v>241.37</v>
      </c>
      <c r="G3080">
        <v>182.06</v>
      </c>
    </row>
    <row r="3081" spans="1:7" hidden="1" x14ac:dyDescent="0.25">
      <c r="A3081" t="s">
        <v>660</v>
      </c>
      <c r="B3081">
        <v>38640</v>
      </c>
      <c r="C3081" t="s">
        <v>3749</v>
      </c>
      <c r="D3081" t="s">
        <v>226</v>
      </c>
      <c r="E3081" t="s">
        <v>659</v>
      </c>
      <c r="F3081">
        <v>3.62</v>
      </c>
      <c r="G3081">
        <v>2.73</v>
      </c>
    </row>
    <row r="3082" spans="1:7" hidden="1" x14ac:dyDescent="0.25">
      <c r="A3082" t="s">
        <v>660</v>
      </c>
      <c r="B3082">
        <v>358</v>
      </c>
      <c r="C3082" t="s">
        <v>3750</v>
      </c>
      <c r="D3082" t="s">
        <v>226</v>
      </c>
      <c r="E3082" t="s">
        <v>659</v>
      </c>
      <c r="F3082">
        <v>74.42</v>
      </c>
      <c r="G3082">
        <v>56.13</v>
      </c>
    </row>
    <row r="3083" spans="1:7" hidden="1" x14ac:dyDescent="0.25">
      <c r="A3083" t="s">
        <v>660</v>
      </c>
      <c r="B3083">
        <v>359</v>
      </c>
      <c r="C3083" t="s">
        <v>3751</v>
      </c>
      <c r="D3083" t="s">
        <v>226</v>
      </c>
      <c r="E3083" t="s">
        <v>659</v>
      </c>
      <c r="F3083">
        <v>152.87</v>
      </c>
      <c r="G3083">
        <v>115.31</v>
      </c>
    </row>
    <row r="3084" spans="1:7" hidden="1" x14ac:dyDescent="0.25">
      <c r="A3084" t="s">
        <v>660</v>
      </c>
      <c r="B3084">
        <v>38641</v>
      </c>
      <c r="C3084" t="s">
        <v>3752</v>
      </c>
      <c r="D3084" t="s">
        <v>226</v>
      </c>
      <c r="E3084" t="s">
        <v>659</v>
      </c>
      <c r="F3084">
        <v>150.86000000000001</v>
      </c>
      <c r="G3084">
        <v>113.79</v>
      </c>
    </row>
    <row r="3085" spans="1:7" hidden="1" x14ac:dyDescent="0.25">
      <c r="A3085" t="s">
        <v>660</v>
      </c>
      <c r="B3085">
        <v>360</v>
      </c>
      <c r="C3085" t="s">
        <v>3753</v>
      </c>
      <c r="D3085" t="s">
        <v>226</v>
      </c>
      <c r="E3085" t="s">
        <v>172</v>
      </c>
      <c r="F3085">
        <v>3.5</v>
      </c>
      <c r="G3085">
        <v>2.64</v>
      </c>
    </row>
    <row r="3086" spans="1:7" hidden="1" x14ac:dyDescent="0.25">
      <c r="A3086" t="s">
        <v>660</v>
      </c>
      <c r="B3086">
        <v>42430</v>
      </c>
      <c r="C3086" t="s">
        <v>3754</v>
      </c>
      <c r="D3086" t="s">
        <v>226</v>
      </c>
      <c r="E3086" t="s">
        <v>659</v>
      </c>
      <c r="F3086">
        <f>G3086</f>
        <v>6434.22</v>
      </c>
      <c r="G3086" s="538">
        <v>6434.22</v>
      </c>
    </row>
    <row r="3087" spans="1:7" hidden="1" x14ac:dyDescent="0.25">
      <c r="A3087" t="s">
        <v>660</v>
      </c>
      <c r="B3087">
        <v>4209</v>
      </c>
      <c r="C3087" t="s">
        <v>3755</v>
      </c>
      <c r="D3087" t="s">
        <v>226</v>
      </c>
      <c r="E3087" t="s">
        <v>659</v>
      </c>
      <c r="F3087">
        <v>22.59</v>
      </c>
      <c r="G3087">
        <v>23.56</v>
      </c>
    </row>
    <row r="3088" spans="1:7" hidden="1" x14ac:dyDescent="0.25">
      <c r="A3088" t="s">
        <v>660</v>
      </c>
      <c r="B3088">
        <v>4180</v>
      </c>
      <c r="C3088" t="s">
        <v>3756</v>
      </c>
      <c r="D3088" t="s">
        <v>226</v>
      </c>
      <c r="E3088" t="s">
        <v>659</v>
      </c>
      <c r="F3088">
        <v>17</v>
      </c>
      <c r="G3088">
        <v>17.739999999999998</v>
      </c>
    </row>
    <row r="3089" spans="1:7" hidden="1" x14ac:dyDescent="0.25">
      <c r="A3089" t="s">
        <v>660</v>
      </c>
      <c r="B3089">
        <v>4179</v>
      </c>
      <c r="C3089" t="s">
        <v>3757</v>
      </c>
      <c r="D3089" t="s">
        <v>226</v>
      </c>
      <c r="E3089" t="s">
        <v>659</v>
      </c>
      <c r="F3089">
        <v>11.55</v>
      </c>
      <c r="G3089">
        <v>12.05</v>
      </c>
    </row>
    <row r="3090" spans="1:7" hidden="1" x14ac:dyDescent="0.25">
      <c r="A3090" t="s">
        <v>660</v>
      </c>
      <c r="B3090">
        <v>4177</v>
      </c>
      <c r="C3090" t="s">
        <v>3758</v>
      </c>
      <c r="D3090" t="s">
        <v>226</v>
      </c>
      <c r="E3090" t="s">
        <v>659</v>
      </c>
      <c r="F3090">
        <v>5.64</v>
      </c>
      <c r="G3090">
        <v>5.89</v>
      </c>
    </row>
    <row r="3091" spans="1:7" hidden="1" x14ac:dyDescent="0.25">
      <c r="A3091" t="s">
        <v>660</v>
      </c>
      <c r="B3091">
        <v>4208</v>
      </c>
      <c r="C3091" t="s">
        <v>3759</v>
      </c>
      <c r="D3091" t="s">
        <v>226</v>
      </c>
      <c r="E3091" t="s">
        <v>659</v>
      </c>
      <c r="F3091">
        <v>53.77</v>
      </c>
      <c r="G3091">
        <v>56.08</v>
      </c>
    </row>
    <row r="3092" spans="1:7" hidden="1" x14ac:dyDescent="0.25">
      <c r="A3092" t="s">
        <v>660</v>
      </c>
      <c r="B3092">
        <v>4181</v>
      </c>
      <c r="C3092" t="s">
        <v>3760</v>
      </c>
      <c r="D3092" t="s">
        <v>226</v>
      </c>
      <c r="E3092" t="s">
        <v>659</v>
      </c>
      <c r="F3092">
        <v>35.130000000000003</v>
      </c>
      <c r="G3092">
        <v>36.64</v>
      </c>
    </row>
    <row r="3093" spans="1:7" hidden="1" x14ac:dyDescent="0.25">
      <c r="A3093" t="s">
        <v>660</v>
      </c>
      <c r="B3093">
        <v>4182</v>
      </c>
      <c r="C3093" t="s">
        <v>3761</v>
      </c>
      <c r="D3093" t="s">
        <v>226</v>
      </c>
      <c r="E3093" t="s">
        <v>659</v>
      </c>
      <c r="F3093">
        <v>87.47</v>
      </c>
      <c r="G3093">
        <v>91.23</v>
      </c>
    </row>
    <row r="3094" spans="1:7" hidden="1" x14ac:dyDescent="0.25">
      <c r="A3094" t="s">
        <v>660</v>
      </c>
      <c r="B3094">
        <v>4178</v>
      </c>
      <c r="C3094" t="s">
        <v>3762</v>
      </c>
      <c r="D3094" t="s">
        <v>226</v>
      </c>
      <c r="E3094" t="s">
        <v>659</v>
      </c>
      <c r="F3094">
        <v>7.83</v>
      </c>
      <c r="G3094">
        <v>8.16</v>
      </c>
    </row>
    <row r="3095" spans="1:7" hidden="1" x14ac:dyDescent="0.25">
      <c r="A3095" t="s">
        <v>660</v>
      </c>
      <c r="B3095">
        <v>4183</v>
      </c>
      <c r="C3095" t="s">
        <v>3763</v>
      </c>
      <c r="D3095" t="s">
        <v>226</v>
      </c>
      <c r="E3095" t="s">
        <v>659</v>
      </c>
      <c r="F3095">
        <v>140.82</v>
      </c>
      <c r="G3095">
        <v>146.87</v>
      </c>
    </row>
    <row r="3096" spans="1:7" hidden="1" x14ac:dyDescent="0.25">
      <c r="A3096" t="s">
        <v>660</v>
      </c>
      <c r="B3096">
        <v>4184</v>
      </c>
      <c r="C3096" t="s">
        <v>3764</v>
      </c>
      <c r="D3096" t="s">
        <v>226</v>
      </c>
      <c r="E3096" t="s">
        <v>659</v>
      </c>
      <c r="F3096">
        <v>310.83999999999997</v>
      </c>
      <c r="G3096">
        <v>324.20999999999998</v>
      </c>
    </row>
    <row r="3097" spans="1:7" hidden="1" x14ac:dyDescent="0.25">
      <c r="A3097" t="s">
        <v>660</v>
      </c>
      <c r="B3097">
        <v>4185</v>
      </c>
      <c r="C3097" t="s">
        <v>3765</v>
      </c>
      <c r="D3097" t="s">
        <v>226</v>
      </c>
      <c r="E3097" t="s">
        <v>659</v>
      </c>
      <c r="F3097">
        <v>516.48</v>
      </c>
      <c r="G3097">
        <v>538.69000000000005</v>
      </c>
    </row>
    <row r="3098" spans="1:7" hidden="1" x14ac:dyDescent="0.25">
      <c r="A3098" t="s">
        <v>660</v>
      </c>
      <c r="B3098">
        <v>4205</v>
      </c>
      <c r="C3098" t="s">
        <v>3766</v>
      </c>
      <c r="D3098" t="s">
        <v>226</v>
      </c>
      <c r="E3098" t="s">
        <v>659</v>
      </c>
      <c r="F3098">
        <v>29.83</v>
      </c>
      <c r="G3098">
        <v>31.11</v>
      </c>
    </row>
    <row r="3099" spans="1:7" hidden="1" x14ac:dyDescent="0.25">
      <c r="A3099" t="s">
        <v>660</v>
      </c>
      <c r="B3099">
        <v>4192</v>
      </c>
      <c r="C3099" t="s">
        <v>3767</v>
      </c>
      <c r="D3099" t="s">
        <v>226</v>
      </c>
      <c r="E3099" t="s">
        <v>659</v>
      </c>
      <c r="F3099">
        <v>29.83</v>
      </c>
      <c r="G3099">
        <v>31.11</v>
      </c>
    </row>
    <row r="3100" spans="1:7" hidden="1" x14ac:dyDescent="0.25">
      <c r="A3100" t="s">
        <v>660</v>
      </c>
      <c r="B3100">
        <v>4191</v>
      </c>
      <c r="C3100" t="s">
        <v>3768</v>
      </c>
      <c r="D3100" t="s">
        <v>226</v>
      </c>
      <c r="E3100" t="s">
        <v>659</v>
      </c>
      <c r="F3100">
        <v>29.83</v>
      </c>
      <c r="G3100">
        <v>31.11</v>
      </c>
    </row>
    <row r="3101" spans="1:7" hidden="1" x14ac:dyDescent="0.25">
      <c r="A3101" t="s">
        <v>660</v>
      </c>
      <c r="B3101">
        <v>4206</v>
      </c>
      <c r="C3101" t="s">
        <v>3769</v>
      </c>
      <c r="D3101" t="s">
        <v>226</v>
      </c>
      <c r="E3101" t="s">
        <v>659</v>
      </c>
      <c r="F3101">
        <v>23.31</v>
      </c>
      <c r="G3101">
        <v>24.31</v>
      </c>
    </row>
    <row r="3102" spans="1:7" hidden="1" x14ac:dyDescent="0.25">
      <c r="A3102" t="s">
        <v>660</v>
      </c>
      <c r="B3102">
        <v>4207</v>
      </c>
      <c r="C3102" t="s">
        <v>3770</v>
      </c>
      <c r="D3102" t="s">
        <v>226</v>
      </c>
      <c r="E3102" t="s">
        <v>659</v>
      </c>
      <c r="F3102">
        <v>24</v>
      </c>
      <c r="G3102">
        <v>25.03</v>
      </c>
    </row>
    <row r="3103" spans="1:7" hidden="1" x14ac:dyDescent="0.25">
      <c r="A3103" t="s">
        <v>660</v>
      </c>
      <c r="B3103">
        <v>4190</v>
      </c>
      <c r="C3103" t="s">
        <v>3771</v>
      </c>
      <c r="D3103" t="s">
        <v>226</v>
      </c>
      <c r="E3103" t="s">
        <v>659</v>
      </c>
      <c r="F3103">
        <v>23.31</v>
      </c>
      <c r="G3103">
        <v>24.31</v>
      </c>
    </row>
    <row r="3104" spans="1:7" hidden="1" x14ac:dyDescent="0.25">
      <c r="A3104" t="s">
        <v>660</v>
      </c>
      <c r="B3104">
        <v>4188</v>
      </c>
      <c r="C3104" t="s">
        <v>3772</v>
      </c>
      <c r="D3104" t="s">
        <v>226</v>
      </c>
      <c r="E3104" t="s">
        <v>659</v>
      </c>
      <c r="F3104">
        <v>14.06</v>
      </c>
      <c r="G3104">
        <v>14.67</v>
      </c>
    </row>
    <row r="3105" spans="1:7" hidden="1" x14ac:dyDescent="0.25">
      <c r="A3105" t="s">
        <v>660</v>
      </c>
      <c r="B3105">
        <v>4189</v>
      </c>
      <c r="C3105" t="s">
        <v>3773</v>
      </c>
      <c r="D3105" t="s">
        <v>226</v>
      </c>
      <c r="E3105" t="s">
        <v>659</v>
      </c>
      <c r="F3105">
        <v>14.06</v>
      </c>
      <c r="G3105">
        <v>14.67</v>
      </c>
    </row>
    <row r="3106" spans="1:7" hidden="1" x14ac:dyDescent="0.25">
      <c r="A3106" t="s">
        <v>660</v>
      </c>
      <c r="B3106">
        <v>4186</v>
      </c>
      <c r="C3106" t="s">
        <v>3774</v>
      </c>
      <c r="D3106" t="s">
        <v>226</v>
      </c>
      <c r="E3106" t="s">
        <v>659</v>
      </c>
      <c r="F3106">
        <v>6.89</v>
      </c>
      <c r="G3106">
        <v>7.18</v>
      </c>
    </row>
    <row r="3107" spans="1:7" hidden="1" x14ac:dyDescent="0.25">
      <c r="A3107" t="s">
        <v>660</v>
      </c>
      <c r="B3107">
        <v>4197</v>
      </c>
      <c r="C3107" t="s">
        <v>3775</v>
      </c>
      <c r="D3107" t="s">
        <v>226</v>
      </c>
      <c r="E3107" t="s">
        <v>659</v>
      </c>
      <c r="F3107">
        <v>74.48</v>
      </c>
      <c r="G3107">
        <v>77.680000000000007</v>
      </c>
    </row>
    <row r="3108" spans="1:7" hidden="1" x14ac:dyDescent="0.25">
      <c r="A3108" t="s">
        <v>660</v>
      </c>
      <c r="B3108">
        <v>4194</v>
      </c>
      <c r="C3108" t="s">
        <v>3776</v>
      </c>
      <c r="D3108" t="s">
        <v>226</v>
      </c>
      <c r="E3108" t="s">
        <v>659</v>
      </c>
      <c r="F3108">
        <v>45</v>
      </c>
      <c r="G3108">
        <v>46.94</v>
      </c>
    </row>
    <row r="3109" spans="1:7" hidden="1" x14ac:dyDescent="0.25">
      <c r="A3109" t="s">
        <v>660</v>
      </c>
      <c r="B3109">
        <v>4193</v>
      </c>
      <c r="C3109" t="s">
        <v>3777</v>
      </c>
      <c r="D3109" t="s">
        <v>226</v>
      </c>
      <c r="E3109" t="s">
        <v>659</v>
      </c>
      <c r="F3109">
        <v>45</v>
      </c>
      <c r="G3109">
        <v>46.94</v>
      </c>
    </row>
    <row r="3110" spans="1:7" hidden="1" x14ac:dyDescent="0.25">
      <c r="A3110" t="s">
        <v>660</v>
      </c>
      <c r="B3110">
        <v>4204</v>
      </c>
      <c r="C3110" t="s">
        <v>3778</v>
      </c>
      <c r="D3110" t="s">
        <v>226</v>
      </c>
      <c r="E3110" t="s">
        <v>659</v>
      </c>
      <c r="F3110">
        <v>45</v>
      </c>
      <c r="G3110">
        <v>46.94</v>
      </c>
    </row>
    <row r="3111" spans="1:7" hidden="1" x14ac:dyDescent="0.25">
      <c r="A3111" t="s">
        <v>660</v>
      </c>
      <c r="B3111">
        <v>4202</v>
      </c>
      <c r="C3111" t="s">
        <v>3779</v>
      </c>
      <c r="D3111" t="s">
        <v>226</v>
      </c>
      <c r="E3111" t="s">
        <v>659</v>
      </c>
      <c r="F3111">
        <v>136.02000000000001</v>
      </c>
      <c r="G3111">
        <v>141.86000000000001</v>
      </c>
    </row>
    <row r="3112" spans="1:7" hidden="1" x14ac:dyDescent="0.25">
      <c r="A3112" t="s">
        <v>660</v>
      </c>
      <c r="B3112">
        <v>4203</v>
      </c>
      <c r="C3112" t="s">
        <v>3780</v>
      </c>
      <c r="D3112" t="s">
        <v>226</v>
      </c>
      <c r="E3112" t="s">
        <v>659</v>
      </c>
      <c r="F3112">
        <v>120.12</v>
      </c>
      <c r="G3112">
        <v>125.29</v>
      </c>
    </row>
    <row r="3113" spans="1:7" hidden="1" x14ac:dyDescent="0.25">
      <c r="A3113" t="s">
        <v>660</v>
      </c>
      <c r="B3113">
        <v>4187</v>
      </c>
      <c r="C3113" t="s">
        <v>3781</v>
      </c>
      <c r="D3113" t="s">
        <v>226</v>
      </c>
      <c r="E3113" t="s">
        <v>659</v>
      </c>
      <c r="F3113">
        <v>8.9700000000000006</v>
      </c>
      <c r="G3113">
        <v>9.35</v>
      </c>
    </row>
    <row r="3114" spans="1:7" hidden="1" x14ac:dyDescent="0.25">
      <c r="A3114" t="s">
        <v>660</v>
      </c>
      <c r="B3114">
        <v>40368</v>
      </c>
      <c r="C3114" t="s">
        <v>3782</v>
      </c>
      <c r="D3114" t="s">
        <v>226</v>
      </c>
      <c r="E3114" t="s">
        <v>659</v>
      </c>
      <c r="F3114">
        <f t="shared" ref="F3114:F3120" si="28">G3114</f>
        <v>56.95</v>
      </c>
      <c r="G3114">
        <v>56.95</v>
      </c>
    </row>
    <row r="3115" spans="1:7" hidden="1" x14ac:dyDescent="0.25">
      <c r="A3115" t="s">
        <v>660</v>
      </c>
      <c r="B3115">
        <v>40365</v>
      </c>
      <c r="C3115" t="s">
        <v>3783</v>
      </c>
      <c r="D3115" t="s">
        <v>226</v>
      </c>
      <c r="E3115" t="s">
        <v>659</v>
      </c>
      <c r="F3115">
        <f t="shared" si="28"/>
        <v>38.42</v>
      </c>
      <c r="G3115">
        <v>38.42</v>
      </c>
    </row>
    <row r="3116" spans="1:7" hidden="1" x14ac:dyDescent="0.25">
      <c r="A3116" t="s">
        <v>660</v>
      </c>
      <c r="B3116">
        <v>40362</v>
      </c>
      <c r="C3116" t="s">
        <v>3784</v>
      </c>
      <c r="D3116" t="s">
        <v>226</v>
      </c>
      <c r="E3116" t="s">
        <v>659</v>
      </c>
      <c r="F3116">
        <f t="shared" si="28"/>
        <v>25.45</v>
      </c>
      <c r="G3116">
        <v>25.45</v>
      </c>
    </row>
    <row r="3117" spans="1:7" hidden="1" x14ac:dyDescent="0.25">
      <c r="A3117" t="s">
        <v>660</v>
      </c>
      <c r="B3117">
        <v>40356</v>
      </c>
      <c r="C3117" t="s">
        <v>3785</v>
      </c>
      <c r="D3117" t="s">
        <v>226</v>
      </c>
      <c r="E3117" t="s">
        <v>659</v>
      </c>
      <c r="F3117">
        <f t="shared" si="28"/>
        <v>13.13</v>
      </c>
      <c r="G3117">
        <v>13.13</v>
      </c>
    </row>
    <row r="3118" spans="1:7" hidden="1" x14ac:dyDescent="0.25">
      <c r="A3118" t="s">
        <v>660</v>
      </c>
      <c r="B3118">
        <v>40374</v>
      </c>
      <c r="C3118" t="s">
        <v>3786</v>
      </c>
      <c r="D3118" t="s">
        <v>226</v>
      </c>
      <c r="E3118" t="s">
        <v>659</v>
      </c>
      <c r="F3118">
        <f t="shared" si="28"/>
        <v>148.85</v>
      </c>
      <c r="G3118">
        <v>148.85</v>
      </c>
    </row>
    <row r="3119" spans="1:7" hidden="1" x14ac:dyDescent="0.25">
      <c r="A3119" t="s">
        <v>660</v>
      </c>
      <c r="B3119">
        <v>40371</v>
      </c>
      <c r="C3119" t="s">
        <v>3787</v>
      </c>
      <c r="D3119" t="s">
        <v>226</v>
      </c>
      <c r="E3119" t="s">
        <v>659</v>
      </c>
      <c r="F3119">
        <f t="shared" si="28"/>
        <v>93.7</v>
      </c>
      <c r="G3119">
        <v>93.7</v>
      </c>
    </row>
    <row r="3120" spans="1:7" hidden="1" x14ac:dyDescent="0.25">
      <c r="A3120" t="s">
        <v>660</v>
      </c>
      <c r="B3120">
        <v>40359</v>
      </c>
      <c r="C3120" t="s">
        <v>3788</v>
      </c>
      <c r="D3120" t="s">
        <v>226</v>
      </c>
      <c r="E3120" t="s">
        <v>659</v>
      </c>
      <c r="F3120">
        <f t="shared" si="28"/>
        <v>16.96</v>
      </c>
      <c r="G3120">
        <v>16.96</v>
      </c>
    </row>
    <row r="3121" spans="1:7" hidden="1" x14ac:dyDescent="0.25">
      <c r="A3121" t="s">
        <v>660</v>
      </c>
      <c r="B3121">
        <v>45201</v>
      </c>
      <c r="C3121" t="s">
        <v>3789</v>
      </c>
      <c r="D3121" t="s">
        <v>226</v>
      </c>
      <c r="E3121" t="s">
        <v>659</v>
      </c>
      <c r="F3121">
        <v>70.08</v>
      </c>
      <c r="G3121">
        <v>60.58</v>
      </c>
    </row>
    <row r="3122" spans="1:7" hidden="1" x14ac:dyDescent="0.25">
      <c r="A3122" t="s">
        <v>807</v>
      </c>
      <c r="B3122">
        <v>7595</v>
      </c>
      <c r="C3122" t="s">
        <v>3790</v>
      </c>
      <c r="D3122" t="s">
        <v>809</v>
      </c>
      <c r="E3122" t="s">
        <v>659</v>
      </c>
      <c r="F3122">
        <v>8.41</v>
      </c>
      <c r="G3122">
        <v>11.08</v>
      </c>
    </row>
    <row r="3123" spans="1:7" hidden="1" x14ac:dyDescent="0.25">
      <c r="A3123" t="s">
        <v>807</v>
      </c>
      <c r="B3123">
        <v>41094</v>
      </c>
      <c r="C3123" t="s">
        <v>3791</v>
      </c>
      <c r="D3123" t="s">
        <v>811</v>
      </c>
      <c r="E3123" t="s">
        <v>659</v>
      </c>
      <c r="F3123" s="538">
        <v>1850.59</v>
      </c>
      <c r="G3123" s="538">
        <v>2438.1</v>
      </c>
    </row>
    <row r="3124" spans="1:7" hidden="1" x14ac:dyDescent="0.25">
      <c r="A3124" t="s">
        <v>842</v>
      </c>
      <c r="B3124">
        <v>39609</v>
      </c>
      <c r="C3124" t="s">
        <v>3792</v>
      </c>
      <c r="D3124" t="s">
        <v>226</v>
      </c>
      <c r="E3124" t="s">
        <v>659</v>
      </c>
      <c r="F3124" s="538">
        <v>60071</v>
      </c>
      <c r="G3124" s="538">
        <v>56450.32</v>
      </c>
    </row>
    <row r="3125" spans="1:7" hidden="1" x14ac:dyDescent="0.25">
      <c r="A3125" t="s">
        <v>842</v>
      </c>
      <c r="B3125">
        <v>39610</v>
      </c>
      <c r="C3125" t="s">
        <v>3793</v>
      </c>
      <c r="D3125" t="s">
        <v>226</v>
      </c>
      <c r="E3125" t="s">
        <v>659</v>
      </c>
      <c r="F3125" s="538">
        <v>87684.93</v>
      </c>
      <c r="G3125" s="538">
        <v>82399.850000000006</v>
      </c>
    </row>
    <row r="3126" spans="1:7" hidden="1" x14ac:dyDescent="0.25">
      <c r="A3126" t="s">
        <v>842</v>
      </c>
      <c r="B3126">
        <v>39611</v>
      </c>
      <c r="C3126" t="s">
        <v>3794</v>
      </c>
      <c r="D3126" t="s">
        <v>226</v>
      </c>
      <c r="E3126" t="s">
        <v>659</v>
      </c>
      <c r="F3126" s="538">
        <v>106113.11</v>
      </c>
      <c r="G3126" s="538">
        <v>99717.31</v>
      </c>
    </row>
    <row r="3127" spans="1:7" hidden="1" x14ac:dyDescent="0.25">
      <c r="A3127" t="s">
        <v>842</v>
      </c>
      <c r="B3127">
        <v>39612</v>
      </c>
      <c r="C3127" t="s">
        <v>3795</v>
      </c>
      <c r="D3127" t="s">
        <v>226</v>
      </c>
      <c r="E3127" t="s">
        <v>659</v>
      </c>
      <c r="F3127" s="538">
        <v>166228.57999999999</v>
      </c>
      <c r="G3127" s="538">
        <v>156209.41</v>
      </c>
    </row>
    <row r="3128" spans="1:7" hidden="1" x14ac:dyDescent="0.25">
      <c r="A3128" t="s">
        <v>842</v>
      </c>
      <c r="B3128">
        <v>39608</v>
      </c>
      <c r="C3128" t="s">
        <v>3796</v>
      </c>
      <c r="D3128" t="s">
        <v>226</v>
      </c>
      <c r="E3128" t="s">
        <v>659</v>
      </c>
      <c r="F3128" s="538">
        <v>48032.14</v>
      </c>
      <c r="G3128" s="538">
        <v>45137.08</v>
      </c>
    </row>
    <row r="3129" spans="1:7" hidden="1" x14ac:dyDescent="0.25">
      <c r="A3129" t="s">
        <v>660</v>
      </c>
      <c r="B3129">
        <v>38175</v>
      </c>
      <c r="C3129" t="s">
        <v>3797</v>
      </c>
      <c r="D3129" t="s">
        <v>226</v>
      </c>
      <c r="E3129" t="s">
        <v>659</v>
      </c>
      <c r="F3129">
        <v>5.2</v>
      </c>
      <c r="G3129">
        <v>4.6399999999999997</v>
      </c>
    </row>
    <row r="3130" spans="1:7" hidden="1" x14ac:dyDescent="0.25">
      <c r="A3130" t="s">
        <v>660</v>
      </c>
      <c r="B3130">
        <v>38176</v>
      </c>
      <c r="C3130" t="s">
        <v>3798</v>
      </c>
      <c r="D3130" t="s">
        <v>226</v>
      </c>
      <c r="E3130" t="s">
        <v>659</v>
      </c>
      <c r="F3130">
        <v>15.3</v>
      </c>
      <c r="G3130">
        <v>13.66</v>
      </c>
    </row>
    <row r="3131" spans="1:7" hidden="1" x14ac:dyDescent="0.25">
      <c r="A3131" t="s">
        <v>660</v>
      </c>
      <c r="B3131">
        <v>36152</v>
      </c>
      <c r="C3131" t="s">
        <v>3799</v>
      </c>
      <c r="D3131" t="s">
        <v>226</v>
      </c>
      <c r="E3131" t="s">
        <v>659</v>
      </c>
      <c r="F3131">
        <v>5.31</v>
      </c>
      <c r="G3131">
        <v>5.95</v>
      </c>
    </row>
    <row r="3132" spans="1:7" hidden="1" x14ac:dyDescent="0.25">
      <c r="A3132" t="s">
        <v>660</v>
      </c>
      <c r="B3132">
        <v>45212</v>
      </c>
      <c r="C3132" t="s">
        <v>3800</v>
      </c>
      <c r="D3132" t="s">
        <v>226</v>
      </c>
      <c r="E3132" t="s">
        <v>659</v>
      </c>
      <c r="F3132">
        <v>53.18</v>
      </c>
      <c r="G3132">
        <v>59.56</v>
      </c>
    </row>
    <row r="3133" spans="1:7" hidden="1" x14ac:dyDescent="0.25">
      <c r="A3133" t="s">
        <v>660</v>
      </c>
      <c r="B3133">
        <v>4221</v>
      </c>
      <c r="C3133" t="s">
        <v>3801</v>
      </c>
      <c r="D3133" t="s">
        <v>710</v>
      </c>
      <c r="E3133" t="s">
        <v>172</v>
      </c>
      <c r="F3133">
        <v>5.84</v>
      </c>
      <c r="G3133">
        <v>6.01</v>
      </c>
    </row>
    <row r="3134" spans="1:7" hidden="1" x14ac:dyDescent="0.25">
      <c r="A3134" t="s">
        <v>660</v>
      </c>
      <c r="B3134">
        <v>4227</v>
      </c>
      <c r="C3134" t="s">
        <v>3802</v>
      </c>
      <c r="D3134" t="s">
        <v>710</v>
      </c>
      <c r="E3134" t="s">
        <v>659</v>
      </c>
      <c r="F3134">
        <v>27.23</v>
      </c>
      <c r="G3134">
        <v>28.02</v>
      </c>
    </row>
    <row r="3135" spans="1:7" hidden="1" x14ac:dyDescent="0.25">
      <c r="A3135" t="s">
        <v>660</v>
      </c>
      <c r="B3135">
        <v>38170</v>
      </c>
      <c r="C3135" t="s">
        <v>3803</v>
      </c>
      <c r="D3135" t="s">
        <v>226</v>
      </c>
      <c r="E3135" t="s">
        <v>659</v>
      </c>
      <c r="F3135">
        <v>22.73</v>
      </c>
      <c r="G3135">
        <v>20.3</v>
      </c>
    </row>
    <row r="3136" spans="1:7" hidden="1" x14ac:dyDescent="0.25">
      <c r="A3136" t="s">
        <v>807</v>
      </c>
      <c r="B3136">
        <v>4252</v>
      </c>
      <c r="C3136" t="s">
        <v>3804</v>
      </c>
      <c r="D3136" t="s">
        <v>809</v>
      </c>
      <c r="E3136" t="s">
        <v>659</v>
      </c>
      <c r="F3136">
        <v>11.36</v>
      </c>
      <c r="G3136">
        <v>14.45</v>
      </c>
    </row>
    <row r="3137" spans="1:7" hidden="1" x14ac:dyDescent="0.25">
      <c r="A3137" t="s">
        <v>807</v>
      </c>
      <c r="B3137">
        <v>40980</v>
      </c>
      <c r="C3137" t="s">
        <v>3805</v>
      </c>
      <c r="D3137" t="s">
        <v>811</v>
      </c>
      <c r="E3137" t="s">
        <v>659</v>
      </c>
      <c r="F3137" s="538">
        <v>2499.9699999999998</v>
      </c>
      <c r="G3137" s="538">
        <v>3179.59</v>
      </c>
    </row>
    <row r="3138" spans="1:7" hidden="1" x14ac:dyDescent="0.25">
      <c r="A3138" t="s">
        <v>807</v>
      </c>
      <c r="B3138">
        <v>41031</v>
      </c>
      <c r="C3138" t="s">
        <v>3806</v>
      </c>
      <c r="D3138" t="s">
        <v>811</v>
      </c>
      <c r="E3138" t="s">
        <v>659</v>
      </c>
      <c r="F3138" s="538">
        <v>2785.81</v>
      </c>
      <c r="G3138" s="538">
        <v>2927.24</v>
      </c>
    </row>
    <row r="3139" spans="1:7" hidden="1" x14ac:dyDescent="0.25">
      <c r="A3139" t="s">
        <v>807</v>
      </c>
      <c r="B3139">
        <v>37666</v>
      </c>
      <c r="C3139" t="s">
        <v>3807</v>
      </c>
      <c r="D3139" t="s">
        <v>809</v>
      </c>
      <c r="E3139" t="s">
        <v>659</v>
      </c>
      <c r="F3139">
        <v>10.32</v>
      </c>
      <c r="G3139">
        <v>12.06</v>
      </c>
    </row>
    <row r="3140" spans="1:7" hidden="1" x14ac:dyDescent="0.25">
      <c r="A3140" t="s">
        <v>807</v>
      </c>
      <c r="B3140">
        <v>40986</v>
      </c>
      <c r="C3140" t="s">
        <v>3808</v>
      </c>
      <c r="D3140" t="s">
        <v>811</v>
      </c>
      <c r="E3140" t="s">
        <v>659</v>
      </c>
      <c r="F3140" s="538">
        <v>2270.4699999999998</v>
      </c>
      <c r="G3140" s="538">
        <v>2654.31</v>
      </c>
    </row>
    <row r="3141" spans="1:7" hidden="1" x14ac:dyDescent="0.25">
      <c r="A3141" t="s">
        <v>807</v>
      </c>
      <c r="B3141">
        <v>4250</v>
      </c>
      <c r="C3141" t="s">
        <v>3809</v>
      </c>
      <c r="D3141" t="s">
        <v>809</v>
      </c>
      <c r="E3141" t="s">
        <v>659</v>
      </c>
      <c r="F3141">
        <v>10.18</v>
      </c>
      <c r="G3141">
        <v>11.29</v>
      </c>
    </row>
    <row r="3142" spans="1:7" hidden="1" x14ac:dyDescent="0.25">
      <c r="A3142" t="s">
        <v>807</v>
      </c>
      <c r="B3142">
        <v>40978</v>
      </c>
      <c r="C3142" t="s">
        <v>3810</v>
      </c>
      <c r="D3142" t="s">
        <v>811</v>
      </c>
      <c r="E3142" t="s">
        <v>659</v>
      </c>
      <c r="F3142" s="538">
        <v>2241.7800000000002</v>
      </c>
      <c r="G3142" s="538">
        <v>2485.42</v>
      </c>
    </row>
    <row r="3143" spans="1:7" hidden="1" x14ac:dyDescent="0.25">
      <c r="A3143" t="s">
        <v>807</v>
      </c>
      <c r="B3143">
        <v>44501</v>
      </c>
      <c r="C3143" t="s">
        <v>3811</v>
      </c>
      <c r="D3143" t="s">
        <v>809</v>
      </c>
      <c r="E3143" t="s">
        <v>659</v>
      </c>
      <c r="F3143">
        <v>12.66</v>
      </c>
      <c r="G3143">
        <v>13.3</v>
      </c>
    </row>
    <row r="3144" spans="1:7" hidden="1" x14ac:dyDescent="0.25">
      <c r="A3144" t="s">
        <v>807</v>
      </c>
      <c r="B3144">
        <v>41043</v>
      </c>
      <c r="C3144" t="s">
        <v>3812</v>
      </c>
      <c r="D3144" t="s">
        <v>811</v>
      </c>
      <c r="E3144" t="s">
        <v>659</v>
      </c>
      <c r="F3144" s="538">
        <v>2785.81</v>
      </c>
      <c r="G3144" s="538">
        <v>2927.24</v>
      </c>
    </row>
    <row r="3145" spans="1:7" hidden="1" x14ac:dyDescent="0.25">
      <c r="A3145" t="s">
        <v>807</v>
      </c>
      <c r="B3145">
        <v>4234</v>
      </c>
      <c r="C3145" t="s">
        <v>3813</v>
      </c>
      <c r="D3145" t="s">
        <v>809</v>
      </c>
      <c r="E3145" t="s">
        <v>172</v>
      </c>
      <c r="F3145">
        <v>16.010000000000002</v>
      </c>
      <c r="G3145">
        <v>17.75</v>
      </c>
    </row>
    <row r="3146" spans="1:7" hidden="1" x14ac:dyDescent="0.25">
      <c r="A3146" t="s">
        <v>807</v>
      </c>
      <c r="B3146">
        <v>40987</v>
      </c>
      <c r="C3146" t="s">
        <v>3814</v>
      </c>
      <c r="D3146" t="s">
        <v>811</v>
      </c>
      <c r="E3146" t="s">
        <v>659</v>
      </c>
      <c r="F3146" s="538">
        <v>3522.2</v>
      </c>
      <c r="G3146" s="538">
        <v>3905</v>
      </c>
    </row>
    <row r="3147" spans="1:7" hidden="1" x14ac:dyDescent="0.25">
      <c r="A3147" t="s">
        <v>807</v>
      </c>
      <c r="B3147">
        <v>4253</v>
      </c>
      <c r="C3147" t="s">
        <v>3815</v>
      </c>
      <c r="D3147" t="s">
        <v>809</v>
      </c>
      <c r="E3147" t="s">
        <v>659</v>
      </c>
      <c r="F3147">
        <v>10.32</v>
      </c>
      <c r="G3147">
        <v>12.32</v>
      </c>
    </row>
    <row r="3148" spans="1:7" hidden="1" x14ac:dyDescent="0.25">
      <c r="A3148" t="s">
        <v>807</v>
      </c>
      <c r="B3148">
        <v>40981</v>
      </c>
      <c r="C3148" t="s">
        <v>3816</v>
      </c>
      <c r="D3148" t="s">
        <v>811</v>
      </c>
      <c r="E3148" t="s">
        <v>659</v>
      </c>
      <c r="F3148" s="538">
        <v>2270.4699999999998</v>
      </c>
      <c r="G3148" s="538">
        <v>2711.31</v>
      </c>
    </row>
    <row r="3149" spans="1:7" hidden="1" x14ac:dyDescent="0.25">
      <c r="A3149" t="s">
        <v>807</v>
      </c>
      <c r="B3149">
        <v>4254</v>
      </c>
      <c r="C3149" t="s">
        <v>3817</v>
      </c>
      <c r="D3149" t="s">
        <v>809</v>
      </c>
      <c r="E3149" t="s">
        <v>659</v>
      </c>
      <c r="F3149">
        <v>15.32</v>
      </c>
      <c r="G3149">
        <v>12.74</v>
      </c>
    </row>
    <row r="3150" spans="1:7" hidden="1" x14ac:dyDescent="0.25">
      <c r="A3150" t="s">
        <v>807</v>
      </c>
      <c r="B3150">
        <v>41036</v>
      </c>
      <c r="C3150" t="s">
        <v>3818</v>
      </c>
      <c r="D3150" t="s">
        <v>811</v>
      </c>
      <c r="E3150" t="s">
        <v>659</v>
      </c>
      <c r="F3150" s="538">
        <v>3371.28</v>
      </c>
      <c r="G3150" s="538">
        <v>2804.54</v>
      </c>
    </row>
    <row r="3151" spans="1:7" hidden="1" x14ac:dyDescent="0.25">
      <c r="A3151" t="s">
        <v>807</v>
      </c>
      <c r="B3151">
        <v>4251</v>
      </c>
      <c r="C3151" t="s">
        <v>3819</v>
      </c>
      <c r="D3151" t="s">
        <v>809</v>
      </c>
      <c r="E3151" t="s">
        <v>659</v>
      </c>
      <c r="F3151">
        <v>11.41</v>
      </c>
      <c r="G3151">
        <v>9.8699999999999992</v>
      </c>
    </row>
    <row r="3152" spans="1:7" hidden="1" x14ac:dyDescent="0.25">
      <c r="A3152" t="s">
        <v>807</v>
      </c>
      <c r="B3152">
        <v>40979</v>
      </c>
      <c r="C3152" t="s">
        <v>3820</v>
      </c>
      <c r="D3152" t="s">
        <v>811</v>
      </c>
      <c r="E3152" t="s">
        <v>659</v>
      </c>
      <c r="F3152" s="538">
        <v>2510.35</v>
      </c>
      <c r="G3152" s="538">
        <v>2172.85</v>
      </c>
    </row>
    <row r="3153" spans="1:7" hidden="1" x14ac:dyDescent="0.25">
      <c r="A3153" t="s">
        <v>807</v>
      </c>
      <c r="B3153">
        <v>4230</v>
      </c>
      <c r="C3153" t="s">
        <v>3821</v>
      </c>
      <c r="D3153" t="s">
        <v>809</v>
      </c>
      <c r="E3153" t="s">
        <v>659</v>
      </c>
      <c r="F3153">
        <v>14.66</v>
      </c>
      <c r="G3153">
        <v>14.27</v>
      </c>
    </row>
    <row r="3154" spans="1:7" hidden="1" x14ac:dyDescent="0.25">
      <c r="A3154" t="s">
        <v>807</v>
      </c>
      <c r="B3154">
        <v>40998</v>
      </c>
      <c r="C3154" t="s">
        <v>3822</v>
      </c>
      <c r="D3154" t="s">
        <v>811</v>
      </c>
      <c r="E3154" t="s">
        <v>659</v>
      </c>
      <c r="F3154" s="538">
        <v>3226.19</v>
      </c>
      <c r="G3154" s="538">
        <v>3140.82</v>
      </c>
    </row>
    <row r="3155" spans="1:7" hidden="1" x14ac:dyDescent="0.25">
      <c r="A3155" t="s">
        <v>807</v>
      </c>
      <c r="B3155">
        <v>4257</v>
      </c>
      <c r="C3155" t="s">
        <v>3823</v>
      </c>
      <c r="D3155" t="s">
        <v>809</v>
      </c>
      <c r="E3155" t="s">
        <v>659</v>
      </c>
      <c r="F3155">
        <v>10.130000000000001</v>
      </c>
      <c r="G3155">
        <v>12.32</v>
      </c>
    </row>
    <row r="3156" spans="1:7" hidden="1" x14ac:dyDescent="0.25">
      <c r="A3156" t="s">
        <v>807</v>
      </c>
      <c r="B3156">
        <v>40982</v>
      </c>
      <c r="C3156" t="s">
        <v>3824</v>
      </c>
      <c r="D3156" t="s">
        <v>811</v>
      </c>
      <c r="E3156" t="s">
        <v>659</v>
      </c>
      <c r="F3156" s="538">
        <v>2230.17</v>
      </c>
      <c r="G3156" s="538">
        <v>2711.31</v>
      </c>
    </row>
    <row r="3157" spans="1:7" hidden="1" x14ac:dyDescent="0.25">
      <c r="A3157" t="s">
        <v>807</v>
      </c>
      <c r="B3157">
        <v>4240</v>
      </c>
      <c r="C3157" t="s">
        <v>3825</v>
      </c>
      <c r="D3157" t="s">
        <v>809</v>
      </c>
      <c r="E3157" t="s">
        <v>659</v>
      </c>
      <c r="F3157">
        <v>16.89</v>
      </c>
      <c r="G3157">
        <v>18.38</v>
      </c>
    </row>
    <row r="3158" spans="1:7" hidden="1" x14ac:dyDescent="0.25">
      <c r="A3158" t="s">
        <v>807</v>
      </c>
      <c r="B3158">
        <v>41026</v>
      </c>
      <c r="C3158" t="s">
        <v>3826</v>
      </c>
      <c r="D3158" t="s">
        <v>811</v>
      </c>
      <c r="E3158" t="s">
        <v>659</v>
      </c>
      <c r="F3158" s="538">
        <v>3717.8</v>
      </c>
      <c r="G3158" s="538">
        <v>4045.76</v>
      </c>
    </row>
    <row r="3159" spans="1:7" hidden="1" x14ac:dyDescent="0.25">
      <c r="A3159" t="s">
        <v>807</v>
      </c>
      <c r="B3159">
        <v>4239</v>
      </c>
      <c r="C3159" t="s">
        <v>3827</v>
      </c>
      <c r="D3159" t="s">
        <v>809</v>
      </c>
      <c r="E3159" t="s">
        <v>659</v>
      </c>
      <c r="F3159">
        <v>16.89</v>
      </c>
      <c r="G3159">
        <v>18.38</v>
      </c>
    </row>
    <row r="3160" spans="1:7" hidden="1" x14ac:dyDescent="0.25">
      <c r="A3160" t="s">
        <v>807</v>
      </c>
      <c r="B3160">
        <v>41024</v>
      </c>
      <c r="C3160" t="s">
        <v>3828</v>
      </c>
      <c r="D3160" t="s">
        <v>811</v>
      </c>
      <c r="E3160" t="s">
        <v>659</v>
      </c>
      <c r="F3160" s="538">
        <v>3717.8</v>
      </c>
      <c r="G3160" s="538">
        <v>4045.76</v>
      </c>
    </row>
    <row r="3161" spans="1:7" hidden="1" x14ac:dyDescent="0.25">
      <c r="A3161" t="s">
        <v>807</v>
      </c>
      <c r="B3161">
        <v>4248</v>
      </c>
      <c r="C3161" t="s">
        <v>3829</v>
      </c>
      <c r="D3161" t="s">
        <v>809</v>
      </c>
      <c r="E3161" t="s">
        <v>659</v>
      </c>
      <c r="F3161">
        <v>12.66</v>
      </c>
      <c r="G3161">
        <v>13.3</v>
      </c>
    </row>
    <row r="3162" spans="1:7" hidden="1" x14ac:dyDescent="0.25">
      <c r="A3162" t="s">
        <v>807</v>
      </c>
      <c r="B3162">
        <v>41033</v>
      </c>
      <c r="C3162" t="s">
        <v>3830</v>
      </c>
      <c r="D3162" t="s">
        <v>811</v>
      </c>
      <c r="E3162" t="s">
        <v>659</v>
      </c>
      <c r="F3162" s="538">
        <v>2785.81</v>
      </c>
      <c r="G3162" s="538">
        <v>2927.24</v>
      </c>
    </row>
    <row r="3163" spans="1:7" hidden="1" x14ac:dyDescent="0.25">
      <c r="A3163" t="s">
        <v>807</v>
      </c>
      <c r="B3163">
        <v>44500</v>
      </c>
      <c r="C3163" t="s">
        <v>3831</v>
      </c>
      <c r="D3163" t="s">
        <v>809</v>
      </c>
      <c r="E3163" t="s">
        <v>659</v>
      </c>
      <c r="F3163">
        <v>12.66</v>
      </c>
      <c r="G3163">
        <v>13.3</v>
      </c>
    </row>
    <row r="3164" spans="1:7" hidden="1" x14ac:dyDescent="0.25">
      <c r="A3164" t="s">
        <v>807</v>
      </c>
      <c r="B3164">
        <v>41040</v>
      </c>
      <c r="C3164" t="s">
        <v>3832</v>
      </c>
      <c r="D3164" t="s">
        <v>811</v>
      </c>
      <c r="E3164" t="s">
        <v>659</v>
      </c>
      <c r="F3164" s="538">
        <v>2785.81</v>
      </c>
      <c r="G3164" s="538">
        <v>2927.24</v>
      </c>
    </row>
    <row r="3165" spans="1:7" hidden="1" x14ac:dyDescent="0.25">
      <c r="A3165" t="s">
        <v>807</v>
      </c>
      <c r="B3165">
        <v>4238</v>
      </c>
      <c r="C3165" t="s">
        <v>3833</v>
      </c>
      <c r="D3165" t="s">
        <v>809</v>
      </c>
      <c r="E3165" t="s">
        <v>659</v>
      </c>
      <c r="F3165">
        <v>9.52</v>
      </c>
      <c r="G3165">
        <v>13.54</v>
      </c>
    </row>
    <row r="3166" spans="1:7" hidden="1" x14ac:dyDescent="0.25">
      <c r="A3166" t="s">
        <v>807</v>
      </c>
      <c r="B3166">
        <v>41012</v>
      </c>
      <c r="C3166" t="s">
        <v>3834</v>
      </c>
      <c r="D3166" t="s">
        <v>811</v>
      </c>
      <c r="E3166" t="s">
        <v>659</v>
      </c>
      <c r="F3166" s="538">
        <v>2095.04</v>
      </c>
      <c r="G3166" s="538">
        <v>2979.23</v>
      </c>
    </row>
    <row r="3167" spans="1:7" hidden="1" x14ac:dyDescent="0.25">
      <c r="A3167" t="s">
        <v>807</v>
      </c>
      <c r="B3167">
        <v>4233</v>
      </c>
      <c r="C3167" t="s">
        <v>3835</v>
      </c>
      <c r="D3167" t="s">
        <v>809</v>
      </c>
      <c r="E3167" t="s">
        <v>659</v>
      </c>
      <c r="F3167">
        <v>16.89</v>
      </c>
      <c r="G3167">
        <v>18.38</v>
      </c>
    </row>
    <row r="3168" spans="1:7" hidden="1" x14ac:dyDescent="0.25">
      <c r="A3168" t="s">
        <v>807</v>
      </c>
      <c r="B3168">
        <v>41001</v>
      </c>
      <c r="C3168" t="s">
        <v>3836</v>
      </c>
      <c r="D3168" t="s">
        <v>811</v>
      </c>
      <c r="E3168" t="s">
        <v>659</v>
      </c>
      <c r="F3168" s="538">
        <v>3717.8</v>
      </c>
      <c r="G3168" s="538">
        <v>4045.76</v>
      </c>
    </row>
    <row r="3169" spans="1:7" hidden="1" x14ac:dyDescent="0.25">
      <c r="A3169" t="s">
        <v>660</v>
      </c>
      <c r="B3169">
        <v>2</v>
      </c>
      <c r="C3169" t="s">
        <v>3837</v>
      </c>
      <c r="D3169" t="s">
        <v>806</v>
      </c>
      <c r="E3169" t="s">
        <v>659</v>
      </c>
      <c r="F3169">
        <v>17.28</v>
      </c>
      <c r="G3169">
        <v>22.9</v>
      </c>
    </row>
    <row r="3170" spans="1:7" hidden="1" x14ac:dyDescent="0.25">
      <c r="A3170" t="s">
        <v>842</v>
      </c>
      <c r="B3170">
        <v>14221</v>
      </c>
      <c r="C3170" t="s">
        <v>3838</v>
      </c>
      <c r="D3170" t="s">
        <v>226</v>
      </c>
      <c r="E3170" t="s">
        <v>659</v>
      </c>
      <c r="F3170" s="538">
        <v>633115.36</v>
      </c>
      <c r="G3170" s="538">
        <v>612686.64</v>
      </c>
    </row>
    <row r="3171" spans="1:7" hidden="1" x14ac:dyDescent="0.25">
      <c r="A3171" t="s">
        <v>842</v>
      </c>
      <c r="B3171">
        <v>36517</v>
      </c>
      <c r="C3171" t="s">
        <v>3839</v>
      </c>
      <c r="D3171" t="s">
        <v>226</v>
      </c>
      <c r="E3171" t="s">
        <v>659</v>
      </c>
      <c r="F3171" s="538">
        <v>610209.62</v>
      </c>
      <c r="G3171" s="538">
        <v>590520</v>
      </c>
    </row>
    <row r="3172" spans="1:7" hidden="1" x14ac:dyDescent="0.25">
      <c r="A3172" t="s">
        <v>842</v>
      </c>
      <c r="B3172">
        <v>4262</v>
      </c>
      <c r="C3172" t="s">
        <v>3840</v>
      </c>
      <c r="D3172" t="s">
        <v>226</v>
      </c>
      <c r="E3172" t="s">
        <v>172</v>
      </c>
      <c r="F3172" s="538">
        <v>687173</v>
      </c>
      <c r="G3172" s="538">
        <v>665000</v>
      </c>
    </row>
    <row r="3173" spans="1:7" hidden="1" x14ac:dyDescent="0.25">
      <c r="A3173" t="s">
        <v>842</v>
      </c>
      <c r="B3173">
        <v>4263</v>
      </c>
      <c r="C3173" t="s">
        <v>3841</v>
      </c>
      <c r="D3173" t="s">
        <v>226</v>
      </c>
      <c r="E3173" t="s">
        <v>659</v>
      </c>
      <c r="F3173" s="538">
        <v>952879.84</v>
      </c>
      <c r="G3173" s="538">
        <v>922133.28</v>
      </c>
    </row>
    <row r="3174" spans="1:7" hidden="1" x14ac:dyDescent="0.25">
      <c r="A3174" t="s">
        <v>842</v>
      </c>
      <c r="B3174">
        <v>36518</v>
      </c>
      <c r="C3174" t="s">
        <v>3842</v>
      </c>
      <c r="D3174" t="s">
        <v>226</v>
      </c>
      <c r="E3174" t="s">
        <v>659</v>
      </c>
      <c r="F3174" s="538">
        <v>1084817.06</v>
      </c>
      <c r="G3174" s="538">
        <v>1049813.28</v>
      </c>
    </row>
    <row r="3175" spans="1:7" hidden="1" x14ac:dyDescent="0.25">
      <c r="A3175" t="s">
        <v>660</v>
      </c>
      <c r="B3175">
        <v>38402</v>
      </c>
      <c r="C3175" t="s">
        <v>3843</v>
      </c>
      <c r="D3175" t="s">
        <v>226</v>
      </c>
      <c r="E3175" t="s">
        <v>659</v>
      </c>
      <c r="F3175">
        <v>43.51</v>
      </c>
      <c r="G3175">
        <v>43.96</v>
      </c>
    </row>
    <row r="3176" spans="1:7" hidden="1" x14ac:dyDescent="0.25">
      <c r="A3176" t="s">
        <v>660</v>
      </c>
      <c r="B3176">
        <v>45234</v>
      </c>
      <c r="C3176" t="s">
        <v>3844</v>
      </c>
      <c r="D3176" t="s">
        <v>226</v>
      </c>
      <c r="E3176" t="s">
        <v>659</v>
      </c>
      <c r="F3176">
        <v>47.66</v>
      </c>
      <c r="G3176">
        <v>41.2</v>
      </c>
    </row>
    <row r="3177" spans="1:7" hidden="1" x14ac:dyDescent="0.25">
      <c r="A3177" t="s">
        <v>660</v>
      </c>
      <c r="B3177">
        <v>3412</v>
      </c>
      <c r="C3177" t="s">
        <v>3845</v>
      </c>
      <c r="D3177" t="s">
        <v>498</v>
      </c>
      <c r="E3177" t="s">
        <v>659</v>
      </c>
      <c r="F3177">
        <v>12.74</v>
      </c>
      <c r="G3177">
        <v>20.37</v>
      </c>
    </row>
    <row r="3178" spans="1:7" hidden="1" x14ac:dyDescent="0.25">
      <c r="A3178" t="s">
        <v>660</v>
      </c>
      <c r="B3178">
        <v>3413</v>
      </c>
      <c r="C3178" t="s">
        <v>3846</v>
      </c>
      <c r="D3178" t="s">
        <v>498</v>
      </c>
      <c r="E3178" t="s">
        <v>659</v>
      </c>
      <c r="F3178">
        <v>28.69</v>
      </c>
      <c r="G3178">
        <v>45.86</v>
      </c>
    </row>
    <row r="3179" spans="1:7" hidden="1" x14ac:dyDescent="0.25">
      <c r="A3179" t="s">
        <v>660</v>
      </c>
      <c r="B3179">
        <v>39744</v>
      </c>
      <c r="C3179" t="s">
        <v>3847</v>
      </c>
      <c r="D3179" t="s">
        <v>498</v>
      </c>
      <c r="E3179" t="s">
        <v>659</v>
      </c>
      <c r="F3179">
        <v>22.27</v>
      </c>
      <c r="G3179">
        <v>35.61</v>
      </c>
    </row>
    <row r="3180" spans="1:7" hidden="1" x14ac:dyDescent="0.25">
      <c r="A3180" t="s">
        <v>660</v>
      </c>
      <c r="B3180">
        <v>39745</v>
      </c>
      <c r="C3180" t="s">
        <v>3848</v>
      </c>
      <c r="D3180" t="s">
        <v>498</v>
      </c>
      <c r="E3180" t="s">
        <v>659</v>
      </c>
      <c r="F3180">
        <v>47.02</v>
      </c>
      <c r="G3180">
        <v>75.150000000000006</v>
      </c>
    </row>
    <row r="3181" spans="1:7" hidden="1" x14ac:dyDescent="0.25">
      <c r="A3181" t="s">
        <v>660</v>
      </c>
      <c r="B3181">
        <v>39639</v>
      </c>
      <c r="C3181" t="s">
        <v>3849</v>
      </c>
      <c r="D3181" t="s">
        <v>498</v>
      </c>
      <c r="E3181" t="s">
        <v>659</v>
      </c>
      <c r="F3181">
        <v>143.74</v>
      </c>
      <c r="G3181">
        <v>147.83000000000001</v>
      </c>
    </row>
    <row r="3182" spans="1:7" hidden="1" x14ac:dyDescent="0.25">
      <c r="A3182" t="s">
        <v>660</v>
      </c>
      <c r="B3182">
        <v>39637</v>
      </c>
      <c r="C3182" t="s">
        <v>3850</v>
      </c>
      <c r="D3182" t="s">
        <v>498</v>
      </c>
      <c r="E3182" t="s">
        <v>659</v>
      </c>
      <c r="F3182">
        <v>84.2</v>
      </c>
      <c r="G3182">
        <v>86.59</v>
      </c>
    </row>
    <row r="3183" spans="1:7" hidden="1" x14ac:dyDescent="0.25">
      <c r="A3183" t="s">
        <v>660</v>
      </c>
      <c r="B3183">
        <v>39638</v>
      </c>
      <c r="C3183" t="s">
        <v>3851</v>
      </c>
      <c r="D3183" t="s">
        <v>498</v>
      </c>
      <c r="E3183" t="s">
        <v>659</v>
      </c>
      <c r="F3183">
        <v>95.27</v>
      </c>
      <c r="G3183">
        <v>97.98</v>
      </c>
    </row>
    <row r="3184" spans="1:7" hidden="1" x14ac:dyDescent="0.25">
      <c r="A3184" t="s">
        <v>660</v>
      </c>
      <c r="B3184">
        <v>39517</v>
      </c>
      <c r="C3184" t="s">
        <v>3852</v>
      </c>
      <c r="D3184" t="s">
        <v>498</v>
      </c>
      <c r="E3184" t="s">
        <v>659</v>
      </c>
      <c r="F3184">
        <v>179.11</v>
      </c>
      <c r="G3184">
        <v>227.36</v>
      </c>
    </row>
    <row r="3185" spans="1:7" hidden="1" x14ac:dyDescent="0.25">
      <c r="A3185" t="s">
        <v>660</v>
      </c>
      <c r="B3185">
        <v>39518</v>
      </c>
      <c r="C3185" t="s">
        <v>3853</v>
      </c>
      <c r="D3185" t="s">
        <v>498</v>
      </c>
      <c r="E3185" t="s">
        <v>659</v>
      </c>
      <c r="F3185">
        <v>212.35</v>
      </c>
      <c r="G3185">
        <v>269.54000000000002</v>
      </c>
    </row>
    <row r="3186" spans="1:7" hidden="1" x14ac:dyDescent="0.25">
      <c r="A3186" t="s">
        <v>660</v>
      </c>
      <c r="B3186">
        <v>38366</v>
      </c>
      <c r="C3186" t="s">
        <v>3854</v>
      </c>
      <c r="D3186" t="s">
        <v>498</v>
      </c>
      <c r="E3186" t="s">
        <v>659</v>
      </c>
      <c r="F3186">
        <v>5.28</v>
      </c>
      <c r="G3186">
        <v>5.78</v>
      </c>
    </row>
    <row r="3187" spans="1:7" hidden="1" x14ac:dyDescent="0.25">
      <c r="A3187" t="s">
        <v>660</v>
      </c>
      <c r="B3187">
        <v>11703</v>
      </c>
      <c r="C3187" t="s">
        <v>3855</v>
      </c>
      <c r="D3187" t="s">
        <v>226</v>
      </c>
      <c r="E3187" t="s">
        <v>659</v>
      </c>
      <c r="F3187">
        <v>30.77</v>
      </c>
      <c r="G3187">
        <v>47.19</v>
      </c>
    </row>
    <row r="3188" spans="1:7" hidden="1" x14ac:dyDescent="0.25">
      <c r="A3188" t="s">
        <v>660</v>
      </c>
      <c r="B3188">
        <v>37400</v>
      </c>
      <c r="C3188" t="s">
        <v>3856</v>
      </c>
      <c r="D3188" t="s">
        <v>226</v>
      </c>
      <c r="E3188" t="s">
        <v>659</v>
      </c>
      <c r="F3188">
        <v>42.91</v>
      </c>
      <c r="G3188">
        <v>60.13</v>
      </c>
    </row>
    <row r="3189" spans="1:7" hidden="1" x14ac:dyDescent="0.25">
      <c r="A3189" t="s">
        <v>660</v>
      </c>
      <c r="B3189">
        <v>25400</v>
      </c>
      <c r="C3189" t="s">
        <v>3857</v>
      </c>
      <c r="D3189" t="s">
        <v>226</v>
      </c>
      <c r="E3189" t="s">
        <v>659</v>
      </c>
      <c r="F3189" s="538">
        <v>3207.73</v>
      </c>
      <c r="G3189" s="538">
        <v>2590.6</v>
      </c>
    </row>
    <row r="3190" spans="1:7" hidden="1" x14ac:dyDescent="0.25">
      <c r="A3190" t="s">
        <v>660</v>
      </c>
      <c r="B3190">
        <v>4276</v>
      </c>
      <c r="C3190" t="s">
        <v>3858</v>
      </c>
      <c r="D3190" t="s">
        <v>226</v>
      </c>
      <c r="E3190" t="s">
        <v>659</v>
      </c>
      <c r="F3190">
        <v>182.06</v>
      </c>
      <c r="G3190">
        <v>216.09</v>
      </c>
    </row>
    <row r="3191" spans="1:7" hidden="1" x14ac:dyDescent="0.25">
      <c r="A3191" t="s">
        <v>660</v>
      </c>
      <c r="B3191">
        <v>4273</v>
      </c>
      <c r="C3191" t="s">
        <v>3859</v>
      </c>
      <c r="D3191" t="s">
        <v>226</v>
      </c>
      <c r="E3191" t="s">
        <v>659</v>
      </c>
      <c r="F3191">
        <v>330.55</v>
      </c>
      <c r="G3191">
        <v>392.33</v>
      </c>
    </row>
    <row r="3192" spans="1:7" hidden="1" x14ac:dyDescent="0.25">
      <c r="A3192" t="s">
        <v>660</v>
      </c>
      <c r="B3192">
        <v>4274</v>
      </c>
      <c r="C3192" t="s">
        <v>3860</v>
      </c>
      <c r="D3192" t="s">
        <v>226</v>
      </c>
      <c r="E3192" t="s">
        <v>172</v>
      </c>
      <c r="F3192">
        <v>120.93</v>
      </c>
      <c r="G3192">
        <v>143.53</v>
      </c>
    </row>
    <row r="3193" spans="1:7" hidden="1" x14ac:dyDescent="0.25">
      <c r="A3193" t="s">
        <v>660</v>
      </c>
      <c r="B3193">
        <v>39438</v>
      </c>
      <c r="C3193" t="s">
        <v>3861</v>
      </c>
      <c r="D3193" t="s">
        <v>226</v>
      </c>
      <c r="E3193" t="s">
        <v>659</v>
      </c>
      <c r="F3193">
        <v>0.33</v>
      </c>
      <c r="G3193">
        <v>0.26</v>
      </c>
    </row>
    <row r="3194" spans="1:7" hidden="1" x14ac:dyDescent="0.25">
      <c r="A3194" t="s">
        <v>660</v>
      </c>
      <c r="B3194">
        <v>4379</v>
      </c>
      <c r="C3194" t="s">
        <v>3862</v>
      </c>
      <c r="D3194" t="s">
        <v>226</v>
      </c>
      <c r="E3194" t="s">
        <v>659</v>
      </c>
      <c r="F3194">
        <v>0.06</v>
      </c>
      <c r="G3194">
        <v>0.05</v>
      </c>
    </row>
    <row r="3195" spans="1:7" hidden="1" x14ac:dyDescent="0.25">
      <c r="A3195" t="s">
        <v>660</v>
      </c>
      <c r="B3195">
        <v>4377</v>
      </c>
      <c r="C3195" t="s">
        <v>3863</v>
      </c>
      <c r="D3195" t="s">
        <v>226</v>
      </c>
      <c r="E3195" t="s">
        <v>659</v>
      </c>
      <c r="F3195">
        <v>0.24</v>
      </c>
      <c r="G3195">
        <v>0.19</v>
      </c>
    </row>
    <row r="3196" spans="1:7" hidden="1" x14ac:dyDescent="0.25">
      <c r="A3196" t="s">
        <v>660</v>
      </c>
      <c r="B3196">
        <v>4356</v>
      </c>
      <c r="C3196" t="s">
        <v>3864</v>
      </c>
      <c r="D3196" t="s">
        <v>226</v>
      </c>
      <c r="E3196" t="s">
        <v>659</v>
      </c>
      <c r="F3196">
        <v>0.33</v>
      </c>
      <c r="G3196">
        <v>0.26</v>
      </c>
    </row>
    <row r="3197" spans="1:7" hidden="1" x14ac:dyDescent="0.25">
      <c r="A3197" t="s">
        <v>660</v>
      </c>
      <c r="B3197">
        <v>13246</v>
      </c>
      <c r="C3197" t="s">
        <v>3865</v>
      </c>
      <c r="D3197" t="s">
        <v>226</v>
      </c>
      <c r="E3197" t="s">
        <v>659</v>
      </c>
      <c r="F3197">
        <v>0.57999999999999996</v>
      </c>
      <c r="G3197">
        <v>0.45</v>
      </c>
    </row>
    <row r="3198" spans="1:7" hidden="1" x14ac:dyDescent="0.25">
      <c r="A3198" t="s">
        <v>660</v>
      </c>
      <c r="B3198">
        <v>13294</v>
      </c>
      <c r="C3198" t="s">
        <v>3866</v>
      </c>
      <c r="D3198" t="s">
        <v>226</v>
      </c>
      <c r="E3198" t="s">
        <v>659</v>
      </c>
      <c r="F3198">
        <v>1.93</v>
      </c>
      <c r="G3198">
        <v>1.53</v>
      </c>
    </row>
    <row r="3199" spans="1:7" hidden="1" x14ac:dyDescent="0.25">
      <c r="A3199" t="s">
        <v>660</v>
      </c>
      <c r="B3199">
        <v>11963</v>
      </c>
      <c r="C3199" t="s">
        <v>3867</v>
      </c>
      <c r="D3199" t="s">
        <v>226</v>
      </c>
      <c r="E3199" t="s">
        <v>659</v>
      </c>
      <c r="F3199">
        <v>12.15</v>
      </c>
      <c r="G3199">
        <v>9.6199999999999992</v>
      </c>
    </row>
    <row r="3200" spans="1:7" hidden="1" x14ac:dyDescent="0.25">
      <c r="A3200" t="s">
        <v>660</v>
      </c>
      <c r="B3200">
        <v>11964</v>
      </c>
      <c r="C3200" t="s">
        <v>3868</v>
      </c>
      <c r="D3200" t="s">
        <v>226</v>
      </c>
      <c r="E3200" t="s">
        <v>659</v>
      </c>
      <c r="F3200">
        <v>3.07</v>
      </c>
      <c r="G3200">
        <v>2.42</v>
      </c>
    </row>
    <row r="3201" spans="1:7" hidden="1" x14ac:dyDescent="0.25">
      <c r="A3201" t="s">
        <v>660</v>
      </c>
      <c r="B3201">
        <v>4346</v>
      </c>
      <c r="C3201" t="s">
        <v>3869</v>
      </c>
      <c r="D3201" t="s">
        <v>226</v>
      </c>
      <c r="E3201" t="s">
        <v>659</v>
      </c>
      <c r="F3201">
        <v>13.02</v>
      </c>
      <c r="G3201">
        <v>10.31</v>
      </c>
    </row>
    <row r="3202" spans="1:7" hidden="1" x14ac:dyDescent="0.25">
      <c r="A3202" t="s">
        <v>660</v>
      </c>
      <c r="B3202">
        <v>11955</v>
      </c>
      <c r="C3202" t="s">
        <v>3870</v>
      </c>
      <c r="D3202" t="s">
        <v>226</v>
      </c>
      <c r="E3202" t="s">
        <v>659</v>
      </c>
      <c r="F3202">
        <v>5.7</v>
      </c>
      <c r="G3202">
        <v>4.51</v>
      </c>
    </row>
    <row r="3203" spans="1:7" hidden="1" x14ac:dyDescent="0.25">
      <c r="A3203" t="s">
        <v>660</v>
      </c>
      <c r="B3203">
        <v>11960</v>
      </c>
      <c r="C3203" t="s">
        <v>3871</v>
      </c>
      <c r="D3203" t="s">
        <v>226</v>
      </c>
      <c r="E3203" t="s">
        <v>659</v>
      </c>
      <c r="F3203">
        <v>0.19</v>
      </c>
      <c r="G3203">
        <v>0.15</v>
      </c>
    </row>
    <row r="3204" spans="1:7" hidden="1" x14ac:dyDescent="0.25">
      <c r="A3204" t="s">
        <v>660</v>
      </c>
      <c r="B3204">
        <v>4333</v>
      </c>
      <c r="C3204" t="s">
        <v>3872</v>
      </c>
      <c r="D3204" t="s">
        <v>226</v>
      </c>
      <c r="E3204" t="s">
        <v>659</v>
      </c>
      <c r="F3204">
        <v>0.33</v>
      </c>
      <c r="G3204">
        <v>0.26</v>
      </c>
    </row>
    <row r="3205" spans="1:7" hidden="1" x14ac:dyDescent="0.25">
      <c r="A3205" t="s">
        <v>660</v>
      </c>
      <c r="B3205">
        <v>4358</v>
      </c>
      <c r="C3205" t="s">
        <v>3873</v>
      </c>
      <c r="D3205" t="s">
        <v>226</v>
      </c>
      <c r="E3205" t="s">
        <v>659</v>
      </c>
      <c r="F3205">
        <v>2.61</v>
      </c>
      <c r="G3205">
        <v>2.06</v>
      </c>
    </row>
    <row r="3206" spans="1:7" hidden="1" x14ac:dyDescent="0.25">
      <c r="A3206" t="s">
        <v>660</v>
      </c>
      <c r="B3206">
        <v>39435</v>
      </c>
      <c r="C3206" t="s">
        <v>3874</v>
      </c>
      <c r="D3206" t="s">
        <v>226</v>
      </c>
      <c r="E3206" t="s">
        <v>659</v>
      </c>
      <c r="F3206">
        <v>0.13</v>
      </c>
      <c r="G3206">
        <v>0.1</v>
      </c>
    </row>
    <row r="3207" spans="1:7" hidden="1" x14ac:dyDescent="0.25">
      <c r="A3207" t="s">
        <v>660</v>
      </c>
      <c r="B3207">
        <v>39436</v>
      </c>
      <c r="C3207" t="s">
        <v>3875</v>
      </c>
      <c r="D3207" t="s">
        <v>226</v>
      </c>
      <c r="E3207" t="s">
        <v>659</v>
      </c>
      <c r="F3207">
        <v>0.22</v>
      </c>
      <c r="G3207">
        <v>0.17</v>
      </c>
    </row>
    <row r="3208" spans="1:7" hidden="1" x14ac:dyDescent="0.25">
      <c r="A3208" t="s">
        <v>660</v>
      </c>
      <c r="B3208">
        <v>39437</v>
      </c>
      <c r="C3208" t="s">
        <v>3876</v>
      </c>
      <c r="D3208" t="s">
        <v>226</v>
      </c>
      <c r="E3208" t="s">
        <v>659</v>
      </c>
      <c r="F3208">
        <v>0.28999999999999998</v>
      </c>
      <c r="G3208">
        <v>0.23</v>
      </c>
    </row>
    <row r="3209" spans="1:7" hidden="1" x14ac:dyDescent="0.25">
      <c r="A3209" t="s">
        <v>660</v>
      </c>
      <c r="B3209">
        <v>39439</v>
      </c>
      <c r="C3209" t="s">
        <v>3877</v>
      </c>
      <c r="D3209" t="s">
        <v>226</v>
      </c>
      <c r="E3209" t="s">
        <v>659</v>
      </c>
      <c r="F3209">
        <v>0.2</v>
      </c>
      <c r="G3209">
        <v>0.16</v>
      </c>
    </row>
    <row r="3210" spans="1:7" hidden="1" x14ac:dyDescent="0.25">
      <c r="A3210" t="s">
        <v>660</v>
      </c>
      <c r="B3210">
        <v>39440</v>
      </c>
      <c r="C3210" t="s">
        <v>3878</v>
      </c>
      <c r="D3210" t="s">
        <v>226</v>
      </c>
      <c r="E3210" t="s">
        <v>659</v>
      </c>
      <c r="F3210">
        <v>0.26</v>
      </c>
      <c r="G3210">
        <v>0.2</v>
      </c>
    </row>
    <row r="3211" spans="1:7" hidden="1" x14ac:dyDescent="0.25">
      <c r="A3211" t="s">
        <v>660</v>
      </c>
      <c r="B3211">
        <v>39441</v>
      </c>
      <c r="C3211" t="s">
        <v>3879</v>
      </c>
      <c r="D3211" t="s">
        <v>226</v>
      </c>
      <c r="E3211" t="s">
        <v>659</v>
      </c>
      <c r="F3211">
        <v>0.33</v>
      </c>
      <c r="G3211">
        <v>0.26</v>
      </c>
    </row>
    <row r="3212" spans="1:7" hidden="1" x14ac:dyDescent="0.25">
      <c r="A3212" t="s">
        <v>660</v>
      </c>
      <c r="B3212">
        <v>39442</v>
      </c>
      <c r="C3212" t="s">
        <v>3880</v>
      </c>
      <c r="D3212" t="s">
        <v>226</v>
      </c>
      <c r="E3212" t="s">
        <v>659</v>
      </c>
      <c r="F3212">
        <v>0.23</v>
      </c>
      <c r="G3212">
        <v>0.18</v>
      </c>
    </row>
    <row r="3213" spans="1:7" hidden="1" x14ac:dyDescent="0.25">
      <c r="A3213" t="s">
        <v>660</v>
      </c>
      <c r="B3213">
        <v>39443</v>
      </c>
      <c r="C3213" t="s">
        <v>3881</v>
      </c>
      <c r="D3213" t="s">
        <v>226</v>
      </c>
      <c r="E3213" t="s">
        <v>659</v>
      </c>
      <c r="F3213">
        <v>0.31</v>
      </c>
      <c r="G3213">
        <v>0.24</v>
      </c>
    </row>
    <row r="3214" spans="1:7" hidden="1" x14ac:dyDescent="0.25">
      <c r="A3214" t="s">
        <v>660</v>
      </c>
      <c r="B3214">
        <v>4329</v>
      </c>
      <c r="C3214" t="s">
        <v>3882</v>
      </c>
      <c r="D3214" t="s">
        <v>226</v>
      </c>
      <c r="E3214" t="s">
        <v>172</v>
      </c>
      <c r="F3214">
        <v>2.78</v>
      </c>
      <c r="G3214">
        <v>2.2000000000000002</v>
      </c>
    </row>
    <row r="3215" spans="1:7" hidden="1" x14ac:dyDescent="0.25">
      <c r="A3215" t="s">
        <v>660</v>
      </c>
      <c r="B3215">
        <v>436</v>
      </c>
      <c r="C3215" t="s">
        <v>3883</v>
      </c>
      <c r="D3215" t="s">
        <v>226</v>
      </c>
      <c r="E3215" t="s">
        <v>659</v>
      </c>
      <c r="F3215">
        <f>G3215</f>
        <v>12.13</v>
      </c>
      <c r="G3215">
        <v>12.13</v>
      </c>
    </row>
    <row r="3216" spans="1:7" hidden="1" x14ac:dyDescent="0.25">
      <c r="A3216" t="s">
        <v>660</v>
      </c>
      <c r="B3216">
        <v>442</v>
      </c>
      <c r="C3216" t="s">
        <v>3884</v>
      </c>
      <c r="D3216" t="s">
        <v>226</v>
      </c>
      <c r="E3216" t="s">
        <v>659</v>
      </c>
      <c r="F3216">
        <f>G3216</f>
        <v>7.17</v>
      </c>
      <c r="G3216">
        <v>7.17</v>
      </c>
    </row>
    <row r="3217" spans="1:7" hidden="1" x14ac:dyDescent="0.25">
      <c r="A3217" t="s">
        <v>660</v>
      </c>
      <c r="B3217">
        <v>4383</v>
      </c>
      <c r="C3217" t="s">
        <v>3885</v>
      </c>
      <c r="D3217" t="s">
        <v>226</v>
      </c>
      <c r="E3217" t="s">
        <v>659</v>
      </c>
      <c r="F3217">
        <v>25.14</v>
      </c>
      <c r="G3217">
        <v>19.89</v>
      </c>
    </row>
    <row r="3218" spans="1:7" hidden="1" x14ac:dyDescent="0.25">
      <c r="A3218" t="s">
        <v>660</v>
      </c>
      <c r="B3218">
        <v>4344</v>
      </c>
      <c r="C3218" t="s">
        <v>3886</v>
      </c>
      <c r="D3218" t="s">
        <v>226</v>
      </c>
      <c r="E3218" t="s">
        <v>659</v>
      </c>
      <c r="F3218">
        <v>26.34</v>
      </c>
      <c r="G3218">
        <v>20.85</v>
      </c>
    </row>
    <row r="3219" spans="1:7" hidden="1" x14ac:dyDescent="0.25">
      <c r="A3219" t="s">
        <v>660</v>
      </c>
      <c r="B3219">
        <v>4335</v>
      </c>
      <c r="C3219" t="s">
        <v>3887</v>
      </c>
      <c r="D3219" t="s">
        <v>226</v>
      </c>
      <c r="E3219" t="s">
        <v>659</v>
      </c>
      <c r="F3219">
        <v>17.690000000000001</v>
      </c>
      <c r="G3219">
        <v>14</v>
      </c>
    </row>
    <row r="3220" spans="1:7" hidden="1" x14ac:dyDescent="0.25">
      <c r="A3220" t="s">
        <v>660</v>
      </c>
      <c r="B3220">
        <v>4334</v>
      </c>
      <c r="C3220" t="s">
        <v>3888</v>
      </c>
      <c r="D3220" t="s">
        <v>226</v>
      </c>
      <c r="E3220" t="s">
        <v>659</v>
      </c>
      <c r="F3220">
        <v>24.27</v>
      </c>
      <c r="G3220">
        <v>19.2</v>
      </c>
    </row>
    <row r="3221" spans="1:7" hidden="1" x14ac:dyDescent="0.25">
      <c r="A3221" t="s">
        <v>660</v>
      </c>
      <c r="B3221">
        <v>11953</v>
      </c>
      <c r="C3221" t="s">
        <v>3889</v>
      </c>
      <c r="D3221" t="s">
        <v>226</v>
      </c>
      <c r="E3221" t="s">
        <v>659</v>
      </c>
      <c r="F3221">
        <v>4.18</v>
      </c>
      <c r="G3221">
        <v>3.3</v>
      </c>
    </row>
    <row r="3222" spans="1:7" hidden="1" x14ac:dyDescent="0.25">
      <c r="A3222" t="s">
        <v>660</v>
      </c>
      <c r="B3222">
        <v>4343</v>
      </c>
      <c r="C3222" t="s">
        <v>3890</v>
      </c>
      <c r="D3222" t="s">
        <v>226</v>
      </c>
      <c r="E3222" t="s">
        <v>659</v>
      </c>
      <c r="F3222">
        <v>5.97</v>
      </c>
      <c r="G3222">
        <v>4.72</v>
      </c>
    </row>
    <row r="3223" spans="1:7" hidden="1" x14ac:dyDescent="0.25">
      <c r="A3223" t="s">
        <v>660</v>
      </c>
      <c r="B3223">
        <v>430</v>
      </c>
      <c r="C3223" t="s">
        <v>3891</v>
      </c>
      <c r="D3223" t="s">
        <v>226</v>
      </c>
      <c r="E3223" t="s">
        <v>659</v>
      </c>
      <c r="F3223">
        <f t="shared" ref="F3223:F3232" si="29">G3223</f>
        <v>10.85</v>
      </c>
      <c r="G3223">
        <v>10.85</v>
      </c>
    </row>
    <row r="3224" spans="1:7" hidden="1" x14ac:dyDescent="0.25">
      <c r="A3224" t="s">
        <v>660</v>
      </c>
      <c r="B3224">
        <v>441</v>
      </c>
      <c r="C3224" t="s">
        <v>3892</v>
      </c>
      <c r="D3224" t="s">
        <v>226</v>
      </c>
      <c r="E3224" t="s">
        <v>659</v>
      </c>
      <c r="F3224">
        <f t="shared" si="29"/>
        <v>11.94</v>
      </c>
      <c r="G3224">
        <v>11.94</v>
      </c>
    </row>
    <row r="3225" spans="1:7" hidden="1" x14ac:dyDescent="0.25">
      <c r="A3225" t="s">
        <v>660</v>
      </c>
      <c r="B3225">
        <v>431</v>
      </c>
      <c r="C3225" t="s">
        <v>3893</v>
      </c>
      <c r="D3225" t="s">
        <v>226</v>
      </c>
      <c r="E3225" t="s">
        <v>659</v>
      </c>
      <c r="F3225">
        <f t="shared" si="29"/>
        <v>14.42</v>
      </c>
      <c r="G3225">
        <v>14.42</v>
      </c>
    </row>
    <row r="3226" spans="1:7" hidden="1" x14ac:dyDescent="0.25">
      <c r="A3226" t="s">
        <v>660</v>
      </c>
      <c r="B3226">
        <v>432</v>
      </c>
      <c r="C3226" t="s">
        <v>3894</v>
      </c>
      <c r="D3226" t="s">
        <v>226</v>
      </c>
      <c r="E3226" t="s">
        <v>659</v>
      </c>
      <c r="F3226">
        <f t="shared" si="29"/>
        <v>15.91</v>
      </c>
      <c r="G3226">
        <v>15.91</v>
      </c>
    </row>
    <row r="3227" spans="1:7" hidden="1" x14ac:dyDescent="0.25">
      <c r="A3227" t="s">
        <v>660</v>
      </c>
      <c r="B3227">
        <v>429</v>
      </c>
      <c r="C3227" t="s">
        <v>3895</v>
      </c>
      <c r="D3227" t="s">
        <v>226</v>
      </c>
      <c r="E3227" t="s">
        <v>659</v>
      </c>
      <c r="F3227">
        <f t="shared" si="29"/>
        <v>21.45</v>
      </c>
      <c r="G3227">
        <v>21.45</v>
      </c>
    </row>
    <row r="3228" spans="1:7" hidden="1" x14ac:dyDescent="0.25">
      <c r="A3228" t="s">
        <v>660</v>
      </c>
      <c r="B3228">
        <v>439</v>
      </c>
      <c r="C3228" t="s">
        <v>3896</v>
      </c>
      <c r="D3228" t="s">
        <v>226</v>
      </c>
      <c r="E3228" t="s">
        <v>659</v>
      </c>
      <c r="F3228">
        <f t="shared" si="29"/>
        <v>18.28</v>
      </c>
      <c r="G3228">
        <v>18.28</v>
      </c>
    </row>
    <row r="3229" spans="1:7" hidden="1" x14ac:dyDescent="0.25">
      <c r="A3229" t="s">
        <v>660</v>
      </c>
      <c r="B3229">
        <v>433</v>
      </c>
      <c r="C3229" t="s">
        <v>3897</v>
      </c>
      <c r="D3229" t="s">
        <v>226</v>
      </c>
      <c r="E3229" t="s">
        <v>659</v>
      </c>
      <c r="F3229">
        <f t="shared" si="29"/>
        <v>21.34</v>
      </c>
      <c r="G3229">
        <v>21.34</v>
      </c>
    </row>
    <row r="3230" spans="1:7" hidden="1" x14ac:dyDescent="0.25">
      <c r="A3230" t="s">
        <v>660</v>
      </c>
      <c r="B3230">
        <v>437</v>
      </c>
      <c r="C3230" t="s">
        <v>3898</v>
      </c>
      <c r="D3230" t="s">
        <v>226</v>
      </c>
      <c r="E3230" t="s">
        <v>659</v>
      </c>
      <c r="F3230">
        <f t="shared" si="29"/>
        <v>28.35</v>
      </c>
      <c r="G3230">
        <v>28.35</v>
      </c>
    </row>
    <row r="3231" spans="1:7" hidden="1" x14ac:dyDescent="0.25">
      <c r="A3231" t="s">
        <v>660</v>
      </c>
      <c r="B3231">
        <v>11790</v>
      </c>
      <c r="C3231" t="s">
        <v>3899</v>
      </c>
      <c r="D3231" t="s">
        <v>226</v>
      </c>
      <c r="E3231" t="s">
        <v>659</v>
      </c>
      <c r="F3231">
        <f t="shared" si="29"/>
        <v>32.159999999999997</v>
      </c>
      <c r="G3231">
        <v>32.159999999999997</v>
      </c>
    </row>
    <row r="3232" spans="1:7" hidden="1" x14ac:dyDescent="0.25">
      <c r="A3232" t="s">
        <v>660</v>
      </c>
      <c r="B3232">
        <v>428</v>
      </c>
      <c r="C3232" t="s">
        <v>3900</v>
      </c>
      <c r="D3232" t="s">
        <v>226</v>
      </c>
      <c r="E3232" t="s">
        <v>172</v>
      </c>
      <c r="F3232">
        <f t="shared" si="29"/>
        <v>34.97</v>
      </c>
      <c r="G3232">
        <v>34.97</v>
      </c>
    </row>
    <row r="3233" spans="1:7" hidden="1" x14ac:dyDescent="0.25">
      <c r="A3233" t="s">
        <v>660</v>
      </c>
      <c r="B3233">
        <v>4351</v>
      </c>
      <c r="C3233" t="s">
        <v>3901</v>
      </c>
      <c r="D3233" t="s">
        <v>226</v>
      </c>
      <c r="E3233" t="s">
        <v>659</v>
      </c>
      <c r="F3233">
        <v>21.41</v>
      </c>
      <c r="G3233">
        <v>16.940000000000001</v>
      </c>
    </row>
    <row r="3234" spans="1:7" hidden="1" x14ac:dyDescent="0.25">
      <c r="A3234" t="s">
        <v>660</v>
      </c>
      <c r="B3234">
        <v>4384</v>
      </c>
      <c r="C3234" t="s">
        <v>3902</v>
      </c>
      <c r="D3234" t="s">
        <v>226</v>
      </c>
      <c r="E3234" t="s">
        <v>659</v>
      </c>
      <c r="F3234">
        <v>28.88</v>
      </c>
      <c r="G3234">
        <v>22.86</v>
      </c>
    </row>
    <row r="3235" spans="1:7" hidden="1" x14ac:dyDescent="0.25">
      <c r="A3235" t="s">
        <v>660</v>
      </c>
      <c r="B3235">
        <v>11054</v>
      </c>
      <c r="C3235" t="s">
        <v>3903</v>
      </c>
      <c r="D3235" t="s">
        <v>226</v>
      </c>
      <c r="E3235" t="s">
        <v>659</v>
      </c>
      <c r="F3235">
        <v>0.04</v>
      </c>
      <c r="G3235">
        <v>0.05</v>
      </c>
    </row>
    <row r="3236" spans="1:7" hidden="1" x14ac:dyDescent="0.25">
      <c r="A3236" t="s">
        <v>660</v>
      </c>
      <c r="B3236">
        <v>11055</v>
      </c>
      <c r="C3236" t="s">
        <v>3904</v>
      </c>
      <c r="D3236" t="s">
        <v>226</v>
      </c>
      <c r="E3236" t="s">
        <v>659</v>
      </c>
      <c r="F3236">
        <v>7.0000000000000007E-2</v>
      </c>
      <c r="G3236">
        <v>0.08</v>
      </c>
    </row>
    <row r="3237" spans="1:7" hidden="1" x14ac:dyDescent="0.25">
      <c r="A3237" t="s">
        <v>660</v>
      </c>
      <c r="B3237">
        <v>11056</v>
      </c>
      <c r="C3237" t="s">
        <v>3905</v>
      </c>
      <c r="D3237" t="s">
        <v>226</v>
      </c>
      <c r="E3237" t="s">
        <v>659</v>
      </c>
      <c r="F3237">
        <v>0.08</v>
      </c>
      <c r="G3237">
        <v>0.09</v>
      </c>
    </row>
    <row r="3238" spans="1:7" hidden="1" x14ac:dyDescent="0.25">
      <c r="A3238" t="s">
        <v>660</v>
      </c>
      <c r="B3238">
        <v>11057</v>
      </c>
      <c r="C3238" t="s">
        <v>3906</v>
      </c>
      <c r="D3238" t="s">
        <v>226</v>
      </c>
      <c r="E3238" t="s">
        <v>659</v>
      </c>
      <c r="F3238">
        <v>0.17</v>
      </c>
      <c r="G3238">
        <v>0.18</v>
      </c>
    </row>
    <row r="3239" spans="1:7" hidden="1" x14ac:dyDescent="0.25">
      <c r="A3239" t="s">
        <v>660</v>
      </c>
      <c r="B3239">
        <v>11059</v>
      </c>
      <c r="C3239" t="s">
        <v>3907</v>
      </c>
      <c r="D3239" t="s">
        <v>226</v>
      </c>
      <c r="E3239" t="s">
        <v>659</v>
      </c>
      <c r="F3239">
        <v>0.33</v>
      </c>
      <c r="G3239">
        <v>0.36</v>
      </c>
    </row>
    <row r="3240" spans="1:7" hidden="1" x14ac:dyDescent="0.25">
      <c r="A3240" t="s">
        <v>660</v>
      </c>
      <c r="B3240">
        <v>11058</v>
      </c>
      <c r="C3240" t="s">
        <v>3908</v>
      </c>
      <c r="D3240" t="s">
        <v>226</v>
      </c>
      <c r="E3240" t="s">
        <v>659</v>
      </c>
      <c r="F3240">
        <v>0.43</v>
      </c>
      <c r="G3240">
        <v>0.46</v>
      </c>
    </row>
    <row r="3241" spans="1:7" hidden="1" x14ac:dyDescent="0.25">
      <c r="A3241" t="s">
        <v>660</v>
      </c>
      <c r="B3241">
        <v>4320</v>
      </c>
      <c r="C3241" t="s">
        <v>3909</v>
      </c>
      <c r="D3241" t="s">
        <v>226</v>
      </c>
      <c r="E3241" t="s">
        <v>659</v>
      </c>
      <c r="F3241">
        <v>3.43</v>
      </c>
      <c r="G3241">
        <v>3.73</v>
      </c>
    </row>
    <row r="3242" spans="1:7" hidden="1" x14ac:dyDescent="0.25">
      <c r="A3242" t="s">
        <v>660</v>
      </c>
      <c r="B3242">
        <v>4318</v>
      </c>
      <c r="C3242" t="s">
        <v>3910</v>
      </c>
      <c r="D3242" t="s">
        <v>226</v>
      </c>
      <c r="E3242" t="s">
        <v>659</v>
      </c>
      <c r="F3242">
        <v>1.67</v>
      </c>
      <c r="G3242">
        <v>1.82</v>
      </c>
    </row>
    <row r="3243" spans="1:7" hidden="1" x14ac:dyDescent="0.25">
      <c r="A3243" t="s">
        <v>660</v>
      </c>
      <c r="B3243">
        <v>4380</v>
      </c>
      <c r="C3243" t="s">
        <v>3911</v>
      </c>
      <c r="D3243" t="s">
        <v>226</v>
      </c>
      <c r="E3243" t="s">
        <v>659</v>
      </c>
      <c r="F3243">
        <v>1.44</v>
      </c>
      <c r="G3243">
        <v>1.57</v>
      </c>
    </row>
    <row r="3244" spans="1:7" hidden="1" x14ac:dyDescent="0.25">
      <c r="A3244" t="s">
        <v>660</v>
      </c>
      <c r="B3244">
        <v>4299</v>
      </c>
      <c r="C3244" t="s">
        <v>3912</v>
      </c>
      <c r="D3244" t="s">
        <v>226</v>
      </c>
      <c r="E3244" t="s">
        <v>172</v>
      </c>
      <c r="F3244">
        <v>1.36</v>
      </c>
      <c r="G3244">
        <v>1.48</v>
      </c>
    </row>
    <row r="3245" spans="1:7" hidden="1" x14ac:dyDescent="0.25">
      <c r="A3245" t="s">
        <v>660</v>
      </c>
      <c r="B3245">
        <v>4304</v>
      </c>
      <c r="C3245" t="s">
        <v>3913</v>
      </c>
      <c r="D3245" t="s">
        <v>226</v>
      </c>
      <c r="E3245" t="s">
        <v>659</v>
      </c>
      <c r="F3245">
        <v>1.85</v>
      </c>
      <c r="G3245">
        <v>2.02</v>
      </c>
    </row>
    <row r="3246" spans="1:7" hidden="1" x14ac:dyDescent="0.25">
      <c r="A3246" t="s">
        <v>660</v>
      </c>
      <c r="B3246">
        <v>4305</v>
      </c>
      <c r="C3246" t="s">
        <v>3914</v>
      </c>
      <c r="D3246" t="s">
        <v>226</v>
      </c>
      <c r="E3246" t="s">
        <v>659</v>
      </c>
      <c r="F3246">
        <v>2.15</v>
      </c>
      <c r="G3246">
        <v>2.34</v>
      </c>
    </row>
    <row r="3247" spans="1:7" hidden="1" x14ac:dyDescent="0.25">
      <c r="A3247" t="s">
        <v>660</v>
      </c>
      <c r="B3247">
        <v>4306</v>
      </c>
      <c r="C3247" t="s">
        <v>3915</v>
      </c>
      <c r="D3247" t="s">
        <v>226</v>
      </c>
      <c r="E3247" t="s">
        <v>659</v>
      </c>
      <c r="F3247">
        <v>2.5</v>
      </c>
      <c r="G3247">
        <v>2.72</v>
      </c>
    </row>
    <row r="3248" spans="1:7" hidden="1" x14ac:dyDescent="0.25">
      <c r="A3248" t="s">
        <v>660</v>
      </c>
      <c r="B3248">
        <v>4308</v>
      </c>
      <c r="C3248" t="s">
        <v>3916</v>
      </c>
      <c r="D3248" t="s">
        <v>226</v>
      </c>
      <c r="E3248" t="s">
        <v>659</v>
      </c>
      <c r="F3248">
        <v>5.18</v>
      </c>
      <c r="G3248">
        <v>5.63</v>
      </c>
    </row>
    <row r="3249" spans="1:7" hidden="1" x14ac:dyDescent="0.25">
      <c r="A3249" t="s">
        <v>660</v>
      </c>
      <c r="B3249">
        <v>4302</v>
      </c>
      <c r="C3249" t="s">
        <v>3917</v>
      </c>
      <c r="D3249" t="s">
        <v>226</v>
      </c>
      <c r="E3249" t="s">
        <v>659</v>
      </c>
      <c r="F3249">
        <v>3.88</v>
      </c>
      <c r="G3249">
        <v>4.22</v>
      </c>
    </row>
    <row r="3250" spans="1:7" hidden="1" x14ac:dyDescent="0.25">
      <c r="A3250" t="s">
        <v>660</v>
      </c>
      <c r="B3250">
        <v>4300</v>
      </c>
      <c r="C3250" t="s">
        <v>3918</v>
      </c>
      <c r="D3250" t="s">
        <v>226</v>
      </c>
      <c r="E3250" t="s">
        <v>659</v>
      </c>
      <c r="F3250">
        <v>0.92</v>
      </c>
      <c r="G3250">
        <v>1.01</v>
      </c>
    </row>
    <row r="3251" spans="1:7" hidden="1" x14ac:dyDescent="0.25">
      <c r="A3251" t="s">
        <v>660</v>
      </c>
      <c r="B3251">
        <v>4301</v>
      </c>
      <c r="C3251" t="s">
        <v>3919</v>
      </c>
      <c r="D3251" t="s">
        <v>226</v>
      </c>
      <c r="E3251" t="s">
        <v>659</v>
      </c>
      <c r="F3251">
        <v>1.1299999999999999</v>
      </c>
      <c r="G3251">
        <v>1.23</v>
      </c>
    </row>
    <row r="3252" spans="1:7" hidden="1" x14ac:dyDescent="0.25">
      <c r="A3252" t="s">
        <v>660</v>
      </c>
      <c r="B3252">
        <v>40547</v>
      </c>
      <c r="C3252" t="s">
        <v>3920</v>
      </c>
      <c r="D3252" t="s">
        <v>2748</v>
      </c>
      <c r="E3252" t="s">
        <v>659</v>
      </c>
      <c r="F3252">
        <v>35.1</v>
      </c>
      <c r="G3252">
        <v>27.77</v>
      </c>
    </row>
    <row r="3253" spans="1:7" hidden="1" x14ac:dyDescent="0.25">
      <c r="A3253" t="s">
        <v>660</v>
      </c>
      <c r="B3253">
        <v>11962</v>
      </c>
      <c r="C3253" t="s">
        <v>3921</v>
      </c>
      <c r="D3253" t="s">
        <v>226</v>
      </c>
      <c r="E3253" t="s">
        <v>659</v>
      </c>
      <c r="F3253">
        <v>0.28999999999999998</v>
      </c>
      <c r="G3253">
        <v>0.22</v>
      </c>
    </row>
    <row r="3254" spans="1:7" hidden="1" x14ac:dyDescent="0.25">
      <c r="A3254" t="s">
        <v>660</v>
      </c>
      <c r="B3254">
        <v>4332</v>
      </c>
      <c r="C3254" t="s">
        <v>3922</v>
      </c>
      <c r="D3254" t="s">
        <v>226</v>
      </c>
      <c r="E3254" t="s">
        <v>659</v>
      </c>
      <c r="F3254">
        <v>1.4</v>
      </c>
      <c r="G3254">
        <v>1.1000000000000001</v>
      </c>
    </row>
    <row r="3255" spans="1:7" hidden="1" x14ac:dyDescent="0.25">
      <c r="A3255" t="s">
        <v>660</v>
      </c>
      <c r="B3255">
        <v>4331</v>
      </c>
      <c r="C3255" t="s">
        <v>3923</v>
      </c>
      <c r="D3255" t="s">
        <v>226</v>
      </c>
      <c r="E3255" t="s">
        <v>659</v>
      </c>
      <c r="F3255">
        <v>5.26</v>
      </c>
      <c r="G3255">
        <v>4.17</v>
      </c>
    </row>
    <row r="3256" spans="1:7" hidden="1" x14ac:dyDescent="0.25">
      <c r="A3256" t="s">
        <v>660</v>
      </c>
      <c r="B3256">
        <v>4336</v>
      </c>
      <c r="C3256" t="s">
        <v>3924</v>
      </c>
      <c r="D3256" t="s">
        <v>226</v>
      </c>
      <c r="E3256" t="s">
        <v>659</v>
      </c>
      <c r="F3256">
        <v>6.74</v>
      </c>
      <c r="G3256">
        <v>5.33</v>
      </c>
    </row>
    <row r="3257" spans="1:7" hidden="1" x14ac:dyDescent="0.25">
      <c r="A3257" t="s">
        <v>660</v>
      </c>
      <c r="B3257">
        <v>11948</v>
      </c>
      <c r="C3257" t="s">
        <v>3925</v>
      </c>
      <c r="D3257" t="s">
        <v>226</v>
      </c>
      <c r="E3257" t="s">
        <v>659</v>
      </c>
      <c r="F3257">
        <v>0.87</v>
      </c>
      <c r="G3257">
        <v>0.68</v>
      </c>
    </row>
    <row r="3258" spans="1:7" hidden="1" x14ac:dyDescent="0.25">
      <c r="A3258" t="s">
        <v>660</v>
      </c>
      <c r="B3258">
        <v>4382</v>
      </c>
      <c r="C3258" t="s">
        <v>3926</v>
      </c>
      <c r="D3258" t="s">
        <v>226</v>
      </c>
      <c r="E3258" t="s">
        <v>659</v>
      </c>
      <c r="F3258">
        <v>1.45</v>
      </c>
      <c r="G3258">
        <v>1.1399999999999999</v>
      </c>
    </row>
    <row r="3259" spans="1:7" hidden="1" x14ac:dyDescent="0.25">
      <c r="A3259" t="s">
        <v>660</v>
      </c>
      <c r="B3259">
        <v>4354</v>
      </c>
      <c r="C3259" t="s">
        <v>3927</v>
      </c>
      <c r="D3259" t="s">
        <v>226</v>
      </c>
      <c r="E3259" t="s">
        <v>659</v>
      </c>
      <c r="F3259">
        <v>60.43</v>
      </c>
      <c r="G3259">
        <v>47.82</v>
      </c>
    </row>
    <row r="3260" spans="1:7" hidden="1" x14ac:dyDescent="0.25">
      <c r="A3260" t="s">
        <v>660</v>
      </c>
      <c r="B3260">
        <v>40839</v>
      </c>
      <c r="C3260" t="s">
        <v>3928</v>
      </c>
      <c r="D3260" t="s">
        <v>2748</v>
      </c>
      <c r="E3260" t="s">
        <v>659</v>
      </c>
      <c r="F3260">
        <v>145.41</v>
      </c>
      <c r="G3260">
        <v>115.07</v>
      </c>
    </row>
    <row r="3261" spans="1:7" hidden="1" x14ac:dyDescent="0.25">
      <c r="A3261" t="s">
        <v>660</v>
      </c>
      <c r="B3261">
        <v>40552</v>
      </c>
      <c r="C3261" t="s">
        <v>3929</v>
      </c>
      <c r="D3261" t="s">
        <v>2748</v>
      </c>
      <c r="E3261" t="s">
        <v>659</v>
      </c>
      <c r="F3261">
        <v>60.17</v>
      </c>
      <c r="G3261">
        <v>47.61</v>
      </c>
    </row>
    <row r="3262" spans="1:7" hidden="1" x14ac:dyDescent="0.25">
      <c r="A3262" t="s">
        <v>660</v>
      </c>
      <c r="B3262">
        <v>40549</v>
      </c>
      <c r="C3262" t="s">
        <v>3930</v>
      </c>
      <c r="D3262" t="s">
        <v>2748</v>
      </c>
      <c r="E3262" t="s">
        <v>659</v>
      </c>
      <c r="F3262">
        <v>238.18</v>
      </c>
      <c r="G3262">
        <v>188.49</v>
      </c>
    </row>
    <row r="3263" spans="1:7" hidden="1" x14ac:dyDescent="0.25">
      <c r="A3263" t="s">
        <v>660</v>
      </c>
      <c r="B3263">
        <v>4385</v>
      </c>
      <c r="C3263" t="s">
        <v>3931</v>
      </c>
      <c r="D3263" t="s">
        <v>3932</v>
      </c>
      <c r="E3263" t="s">
        <v>659</v>
      </c>
      <c r="F3263" s="538">
        <v>4736.51</v>
      </c>
      <c r="G3263" s="538">
        <v>2902.64</v>
      </c>
    </row>
    <row r="3264" spans="1:7" hidden="1" x14ac:dyDescent="0.25">
      <c r="A3264" t="s">
        <v>660</v>
      </c>
      <c r="B3264">
        <v>45236</v>
      </c>
      <c r="C3264" t="s">
        <v>3933</v>
      </c>
      <c r="D3264" t="s">
        <v>708</v>
      </c>
      <c r="E3264" t="s">
        <v>659</v>
      </c>
      <c r="F3264">
        <v>22.9</v>
      </c>
      <c r="G3264">
        <v>21.85</v>
      </c>
    </row>
    <row r="3265" spans="1:7" hidden="1" x14ac:dyDescent="0.25">
      <c r="A3265" t="s">
        <v>660</v>
      </c>
      <c r="B3265">
        <v>20078</v>
      </c>
      <c r="C3265" t="s">
        <v>3934</v>
      </c>
      <c r="D3265" t="s">
        <v>226</v>
      </c>
      <c r="E3265" t="s">
        <v>659</v>
      </c>
      <c r="F3265">
        <v>30.42</v>
      </c>
      <c r="G3265">
        <v>25.08</v>
      </c>
    </row>
    <row r="3266" spans="1:7" hidden="1" x14ac:dyDescent="0.25">
      <c r="A3266" t="s">
        <v>660</v>
      </c>
      <c r="B3266">
        <v>39897</v>
      </c>
      <c r="C3266" t="s">
        <v>3935</v>
      </c>
      <c r="D3266" t="s">
        <v>226</v>
      </c>
      <c r="E3266" t="s">
        <v>659</v>
      </c>
      <c r="F3266">
        <f>G3266</f>
        <v>56.57</v>
      </c>
      <c r="G3266">
        <v>56.57</v>
      </c>
    </row>
    <row r="3267" spans="1:7" hidden="1" x14ac:dyDescent="0.25">
      <c r="A3267" t="s">
        <v>660</v>
      </c>
      <c r="B3267">
        <v>118</v>
      </c>
      <c r="C3267" t="s">
        <v>3936</v>
      </c>
      <c r="D3267" t="s">
        <v>226</v>
      </c>
      <c r="E3267" t="s">
        <v>659</v>
      </c>
      <c r="F3267">
        <v>64.319999999999993</v>
      </c>
      <c r="G3267">
        <v>53.04</v>
      </c>
    </row>
    <row r="3268" spans="1:7" hidden="1" x14ac:dyDescent="0.25">
      <c r="A3268" t="s">
        <v>660</v>
      </c>
      <c r="B3268">
        <v>4396</v>
      </c>
      <c r="C3268" t="s">
        <v>3937</v>
      </c>
      <c r="D3268" t="s">
        <v>498</v>
      </c>
      <c r="E3268" t="s">
        <v>659</v>
      </c>
      <c r="F3268">
        <v>284.58</v>
      </c>
      <c r="G3268">
        <v>221.21</v>
      </c>
    </row>
    <row r="3269" spans="1:7" hidden="1" x14ac:dyDescent="0.25">
      <c r="A3269" t="s">
        <v>660</v>
      </c>
      <c r="B3269">
        <v>36881</v>
      </c>
      <c r="C3269" t="s">
        <v>3938</v>
      </c>
      <c r="D3269" t="s">
        <v>498</v>
      </c>
      <c r="E3269" t="s">
        <v>659</v>
      </c>
      <c r="F3269">
        <v>207.76</v>
      </c>
      <c r="G3269">
        <v>161.5</v>
      </c>
    </row>
    <row r="3270" spans="1:7" hidden="1" x14ac:dyDescent="0.25">
      <c r="A3270" t="s">
        <v>660</v>
      </c>
      <c r="B3270">
        <v>4397</v>
      </c>
      <c r="C3270" t="s">
        <v>3939</v>
      </c>
      <c r="D3270" t="s">
        <v>498</v>
      </c>
      <c r="E3270" t="s">
        <v>659</v>
      </c>
      <c r="F3270">
        <v>289.33</v>
      </c>
      <c r="G3270">
        <v>224.9</v>
      </c>
    </row>
    <row r="3271" spans="1:7" hidden="1" x14ac:dyDescent="0.25">
      <c r="A3271" t="s">
        <v>660</v>
      </c>
      <c r="B3271">
        <v>36882</v>
      </c>
      <c r="C3271" t="s">
        <v>3940</v>
      </c>
      <c r="D3271" t="s">
        <v>498</v>
      </c>
      <c r="E3271" t="s">
        <v>659</v>
      </c>
      <c r="F3271">
        <v>211.85</v>
      </c>
      <c r="G3271">
        <v>164.68</v>
      </c>
    </row>
    <row r="3272" spans="1:7" hidden="1" x14ac:dyDescent="0.25">
      <c r="A3272" t="s">
        <v>807</v>
      </c>
      <c r="B3272">
        <v>4751</v>
      </c>
      <c r="C3272" t="s">
        <v>3941</v>
      </c>
      <c r="D3272" t="s">
        <v>809</v>
      </c>
      <c r="E3272" t="s">
        <v>659</v>
      </c>
      <c r="F3272">
        <v>11.13</v>
      </c>
      <c r="G3272">
        <v>12.11</v>
      </c>
    </row>
    <row r="3273" spans="1:7" hidden="1" x14ac:dyDescent="0.25">
      <c r="A3273" t="s">
        <v>807</v>
      </c>
      <c r="B3273">
        <v>41066</v>
      </c>
      <c r="C3273" t="s">
        <v>3942</v>
      </c>
      <c r="D3273" t="s">
        <v>811</v>
      </c>
      <c r="E3273" t="s">
        <v>659</v>
      </c>
      <c r="F3273" s="538">
        <v>2448.9499999999998</v>
      </c>
      <c r="G3273" s="538">
        <v>2664.2</v>
      </c>
    </row>
    <row r="3274" spans="1:7" hidden="1" x14ac:dyDescent="0.25">
      <c r="A3274" t="s">
        <v>660</v>
      </c>
      <c r="B3274">
        <v>39604</v>
      </c>
      <c r="C3274" t="s">
        <v>3943</v>
      </c>
      <c r="D3274" t="s">
        <v>226</v>
      </c>
      <c r="E3274" t="s">
        <v>659</v>
      </c>
      <c r="F3274">
        <v>12.27</v>
      </c>
      <c r="G3274">
        <v>14.53</v>
      </c>
    </row>
    <row r="3275" spans="1:7" hidden="1" x14ac:dyDescent="0.25">
      <c r="A3275" t="s">
        <v>660</v>
      </c>
      <c r="B3275">
        <v>39605</v>
      </c>
      <c r="C3275" t="s">
        <v>3944</v>
      </c>
      <c r="D3275" t="s">
        <v>226</v>
      </c>
      <c r="E3275" t="s">
        <v>659</v>
      </c>
      <c r="F3275">
        <v>13.33</v>
      </c>
      <c r="G3275">
        <v>15.79</v>
      </c>
    </row>
    <row r="3276" spans="1:7" hidden="1" x14ac:dyDescent="0.25">
      <c r="A3276" t="s">
        <v>660</v>
      </c>
      <c r="B3276">
        <v>39606</v>
      </c>
      <c r="C3276" t="s">
        <v>3945</v>
      </c>
      <c r="D3276" t="s">
        <v>226</v>
      </c>
      <c r="E3276" t="s">
        <v>659</v>
      </c>
      <c r="F3276">
        <v>23.35</v>
      </c>
      <c r="G3276">
        <v>27.65</v>
      </c>
    </row>
    <row r="3277" spans="1:7" hidden="1" x14ac:dyDescent="0.25">
      <c r="A3277" t="s">
        <v>660</v>
      </c>
      <c r="B3277">
        <v>39607</v>
      </c>
      <c r="C3277" t="s">
        <v>3946</v>
      </c>
      <c r="D3277" t="s">
        <v>226</v>
      </c>
      <c r="E3277" t="s">
        <v>659</v>
      </c>
      <c r="F3277">
        <v>31.59</v>
      </c>
      <c r="G3277">
        <v>37.409999999999997</v>
      </c>
    </row>
    <row r="3278" spans="1:7" hidden="1" x14ac:dyDescent="0.25">
      <c r="A3278" t="s">
        <v>660</v>
      </c>
      <c r="B3278">
        <v>39594</v>
      </c>
      <c r="C3278" t="s">
        <v>3947</v>
      </c>
      <c r="D3278" t="s">
        <v>226</v>
      </c>
      <c r="E3278" t="s">
        <v>172</v>
      </c>
      <c r="F3278">
        <v>340.99</v>
      </c>
      <c r="G3278">
        <v>340.87</v>
      </c>
    </row>
    <row r="3279" spans="1:7" hidden="1" x14ac:dyDescent="0.25">
      <c r="A3279" t="s">
        <v>660</v>
      </c>
      <c r="B3279">
        <v>39596</v>
      </c>
      <c r="C3279" t="s">
        <v>3948</v>
      </c>
      <c r="D3279" t="s">
        <v>226</v>
      </c>
      <c r="E3279" t="s">
        <v>659</v>
      </c>
      <c r="F3279">
        <v>913.2</v>
      </c>
      <c r="G3279">
        <v>912.88</v>
      </c>
    </row>
    <row r="3280" spans="1:7" hidden="1" x14ac:dyDescent="0.25">
      <c r="A3280" t="s">
        <v>660</v>
      </c>
      <c r="B3280">
        <v>39595</v>
      </c>
      <c r="C3280" t="s">
        <v>3949</v>
      </c>
      <c r="D3280" t="s">
        <v>226</v>
      </c>
      <c r="E3280" t="s">
        <v>659</v>
      </c>
      <c r="F3280" s="538">
        <v>2051.83</v>
      </c>
      <c r="G3280" s="538">
        <v>2051.11</v>
      </c>
    </row>
    <row r="3281" spans="1:7" hidden="1" x14ac:dyDescent="0.25">
      <c r="A3281" t="s">
        <v>660</v>
      </c>
      <c r="B3281">
        <v>39597</v>
      </c>
      <c r="C3281" t="s">
        <v>3950</v>
      </c>
      <c r="D3281" t="s">
        <v>226</v>
      </c>
      <c r="E3281" t="s">
        <v>659</v>
      </c>
      <c r="F3281" s="538">
        <v>3218.57</v>
      </c>
      <c r="G3281" s="538">
        <v>3217.44</v>
      </c>
    </row>
    <row r="3282" spans="1:7" hidden="1" x14ac:dyDescent="0.25">
      <c r="A3282" t="s">
        <v>660</v>
      </c>
      <c r="B3282">
        <v>10731</v>
      </c>
      <c r="C3282" t="s">
        <v>3951</v>
      </c>
      <c r="D3282" t="s">
        <v>498</v>
      </c>
      <c r="E3282" t="s">
        <v>172</v>
      </c>
      <c r="F3282">
        <f>G3282</f>
        <v>45</v>
      </c>
      <c r="G3282">
        <v>45</v>
      </c>
    </row>
    <row r="3283" spans="1:7" hidden="1" x14ac:dyDescent="0.25">
      <c r="A3283" t="s">
        <v>660</v>
      </c>
      <c r="B3283">
        <v>4704</v>
      </c>
      <c r="C3283" t="s">
        <v>3952</v>
      </c>
      <c r="D3283" t="s">
        <v>498</v>
      </c>
      <c r="E3283" t="s">
        <v>659</v>
      </c>
      <c r="F3283">
        <f>G3283</f>
        <v>40.61</v>
      </c>
      <c r="G3283">
        <v>40.61</v>
      </c>
    </row>
    <row r="3284" spans="1:7" hidden="1" x14ac:dyDescent="0.25">
      <c r="A3284" t="s">
        <v>660</v>
      </c>
      <c r="B3284">
        <v>10730</v>
      </c>
      <c r="C3284" t="s">
        <v>3953</v>
      </c>
      <c r="D3284" t="s">
        <v>498</v>
      </c>
      <c r="E3284" t="s">
        <v>659</v>
      </c>
      <c r="F3284">
        <f>G3284</f>
        <v>43.51</v>
      </c>
      <c r="G3284">
        <v>43.51</v>
      </c>
    </row>
    <row r="3285" spans="1:7" hidden="1" x14ac:dyDescent="0.25">
      <c r="A3285" t="s">
        <v>660</v>
      </c>
      <c r="B3285">
        <v>4720</v>
      </c>
      <c r="C3285" t="s">
        <v>3954</v>
      </c>
      <c r="D3285" t="s">
        <v>806</v>
      </c>
      <c r="E3285" t="s">
        <v>659</v>
      </c>
      <c r="F3285">
        <v>146.53</v>
      </c>
      <c r="G3285">
        <v>89.8</v>
      </c>
    </row>
    <row r="3286" spans="1:7" hidden="1" x14ac:dyDescent="0.25">
      <c r="A3286" t="s">
        <v>660</v>
      </c>
      <c r="B3286">
        <v>4721</v>
      </c>
      <c r="C3286" t="s">
        <v>3955</v>
      </c>
      <c r="D3286" t="s">
        <v>806</v>
      </c>
      <c r="E3286" t="s">
        <v>659</v>
      </c>
      <c r="F3286">
        <v>126.92</v>
      </c>
      <c r="G3286">
        <v>77.78</v>
      </c>
    </row>
    <row r="3287" spans="1:7" hidden="1" x14ac:dyDescent="0.25">
      <c r="A3287" t="s">
        <v>660</v>
      </c>
      <c r="B3287">
        <v>4718</v>
      </c>
      <c r="C3287" t="s">
        <v>3956</v>
      </c>
      <c r="D3287" t="s">
        <v>806</v>
      </c>
      <c r="E3287" t="s">
        <v>172</v>
      </c>
      <c r="F3287">
        <v>127.59</v>
      </c>
      <c r="G3287">
        <v>78.19</v>
      </c>
    </row>
    <row r="3288" spans="1:7" hidden="1" x14ac:dyDescent="0.25">
      <c r="A3288" t="s">
        <v>660</v>
      </c>
      <c r="B3288">
        <v>4722</v>
      </c>
      <c r="C3288" t="s">
        <v>3957</v>
      </c>
      <c r="D3288" t="s">
        <v>806</v>
      </c>
      <c r="E3288" t="s">
        <v>659</v>
      </c>
      <c r="F3288">
        <v>119.89</v>
      </c>
      <c r="G3288">
        <v>73.47</v>
      </c>
    </row>
    <row r="3289" spans="1:7" hidden="1" x14ac:dyDescent="0.25">
      <c r="A3289" t="s">
        <v>660</v>
      </c>
      <c r="B3289">
        <v>4730</v>
      </c>
      <c r="C3289" t="s">
        <v>3958</v>
      </c>
      <c r="D3289" t="s">
        <v>806</v>
      </c>
      <c r="E3289" t="s">
        <v>659</v>
      </c>
      <c r="F3289">
        <v>119.3</v>
      </c>
      <c r="G3289">
        <v>73.11</v>
      </c>
    </row>
    <row r="3290" spans="1:7" x14ac:dyDescent="0.25">
      <c r="A3290" t="s">
        <v>660</v>
      </c>
      <c r="B3290">
        <v>13186</v>
      </c>
      <c r="C3290" t="s">
        <v>3959</v>
      </c>
      <c r="D3290" t="s">
        <v>806</v>
      </c>
      <c r="E3290" t="s">
        <v>659</v>
      </c>
      <c r="F3290">
        <v>137.65</v>
      </c>
      <c r="G3290">
        <v>84.35</v>
      </c>
    </row>
    <row r="3291" spans="1:7" hidden="1" x14ac:dyDescent="0.25">
      <c r="A3291" t="s">
        <v>660</v>
      </c>
      <c r="B3291">
        <v>10737</v>
      </c>
      <c r="C3291" t="s">
        <v>3960</v>
      </c>
      <c r="D3291" t="s">
        <v>498</v>
      </c>
      <c r="E3291" t="s">
        <v>659</v>
      </c>
      <c r="F3291">
        <f>G3291</f>
        <v>141.41</v>
      </c>
      <c r="G3291">
        <v>141.41</v>
      </c>
    </row>
    <row r="3292" spans="1:7" hidden="1" x14ac:dyDescent="0.25">
      <c r="A3292" t="s">
        <v>660</v>
      </c>
      <c r="B3292">
        <v>10734</v>
      </c>
      <c r="C3292" t="s">
        <v>3961</v>
      </c>
      <c r="D3292" t="s">
        <v>498</v>
      </c>
      <c r="E3292" t="s">
        <v>659</v>
      </c>
      <c r="F3292">
        <f>G3292</f>
        <v>84.12</v>
      </c>
      <c r="G3292">
        <v>84.12</v>
      </c>
    </row>
    <row r="3293" spans="1:7" hidden="1" x14ac:dyDescent="0.25">
      <c r="A3293" t="s">
        <v>660</v>
      </c>
      <c r="B3293">
        <v>4708</v>
      </c>
      <c r="C3293" t="s">
        <v>3962</v>
      </c>
      <c r="D3293" t="s">
        <v>498</v>
      </c>
      <c r="E3293" t="s">
        <v>659</v>
      </c>
      <c r="F3293">
        <f>G3293</f>
        <v>163.16999999999999</v>
      </c>
      <c r="G3293">
        <v>163.16999999999999</v>
      </c>
    </row>
    <row r="3294" spans="1:7" x14ac:dyDescent="0.25">
      <c r="A3294" t="s">
        <v>660</v>
      </c>
      <c r="B3294">
        <v>4712</v>
      </c>
      <c r="C3294" t="s">
        <v>3963</v>
      </c>
      <c r="D3294" t="s">
        <v>498</v>
      </c>
      <c r="E3294" t="s">
        <v>659</v>
      </c>
      <c r="F3294">
        <f>G3294</f>
        <v>79.77</v>
      </c>
      <c r="G3294">
        <v>79.77</v>
      </c>
    </row>
    <row r="3295" spans="1:7" x14ac:dyDescent="0.25">
      <c r="A3295" t="s">
        <v>660</v>
      </c>
      <c r="B3295">
        <v>4710</v>
      </c>
      <c r="C3295" t="s">
        <v>3964</v>
      </c>
      <c r="D3295" t="s">
        <v>498</v>
      </c>
      <c r="E3295" t="s">
        <v>659</v>
      </c>
      <c r="F3295">
        <f>G3295</f>
        <v>255.82</v>
      </c>
      <c r="G3295">
        <v>255.82</v>
      </c>
    </row>
    <row r="3296" spans="1:7" hidden="1" x14ac:dyDescent="0.25">
      <c r="A3296" t="s">
        <v>807</v>
      </c>
      <c r="B3296">
        <v>4750</v>
      </c>
      <c r="C3296" t="s">
        <v>3965</v>
      </c>
      <c r="D3296" t="s">
        <v>809</v>
      </c>
      <c r="E3296" t="s">
        <v>172</v>
      </c>
      <c r="F3296">
        <v>11.13</v>
      </c>
      <c r="G3296">
        <v>12.11</v>
      </c>
    </row>
    <row r="3297" spans="1:7" hidden="1" x14ac:dyDescent="0.25">
      <c r="A3297" t="s">
        <v>807</v>
      </c>
      <c r="B3297">
        <v>41065</v>
      </c>
      <c r="C3297" t="s">
        <v>3966</v>
      </c>
      <c r="D3297" t="s">
        <v>811</v>
      </c>
      <c r="E3297" t="s">
        <v>659</v>
      </c>
      <c r="F3297" s="538">
        <v>2448.6</v>
      </c>
      <c r="G3297" s="538">
        <v>2664.2</v>
      </c>
    </row>
    <row r="3298" spans="1:7" hidden="1" x14ac:dyDescent="0.25">
      <c r="A3298" t="s">
        <v>660</v>
      </c>
      <c r="B3298">
        <v>34747</v>
      </c>
      <c r="C3298" t="s">
        <v>3967</v>
      </c>
      <c r="D3298" t="s">
        <v>704</v>
      </c>
      <c r="E3298" t="s">
        <v>659</v>
      </c>
      <c r="F3298">
        <v>76.739999999999995</v>
      </c>
      <c r="G3298">
        <v>126.18</v>
      </c>
    </row>
    <row r="3299" spans="1:7" hidden="1" x14ac:dyDescent="0.25">
      <c r="A3299" t="s">
        <v>660</v>
      </c>
      <c r="B3299">
        <v>4826</v>
      </c>
      <c r="C3299" t="s">
        <v>3968</v>
      </c>
      <c r="D3299" t="s">
        <v>704</v>
      </c>
      <c r="E3299" t="s">
        <v>659</v>
      </c>
      <c r="F3299">
        <v>82.52</v>
      </c>
      <c r="G3299">
        <v>135.68</v>
      </c>
    </row>
    <row r="3300" spans="1:7" hidden="1" x14ac:dyDescent="0.25">
      <c r="A3300" t="s">
        <v>660</v>
      </c>
      <c r="B3300">
        <v>41975</v>
      </c>
      <c r="C3300" t="s">
        <v>3969</v>
      </c>
      <c r="D3300" t="s">
        <v>498</v>
      </c>
      <c r="E3300" t="s">
        <v>659</v>
      </c>
      <c r="F3300">
        <v>130.34</v>
      </c>
      <c r="G3300">
        <v>103.04</v>
      </c>
    </row>
    <row r="3301" spans="1:7" hidden="1" x14ac:dyDescent="0.25">
      <c r="A3301" t="s">
        <v>660</v>
      </c>
      <c r="B3301">
        <v>4825</v>
      </c>
      <c r="C3301" t="s">
        <v>3970</v>
      </c>
      <c r="D3301" t="s">
        <v>704</v>
      </c>
      <c r="E3301" t="s">
        <v>659</v>
      </c>
      <c r="F3301">
        <v>114.22</v>
      </c>
      <c r="G3301">
        <v>187.81</v>
      </c>
    </row>
    <row r="3302" spans="1:7" x14ac:dyDescent="0.25">
      <c r="A3302" t="s">
        <v>660</v>
      </c>
      <c r="B3302">
        <v>34744</v>
      </c>
      <c r="C3302" t="s">
        <v>3971</v>
      </c>
      <c r="D3302" t="s">
        <v>498</v>
      </c>
      <c r="E3302" t="s">
        <v>659</v>
      </c>
      <c r="F3302">
        <v>40.869999999999997</v>
      </c>
      <c r="G3302">
        <v>37.200000000000003</v>
      </c>
    </row>
    <row r="3303" spans="1:7" hidden="1" x14ac:dyDescent="0.25">
      <c r="A3303" t="s">
        <v>660</v>
      </c>
      <c r="B3303">
        <v>39430</v>
      </c>
      <c r="C3303" t="s">
        <v>3972</v>
      </c>
      <c r="D3303" t="s">
        <v>226</v>
      </c>
      <c r="E3303" t="s">
        <v>659</v>
      </c>
      <c r="F3303">
        <v>1.75</v>
      </c>
      <c r="G3303">
        <v>1.65</v>
      </c>
    </row>
    <row r="3304" spans="1:7" hidden="1" x14ac:dyDescent="0.25">
      <c r="A3304" t="s">
        <v>660</v>
      </c>
      <c r="B3304">
        <v>39573</v>
      </c>
      <c r="C3304" t="s">
        <v>3973</v>
      </c>
      <c r="D3304" t="s">
        <v>226</v>
      </c>
      <c r="E3304" t="s">
        <v>659</v>
      </c>
      <c r="F3304">
        <v>1.72</v>
      </c>
      <c r="G3304">
        <v>1.62</v>
      </c>
    </row>
    <row r="3305" spans="1:7" hidden="1" x14ac:dyDescent="0.25">
      <c r="A3305" t="s">
        <v>842</v>
      </c>
      <c r="B3305">
        <v>38410</v>
      </c>
      <c r="C3305" t="s">
        <v>3974</v>
      </c>
      <c r="D3305" t="s">
        <v>226</v>
      </c>
      <c r="E3305" t="s">
        <v>659</v>
      </c>
      <c r="F3305" s="538">
        <v>18002.88</v>
      </c>
      <c r="G3305" s="538">
        <v>14420.15</v>
      </c>
    </row>
    <row r="3306" spans="1:7" hidden="1" x14ac:dyDescent="0.25">
      <c r="A3306" t="s">
        <v>660</v>
      </c>
      <c r="B3306">
        <v>43082</v>
      </c>
      <c r="C3306" t="s">
        <v>3975</v>
      </c>
      <c r="D3306" t="s">
        <v>708</v>
      </c>
      <c r="E3306" t="s">
        <v>172</v>
      </c>
      <c r="F3306">
        <f t="shared" ref="F3306:F3312" si="30">G3306</f>
        <v>10</v>
      </c>
      <c r="G3306">
        <v>10</v>
      </c>
    </row>
    <row r="3307" spans="1:7" hidden="1" x14ac:dyDescent="0.25">
      <c r="A3307" t="s">
        <v>660</v>
      </c>
      <c r="B3307">
        <v>43083</v>
      </c>
      <c r="C3307" t="s">
        <v>3976</v>
      </c>
      <c r="D3307" t="s">
        <v>708</v>
      </c>
      <c r="E3307" t="s">
        <v>659</v>
      </c>
      <c r="F3307">
        <f t="shared" si="30"/>
        <v>8.66</v>
      </c>
      <c r="G3307">
        <v>8.66</v>
      </c>
    </row>
    <row r="3308" spans="1:7" hidden="1" x14ac:dyDescent="0.25">
      <c r="A3308" t="s">
        <v>660</v>
      </c>
      <c r="B3308">
        <v>40535</v>
      </c>
      <c r="C3308" t="s">
        <v>3977</v>
      </c>
      <c r="D3308" t="s">
        <v>708</v>
      </c>
      <c r="E3308" t="s">
        <v>659</v>
      </c>
      <c r="F3308">
        <f t="shared" si="30"/>
        <v>8.66</v>
      </c>
      <c r="G3308">
        <v>8.66</v>
      </c>
    </row>
    <row r="3309" spans="1:7" hidden="1" x14ac:dyDescent="0.25">
      <c r="A3309" t="s">
        <v>660</v>
      </c>
      <c r="B3309">
        <v>40598</v>
      </c>
      <c r="C3309" t="s">
        <v>3978</v>
      </c>
      <c r="D3309" t="s">
        <v>708</v>
      </c>
      <c r="E3309" t="s">
        <v>659</v>
      </c>
      <c r="F3309">
        <f t="shared" si="30"/>
        <v>8.4499999999999993</v>
      </c>
      <c r="G3309">
        <v>8.4499999999999993</v>
      </c>
    </row>
    <row r="3310" spans="1:7" hidden="1" x14ac:dyDescent="0.25">
      <c r="A3310" t="s">
        <v>660</v>
      </c>
      <c r="B3310">
        <v>43692</v>
      </c>
      <c r="C3310" t="s">
        <v>3979</v>
      </c>
      <c r="D3310" t="s">
        <v>708</v>
      </c>
      <c r="E3310" t="s">
        <v>659</v>
      </c>
      <c r="F3310">
        <f t="shared" si="30"/>
        <v>9.1199999999999992</v>
      </c>
      <c r="G3310">
        <v>9.1199999999999992</v>
      </c>
    </row>
    <row r="3311" spans="1:7" hidden="1" x14ac:dyDescent="0.25">
      <c r="A3311" t="s">
        <v>660</v>
      </c>
      <c r="B3311">
        <v>43665</v>
      </c>
      <c r="C3311" t="s">
        <v>3980</v>
      </c>
      <c r="D3311" t="s">
        <v>708</v>
      </c>
      <c r="E3311" t="s">
        <v>659</v>
      </c>
      <c r="F3311">
        <f t="shared" si="30"/>
        <v>8.59</v>
      </c>
      <c r="G3311">
        <v>8.59</v>
      </c>
    </row>
    <row r="3312" spans="1:7" hidden="1" x14ac:dyDescent="0.25">
      <c r="A3312" t="s">
        <v>660</v>
      </c>
      <c r="B3312">
        <v>10966</v>
      </c>
      <c r="C3312" t="s">
        <v>3981</v>
      </c>
      <c r="D3312" t="s">
        <v>708</v>
      </c>
      <c r="E3312" t="s">
        <v>659</v>
      </c>
      <c r="F3312">
        <f t="shared" si="30"/>
        <v>9.1199999999999992</v>
      </c>
      <c r="G3312">
        <v>9.1199999999999992</v>
      </c>
    </row>
    <row r="3313" spans="1:7" hidden="1" x14ac:dyDescent="0.25">
      <c r="A3313" t="s">
        <v>660</v>
      </c>
      <c r="B3313">
        <v>39427</v>
      </c>
      <c r="C3313" t="s">
        <v>3982</v>
      </c>
      <c r="D3313" t="s">
        <v>704</v>
      </c>
      <c r="E3313" t="s">
        <v>659</v>
      </c>
      <c r="F3313">
        <v>4.6399999999999997</v>
      </c>
      <c r="G3313">
        <v>4.38</v>
      </c>
    </row>
    <row r="3314" spans="1:7" hidden="1" x14ac:dyDescent="0.25">
      <c r="A3314" t="s">
        <v>660</v>
      </c>
      <c r="B3314">
        <v>39424</v>
      </c>
      <c r="C3314" t="s">
        <v>3983</v>
      </c>
      <c r="D3314" t="s">
        <v>704</v>
      </c>
      <c r="E3314" t="s">
        <v>659</v>
      </c>
      <c r="F3314">
        <v>2.76</v>
      </c>
      <c r="G3314">
        <v>2.6</v>
      </c>
    </row>
    <row r="3315" spans="1:7" hidden="1" x14ac:dyDescent="0.25">
      <c r="A3315" t="s">
        <v>660</v>
      </c>
      <c r="B3315">
        <v>39425</v>
      </c>
      <c r="C3315" t="s">
        <v>3984</v>
      </c>
      <c r="D3315" t="s">
        <v>704</v>
      </c>
      <c r="E3315" t="s">
        <v>659</v>
      </c>
      <c r="F3315">
        <v>2.72</v>
      </c>
      <c r="G3315">
        <v>2.57</v>
      </c>
    </row>
    <row r="3316" spans="1:7" hidden="1" x14ac:dyDescent="0.25">
      <c r="A3316" t="s">
        <v>660</v>
      </c>
      <c r="B3316">
        <v>40664</v>
      </c>
      <c r="C3316" t="s">
        <v>3985</v>
      </c>
      <c r="D3316" t="s">
        <v>708</v>
      </c>
      <c r="E3316" t="s">
        <v>659</v>
      </c>
      <c r="F3316">
        <f>G3316</f>
        <v>17.77</v>
      </c>
      <c r="G3316">
        <v>17.77</v>
      </c>
    </row>
    <row r="3317" spans="1:7" hidden="1" x14ac:dyDescent="0.25">
      <c r="A3317" t="s">
        <v>660</v>
      </c>
      <c r="B3317">
        <v>34360</v>
      </c>
      <c r="C3317" t="s">
        <v>3986</v>
      </c>
      <c r="D3317" t="s">
        <v>708</v>
      </c>
      <c r="E3317" t="s">
        <v>659</v>
      </c>
      <c r="F3317">
        <v>67.14</v>
      </c>
      <c r="G3317">
        <v>43.04</v>
      </c>
    </row>
    <row r="3318" spans="1:7" hidden="1" x14ac:dyDescent="0.25">
      <c r="A3318" t="s">
        <v>660</v>
      </c>
      <c r="B3318">
        <v>20259</v>
      </c>
      <c r="C3318" t="s">
        <v>3987</v>
      </c>
      <c r="D3318" t="s">
        <v>704</v>
      </c>
      <c r="E3318" t="s">
        <v>659</v>
      </c>
      <c r="F3318">
        <v>28.7</v>
      </c>
      <c r="G3318">
        <v>13.7</v>
      </c>
    </row>
    <row r="3319" spans="1:7" hidden="1" x14ac:dyDescent="0.25">
      <c r="A3319" t="s">
        <v>660</v>
      </c>
      <c r="B3319">
        <v>14077</v>
      </c>
      <c r="C3319" t="s">
        <v>3988</v>
      </c>
      <c r="D3319" t="s">
        <v>704</v>
      </c>
      <c r="E3319" t="s">
        <v>659</v>
      </c>
      <c r="F3319">
        <v>439.28</v>
      </c>
      <c r="G3319">
        <v>209.69</v>
      </c>
    </row>
    <row r="3320" spans="1:7" hidden="1" x14ac:dyDescent="0.25">
      <c r="A3320" t="s">
        <v>660</v>
      </c>
      <c r="B3320">
        <v>3678</v>
      </c>
      <c r="C3320" t="s">
        <v>3989</v>
      </c>
      <c r="D3320" t="s">
        <v>704</v>
      </c>
      <c r="E3320" t="s">
        <v>659</v>
      </c>
      <c r="F3320">
        <v>198.55</v>
      </c>
      <c r="G3320">
        <v>94.78</v>
      </c>
    </row>
    <row r="3321" spans="1:7" hidden="1" x14ac:dyDescent="0.25">
      <c r="A3321" t="s">
        <v>660</v>
      </c>
      <c r="B3321">
        <v>11552</v>
      </c>
      <c r="C3321" t="s">
        <v>3990</v>
      </c>
      <c r="D3321" t="s">
        <v>704</v>
      </c>
      <c r="E3321" t="s">
        <v>659</v>
      </c>
      <c r="F3321">
        <v>8.02</v>
      </c>
      <c r="G3321">
        <v>7.16</v>
      </c>
    </row>
    <row r="3322" spans="1:7" hidden="1" x14ac:dyDescent="0.25">
      <c r="A3322" t="s">
        <v>660</v>
      </c>
      <c r="B3322">
        <v>585</v>
      </c>
      <c r="C3322" t="s">
        <v>3991</v>
      </c>
      <c r="D3322" t="s">
        <v>708</v>
      </c>
      <c r="E3322" t="s">
        <v>659</v>
      </c>
      <c r="F3322">
        <v>53.71</v>
      </c>
      <c r="G3322">
        <v>34.43</v>
      </c>
    </row>
    <row r="3323" spans="1:7" hidden="1" x14ac:dyDescent="0.25">
      <c r="A3323" t="s">
        <v>660</v>
      </c>
      <c r="B3323">
        <v>39418</v>
      </c>
      <c r="C3323" t="s">
        <v>3992</v>
      </c>
      <c r="D3323" t="s">
        <v>704</v>
      </c>
      <c r="E3323" t="s">
        <v>659</v>
      </c>
      <c r="F3323">
        <v>5.18</v>
      </c>
      <c r="G3323">
        <v>4.8899999999999997</v>
      </c>
    </row>
    <row r="3324" spans="1:7" hidden="1" x14ac:dyDescent="0.25">
      <c r="A3324" t="s">
        <v>660</v>
      </c>
      <c r="B3324">
        <v>39419</v>
      </c>
      <c r="C3324" t="s">
        <v>3993</v>
      </c>
      <c r="D3324" t="s">
        <v>704</v>
      </c>
      <c r="E3324" t="s">
        <v>659</v>
      </c>
      <c r="F3324">
        <v>6.31</v>
      </c>
      <c r="G3324">
        <v>5.96</v>
      </c>
    </row>
    <row r="3325" spans="1:7" hidden="1" x14ac:dyDescent="0.25">
      <c r="A3325" t="s">
        <v>660</v>
      </c>
      <c r="B3325">
        <v>39420</v>
      </c>
      <c r="C3325" t="s">
        <v>3994</v>
      </c>
      <c r="D3325" t="s">
        <v>704</v>
      </c>
      <c r="E3325" t="s">
        <v>659</v>
      </c>
      <c r="F3325">
        <v>6.96</v>
      </c>
      <c r="G3325">
        <v>6.58</v>
      </c>
    </row>
    <row r="3326" spans="1:7" hidden="1" x14ac:dyDescent="0.25">
      <c r="A3326" t="s">
        <v>660</v>
      </c>
      <c r="B3326">
        <v>39571</v>
      </c>
      <c r="C3326" t="s">
        <v>3995</v>
      </c>
      <c r="D3326" t="s">
        <v>704</v>
      </c>
      <c r="E3326" t="s">
        <v>659</v>
      </c>
      <c r="F3326">
        <v>4.21</v>
      </c>
      <c r="G3326">
        <v>3.97</v>
      </c>
    </row>
    <row r="3327" spans="1:7" hidden="1" x14ac:dyDescent="0.25">
      <c r="A3327" t="s">
        <v>660</v>
      </c>
      <c r="B3327">
        <v>39421</v>
      </c>
      <c r="C3327" t="s">
        <v>3996</v>
      </c>
      <c r="D3327" t="s">
        <v>704</v>
      </c>
      <c r="E3327" t="s">
        <v>659</v>
      </c>
      <c r="F3327">
        <v>6.13</v>
      </c>
      <c r="G3327">
        <v>5.79</v>
      </c>
    </row>
    <row r="3328" spans="1:7" hidden="1" x14ac:dyDescent="0.25">
      <c r="A3328" t="s">
        <v>660</v>
      </c>
      <c r="B3328">
        <v>39422</v>
      </c>
      <c r="C3328" t="s">
        <v>3997</v>
      </c>
      <c r="D3328" t="s">
        <v>704</v>
      </c>
      <c r="E3328" t="s">
        <v>172</v>
      </c>
      <c r="F3328">
        <v>7.16</v>
      </c>
      <c r="G3328">
        <v>6.76</v>
      </c>
    </row>
    <row r="3329" spans="1:7" hidden="1" x14ac:dyDescent="0.25">
      <c r="A3329" t="s">
        <v>660</v>
      </c>
      <c r="B3329">
        <v>39423</v>
      </c>
      <c r="C3329" t="s">
        <v>3998</v>
      </c>
      <c r="D3329" t="s">
        <v>704</v>
      </c>
      <c r="E3329" t="s">
        <v>659</v>
      </c>
      <c r="F3329">
        <v>8.31</v>
      </c>
      <c r="G3329">
        <v>7.85</v>
      </c>
    </row>
    <row r="3330" spans="1:7" hidden="1" x14ac:dyDescent="0.25">
      <c r="A3330" t="s">
        <v>660</v>
      </c>
      <c r="B3330">
        <v>39426</v>
      </c>
      <c r="C3330" t="s">
        <v>3999</v>
      </c>
      <c r="D3330" t="s">
        <v>704</v>
      </c>
      <c r="E3330" t="s">
        <v>659</v>
      </c>
      <c r="F3330">
        <v>18.690000000000001</v>
      </c>
      <c r="G3330">
        <v>17.64</v>
      </c>
    </row>
    <row r="3331" spans="1:7" hidden="1" x14ac:dyDescent="0.25">
      <c r="A3331" t="s">
        <v>660</v>
      </c>
      <c r="B3331">
        <v>39429</v>
      </c>
      <c r="C3331" t="s">
        <v>4000</v>
      </c>
      <c r="D3331" t="s">
        <v>704</v>
      </c>
      <c r="E3331" t="s">
        <v>659</v>
      </c>
      <c r="F3331">
        <v>5.89</v>
      </c>
      <c r="G3331">
        <v>5.56</v>
      </c>
    </row>
    <row r="3332" spans="1:7" hidden="1" x14ac:dyDescent="0.25">
      <c r="A3332" t="s">
        <v>660</v>
      </c>
      <c r="B3332">
        <v>39428</v>
      </c>
      <c r="C3332" t="s">
        <v>4001</v>
      </c>
      <c r="D3332" t="s">
        <v>704</v>
      </c>
      <c r="E3332" t="s">
        <v>659</v>
      </c>
      <c r="F3332">
        <v>4.5</v>
      </c>
      <c r="G3332">
        <v>4.25</v>
      </c>
    </row>
    <row r="3333" spans="1:7" hidden="1" x14ac:dyDescent="0.25">
      <c r="A3333" t="s">
        <v>660</v>
      </c>
      <c r="B3333">
        <v>39572</v>
      </c>
      <c r="C3333" t="s">
        <v>4002</v>
      </c>
      <c r="D3333" t="s">
        <v>704</v>
      </c>
      <c r="E3333" t="s">
        <v>659</v>
      </c>
      <c r="F3333">
        <v>3.9</v>
      </c>
      <c r="G3333">
        <v>3.68</v>
      </c>
    </row>
    <row r="3334" spans="1:7" hidden="1" x14ac:dyDescent="0.25">
      <c r="A3334" t="s">
        <v>660</v>
      </c>
      <c r="B3334">
        <v>39570</v>
      </c>
      <c r="C3334" t="s">
        <v>4003</v>
      </c>
      <c r="D3334" t="s">
        <v>704</v>
      </c>
      <c r="E3334" t="s">
        <v>659</v>
      </c>
      <c r="F3334">
        <v>4.13</v>
      </c>
      <c r="G3334">
        <v>3.9</v>
      </c>
    </row>
    <row r="3335" spans="1:7" hidden="1" x14ac:dyDescent="0.25">
      <c r="A3335" t="s">
        <v>660</v>
      </c>
      <c r="B3335">
        <v>39569</v>
      </c>
      <c r="C3335" t="s">
        <v>4004</v>
      </c>
      <c r="D3335" t="s">
        <v>704</v>
      </c>
      <c r="E3335" t="s">
        <v>659</v>
      </c>
      <c r="F3335">
        <v>4.08</v>
      </c>
      <c r="G3335">
        <v>3.86</v>
      </c>
    </row>
    <row r="3336" spans="1:7" hidden="1" x14ac:dyDescent="0.25">
      <c r="A3336" t="s">
        <v>660</v>
      </c>
      <c r="B3336">
        <v>39328</v>
      </c>
      <c r="C3336" t="s">
        <v>4005</v>
      </c>
      <c r="D3336" t="s">
        <v>704</v>
      </c>
      <c r="E3336" t="s">
        <v>659</v>
      </c>
      <c r="F3336">
        <v>4.22</v>
      </c>
      <c r="G3336">
        <v>3.99</v>
      </c>
    </row>
    <row r="3337" spans="1:7" hidden="1" x14ac:dyDescent="0.25">
      <c r="A3337" t="s">
        <v>660</v>
      </c>
      <c r="B3337">
        <v>39029</v>
      </c>
      <c r="C3337" t="s">
        <v>4006</v>
      </c>
      <c r="D3337" t="s">
        <v>704</v>
      </c>
      <c r="E3337" t="s">
        <v>659</v>
      </c>
      <c r="F3337">
        <v>13.19</v>
      </c>
      <c r="G3337">
        <v>12.45</v>
      </c>
    </row>
    <row r="3338" spans="1:7" hidden="1" x14ac:dyDescent="0.25">
      <c r="A3338" t="s">
        <v>660</v>
      </c>
      <c r="B3338">
        <v>39028</v>
      </c>
      <c r="C3338" t="s">
        <v>4007</v>
      </c>
      <c r="D3338" t="s">
        <v>704</v>
      </c>
      <c r="E3338" t="s">
        <v>659</v>
      </c>
      <c r="F3338">
        <v>7.68</v>
      </c>
      <c r="G3338">
        <v>7.25</v>
      </c>
    </row>
    <row r="3339" spans="1:7" hidden="1" x14ac:dyDescent="0.25">
      <c r="A3339" t="s">
        <v>842</v>
      </c>
      <c r="B3339">
        <v>38541</v>
      </c>
      <c r="C3339" t="s">
        <v>4008</v>
      </c>
      <c r="D3339" t="s">
        <v>226</v>
      </c>
      <c r="E3339" t="s">
        <v>659</v>
      </c>
      <c r="F3339" s="538">
        <v>4554054.04</v>
      </c>
      <c r="G3339" s="538">
        <v>4625940.91</v>
      </c>
    </row>
    <row r="3340" spans="1:7" hidden="1" x14ac:dyDescent="0.25">
      <c r="A3340" t="s">
        <v>842</v>
      </c>
      <c r="B3340">
        <v>38542</v>
      </c>
      <c r="C3340" t="s">
        <v>4009</v>
      </c>
      <c r="D3340" t="s">
        <v>226</v>
      </c>
      <c r="E3340" t="s">
        <v>659</v>
      </c>
      <c r="F3340" s="538">
        <v>6982882.8899999997</v>
      </c>
      <c r="G3340" s="538">
        <v>7093109.4100000001</v>
      </c>
    </row>
    <row r="3341" spans="1:7" hidden="1" x14ac:dyDescent="0.25">
      <c r="A3341" t="s">
        <v>842</v>
      </c>
      <c r="B3341">
        <v>45080</v>
      </c>
      <c r="C3341" t="s">
        <v>4010</v>
      </c>
      <c r="D3341" t="s">
        <v>226</v>
      </c>
      <c r="E3341" t="s">
        <v>659</v>
      </c>
      <c r="F3341" s="538">
        <v>15122.7</v>
      </c>
      <c r="G3341" s="538">
        <v>15361.42</v>
      </c>
    </row>
    <row r="3342" spans="1:7" hidden="1" x14ac:dyDescent="0.25">
      <c r="A3342" t="s">
        <v>842</v>
      </c>
      <c r="B3342">
        <v>38543</v>
      </c>
      <c r="C3342" t="s">
        <v>4011</v>
      </c>
      <c r="D3342" t="s">
        <v>226</v>
      </c>
      <c r="E3342" t="s">
        <v>659</v>
      </c>
      <c r="F3342" s="538">
        <v>1421882.7</v>
      </c>
      <c r="G3342" s="538">
        <v>1444327.46</v>
      </c>
    </row>
    <row r="3343" spans="1:7" hidden="1" x14ac:dyDescent="0.25">
      <c r="A3343" t="s">
        <v>842</v>
      </c>
      <c r="B3343">
        <v>44002</v>
      </c>
      <c r="C3343" t="s">
        <v>4012</v>
      </c>
      <c r="D3343" t="s">
        <v>226</v>
      </c>
      <c r="E3343" t="s">
        <v>659</v>
      </c>
      <c r="F3343" s="538">
        <v>6641531.21</v>
      </c>
      <c r="G3343" s="538">
        <v>6746369.4100000001</v>
      </c>
    </row>
    <row r="3344" spans="1:7" hidden="1" x14ac:dyDescent="0.25">
      <c r="A3344" t="s">
        <v>842</v>
      </c>
      <c r="B3344">
        <v>43886</v>
      </c>
      <c r="C3344" t="s">
        <v>4013</v>
      </c>
      <c r="D3344" t="s">
        <v>226</v>
      </c>
      <c r="E3344" t="s">
        <v>659</v>
      </c>
      <c r="F3344" s="538">
        <v>3223261.26</v>
      </c>
      <c r="G3344" s="538">
        <v>3274141.24</v>
      </c>
    </row>
    <row r="3345" spans="1:7" hidden="1" x14ac:dyDescent="0.25">
      <c r="A3345" t="s">
        <v>842</v>
      </c>
      <c r="B3345">
        <v>40789</v>
      </c>
      <c r="C3345" t="s">
        <v>4014</v>
      </c>
      <c r="D3345" t="s">
        <v>226</v>
      </c>
      <c r="E3345" t="s">
        <v>659</v>
      </c>
      <c r="F3345" s="538">
        <v>20714.45</v>
      </c>
      <c r="G3345" s="538">
        <v>17328.41</v>
      </c>
    </row>
    <row r="3346" spans="1:7" hidden="1" x14ac:dyDescent="0.25">
      <c r="A3346" t="s">
        <v>842</v>
      </c>
      <c r="B3346">
        <v>40791</v>
      </c>
      <c r="C3346" t="s">
        <v>4015</v>
      </c>
      <c r="D3346" t="s">
        <v>226</v>
      </c>
      <c r="E3346" t="s">
        <v>659</v>
      </c>
      <c r="F3346" s="538">
        <v>44667.02</v>
      </c>
      <c r="G3346" s="538">
        <v>37365.629999999997</v>
      </c>
    </row>
    <row r="3347" spans="1:7" hidden="1" x14ac:dyDescent="0.25">
      <c r="A3347" t="s">
        <v>842</v>
      </c>
      <c r="B3347">
        <v>44003</v>
      </c>
      <c r="C3347" t="s">
        <v>4016</v>
      </c>
      <c r="D3347" t="s">
        <v>226</v>
      </c>
      <c r="E3347" t="s">
        <v>659</v>
      </c>
      <c r="F3347" s="538">
        <v>9229549.5800000001</v>
      </c>
      <c r="G3347" s="538">
        <v>9375240.3000000007</v>
      </c>
    </row>
    <row r="3348" spans="1:7" x14ac:dyDescent="0.25">
      <c r="A3348" t="s">
        <v>842</v>
      </c>
      <c r="B3348">
        <v>44548</v>
      </c>
      <c r="C3348" t="s">
        <v>4017</v>
      </c>
      <c r="D3348" t="s">
        <v>226</v>
      </c>
      <c r="E3348" t="s">
        <v>659</v>
      </c>
      <c r="F3348" s="538">
        <v>2822612.83</v>
      </c>
      <c r="G3348" s="538">
        <v>2867168.47</v>
      </c>
    </row>
    <row r="3349" spans="1:7" x14ac:dyDescent="0.25">
      <c r="A3349" t="s">
        <v>842</v>
      </c>
      <c r="B3349">
        <v>44550</v>
      </c>
      <c r="C3349" t="s">
        <v>4018</v>
      </c>
      <c r="D3349" t="s">
        <v>226</v>
      </c>
      <c r="E3349" t="s">
        <v>659</v>
      </c>
      <c r="F3349" s="538">
        <v>8855509.9100000001</v>
      </c>
      <c r="G3349" s="538">
        <v>8995296.3200000003</v>
      </c>
    </row>
    <row r="3350" spans="1:7" x14ac:dyDescent="0.25">
      <c r="A3350" t="s">
        <v>842</v>
      </c>
      <c r="B3350">
        <v>44549</v>
      </c>
      <c r="C3350" t="s">
        <v>4019</v>
      </c>
      <c r="D3350" t="s">
        <v>226</v>
      </c>
      <c r="E3350" t="s">
        <v>659</v>
      </c>
      <c r="F3350" s="538">
        <v>6475591.6500000004</v>
      </c>
      <c r="G3350" s="538">
        <v>6577810.46</v>
      </c>
    </row>
    <row r="3351" spans="1:7" hidden="1" x14ac:dyDescent="0.25">
      <c r="A3351" t="s">
        <v>842</v>
      </c>
      <c r="B3351">
        <v>41982</v>
      </c>
      <c r="C3351" t="s">
        <v>4020</v>
      </c>
      <c r="D3351" t="s">
        <v>226</v>
      </c>
      <c r="E3351" t="s">
        <v>659</v>
      </c>
      <c r="F3351" s="538">
        <v>1720420.38</v>
      </c>
      <c r="G3351" s="538">
        <v>1747577.64</v>
      </c>
    </row>
    <row r="3352" spans="1:7" hidden="1" x14ac:dyDescent="0.25">
      <c r="A3352" t="s">
        <v>842</v>
      </c>
      <c r="B3352">
        <v>39012</v>
      </c>
      <c r="C3352" t="s">
        <v>4021</v>
      </c>
      <c r="D3352" t="s">
        <v>226</v>
      </c>
      <c r="E3352" t="s">
        <v>659</v>
      </c>
      <c r="F3352" s="538">
        <v>1009481.98</v>
      </c>
      <c r="G3352" s="538">
        <v>1025416.9</v>
      </c>
    </row>
    <row r="3353" spans="1:7" hidden="1" x14ac:dyDescent="0.25">
      <c r="A3353" t="s">
        <v>842</v>
      </c>
      <c r="B3353">
        <v>40435</v>
      </c>
      <c r="C3353" t="s">
        <v>4022</v>
      </c>
      <c r="D3353" t="s">
        <v>226</v>
      </c>
      <c r="E3353" t="s">
        <v>659</v>
      </c>
      <c r="F3353" s="538">
        <v>1019355.15</v>
      </c>
      <c r="G3353" s="538">
        <v>1035445.92</v>
      </c>
    </row>
    <row r="3354" spans="1:7" hidden="1" x14ac:dyDescent="0.25">
      <c r="A3354" t="s">
        <v>660</v>
      </c>
      <c r="B3354">
        <v>45265</v>
      </c>
      <c r="C3354" t="s">
        <v>4023</v>
      </c>
      <c r="D3354" t="s">
        <v>1086</v>
      </c>
      <c r="E3354" t="s">
        <v>659</v>
      </c>
      <c r="F3354">
        <v>32.43</v>
      </c>
      <c r="G3354">
        <v>36.32</v>
      </c>
    </row>
    <row r="3355" spans="1:7" hidden="1" x14ac:dyDescent="0.25">
      <c r="A3355" t="s">
        <v>842</v>
      </c>
      <c r="B3355">
        <v>13617</v>
      </c>
      <c r="C3355" t="s">
        <v>4024</v>
      </c>
      <c r="D3355" t="s">
        <v>226</v>
      </c>
      <c r="E3355" t="s">
        <v>659</v>
      </c>
      <c r="F3355" s="538">
        <v>100824.76</v>
      </c>
      <c r="G3355" s="538">
        <v>100824.76</v>
      </c>
    </row>
    <row r="3356" spans="1:7" hidden="1" x14ac:dyDescent="0.25">
      <c r="A3356" t="s">
        <v>660</v>
      </c>
      <c r="B3356">
        <v>35274</v>
      </c>
      <c r="C3356" t="s">
        <v>4025</v>
      </c>
      <c r="D3356" t="s">
        <v>704</v>
      </c>
      <c r="E3356" t="s">
        <v>659</v>
      </c>
      <c r="F3356">
        <v>68.510000000000005</v>
      </c>
      <c r="G3356">
        <v>61.92</v>
      </c>
    </row>
    <row r="3357" spans="1:7" hidden="1" x14ac:dyDescent="0.25">
      <c r="A3357" t="s">
        <v>660</v>
      </c>
      <c r="B3357">
        <v>35275</v>
      </c>
      <c r="C3357" t="s">
        <v>4026</v>
      </c>
      <c r="D3357" t="s">
        <v>704</v>
      </c>
      <c r="E3357" t="s">
        <v>659</v>
      </c>
      <c r="F3357">
        <v>145.41</v>
      </c>
      <c r="G3357">
        <v>131.44</v>
      </c>
    </row>
    <row r="3358" spans="1:7" hidden="1" x14ac:dyDescent="0.25">
      <c r="A3358" t="s">
        <v>660</v>
      </c>
      <c r="B3358">
        <v>35276</v>
      </c>
      <c r="C3358" t="s">
        <v>4027</v>
      </c>
      <c r="D3358" t="s">
        <v>704</v>
      </c>
      <c r="E3358" t="s">
        <v>659</v>
      </c>
      <c r="F3358">
        <v>253.01</v>
      </c>
      <c r="G3358">
        <v>228.69</v>
      </c>
    </row>
    <row r="3359" spans="1:7" hidden="1" x14ac:dyDescent="0.25">
      <c r="A3359" t="s">
        <v>660</v>
      </c>
      <c r="B3359">
        <v>11091</v>
      </c>
      <c r="C3359" t="s">
        <v>4028</v>
      </c>
      <c r="D3359" t="s">
        <v>226</v>
      </c>
      <c r="E3359" t="s">
        <v>659</v>
      </c>
      <c r="F3359">
        <v>1.66</v>
      </c>
      <c r="G3359">
        <v>1.8</v>
      </c>
    </row>
    <row r="3360" spans="1:7" hidden="1" x14ac:dyDescent="0.25">
      <c r="A3360" t="s">
        <v>660</v>
      </c>
      <c r="B3360">
        <v>37586</v>
      </c>
      <c r="C3360" t="s">
        <v>4029</v>
      </c>
      <c r="D3360" t="s">
        <v>2748</v>
      </c>
      <c r="E3360" t="s">
        <v>659</v>
      </c>
      <c r="F3360">
        <v>103.03</v>
      </c>
      <c r="G3360">
        <v>48.76</v>
      </c>
    </row>
    <row r="3361" spans="1:7" hidden="1" x14ac:dyDescent="0.25">
      <c r="A3361" t="s">
        <v>660</v>
      </c>
      <c r="B3361">
        <v>37395</v>
      </c>
      <c r="C3361" t="s">
        <v>4030</v>
      </c>
      <c r="D3361" t="s">
        <v>2748</v>
      </c>
      <c r="E3361" t="s">
        <v>659</v>
      </c>
      <c r="F3361">
        <v>88.59</v>
      </c>
      <c r="G3361">
        <v>41.93</v>
      </c>
    </row>
    <row r="3362" spans="1:7" hidden="1" x14ac:dyDescent="0.25">
      <c r="A3362" t="s">
        <v>660</v>
      </c>
      <c r="B3362">
        <v>14147</v>
      </c>
      <c r="C3362" t="s">
        <v>4031</v>
      </c>
      <c r="D3362" t="s">
        <v>2748</v>
      </c>
      <c r="E3362" t="s">
        <v>659</v>
      </c>
      <c r="F3362">
        <v>117.51</v>
      </c>
      <c r="G3362">
        <v>55.62</v>
      </c>
    </row>
    <row r="3363" spans="1:7" hidden="1" x14ac:dyDescent="0.25">
      <c r="A3363" t="s">
        <v>660</v>
      </c>
      <c r="B3363">
        <v>37396</v>
      </c>
      <c r="C3363" t="s">
        <v>4032</v>
      </c>
      <c r="D3363" t="s">
        <v>2748</v>
      </c>
      <c r="E3363" t="s">
        <v>659</v>
      </c>
      <c r="F3363">
        <v>72.489999999999995</v>
      </c>
      <c r="G3363">
        <v>34.31</v>
      </c>
    </row>
    <row r="3364" spans="1:7" hidden="1" x14ac:dyDescent="0.25">
      <c r="A3364" t="s">
        <v>660</v>
      </c>
      <c r="B3364">
        <v>37397</v>
      </c>
      <c r="C3364" t="s">
        <v>4033</v>
      </c>
      <c r="D3364" t="s">
        <v>2748</v>
      </c>
      <c r="E3364" t="s">
        <v>659</v>
      </c>
      <c r="F3364">
        <v>75.930000000000007</v>
      </c>
      <c r="G3364">
        <v>35.94</v>
      </c>
    </row>
    <row r="3365" spans="1:7" hidden="1" x14ac:dyDescent="0.25">
      <c r="A3365" t="s">
        <v>660</v>
      </c>
      <c r="B3365">
        <v>43606</v>
      </c>
      <c r="C3365" t="s">
        <v>4034</v>
      </c>
      <c r="D3365" t="s">
        <v>226</v>
      </c>
      <c r="E3365" t="s">
        <v>659</v>
      </c>
      <c r="F3365">
        <v>9.61</v>
      </c>
      <c r="G3365">
        <v>8.58</v>
      </c>
    </row>
    <row r="3366" spans="1:7" hidden="1" x14ac:dyDescent="0.25">
      <c r="A3366" t="s">
        <v>660</v>
      </c>
      <c r="B3366">
        <v>444</v>
      </c>
      <c r="C3366" t="s">
        <v>4035</v>
      </c>
      <c r="D3366" t="s">
        <v>226</v>
      </c>
      <c r="E3366" t="s">
        <v>659</v>
      </c>
      <c r="F3366">
        <f>G3366</f>
        <v>24</v>
      </c>
      <c r="G3366">
        <v>24</v>
      </c>
    </row>
    <row r="3367" spans="1:7" hidden="1" x14ac:dyDescent="0.25">
      <c r="A3367" t="s">
        <v>660</v>
      </c>
      <c r="B3367">
        <v>445</v>
      </c>
      <c r="C3367" t="s">
        <v>4036</v>
      </c>
      <c r="D3367" t="s">
        <v>226</v>
      </c>
      <c r="E3367" t="s">
        <v>659</v>
      </c>
      <c r="F3367">
        <f>G3367</f>
        <v>32.85</v>
      </c>
      <c r="G3367">
        <v>32.85</v>
      </c>
    </row>
    <row r="3368" spans="1:7" hidden="1" x14ac:dyDescent="0.25">
      <c r="A3368" t="s">
        <v>807</v>
      </c>
      <c r="B3368">
        <v>4783</v>
      </c>
      <c r="C3368" t="s">
        <v>4037</v>
      </c>
      <c r="D3368" t="s">
        <v>809</v>
      </c>
      <c r="E3368" t="s">
        <v>172</v>
      </c>
      <c r="F3368">
        <v>11.13</v>
      </c>
      <c r="G3368">
        <v>12.11</v>
      </c>
    </row>
    <row r="3369" spans="1:7" hidden="1" x14ac:dyDescent="0.25">
      <c r="A3369" t="s">
        <v>807</v>
      </c>
      <c r="B3369">
        <v>41079</v>
      </c>
      <c r="C3369" t="s">
        <v>4038</v>
      </c>
      <c r="D3369" t="s">
        <v>811</v>
      </c>
      <c r="E3369" t="s">
        <v>659</v>
      </c>
      <c r="F3369" s="538">
        <v>2448.6</v>
      </c>
      <c r="G3369" s="538">
        <v>2664.2</v>
      </c>
    </row>
    <row r="3370" spans="1:7" hidden="1" x14ac:dyDescent="0.25">
      <c r="A3370" t="s">
        <v>807</v>
      </c>
      <c r="B3370">
        <v>12874</v>
      </c>
      <c r="C3370" t="s">
        <v>4039</v>
      </c>
      <c r="D3370" t="s">
        <v>809</v>
      </c>
      <c r="E3370" t="s">
        <v>659</v>
      </c>
      <c r="F3370">
        <v>10.8</v>
      </c>
      <c r="G3370">
        <v>11.16</v>
      </c>
    </row>
    <row r="3371" spans="1:7" hidden="1" x14ac:dyDescent="0.25">
      <c r="A3371" t="s">
        <v>807</v>
      </c>
      <c r="B3371">
        <v>41082</v>
      </c>
      <c r="C3371" t="s">
        <v>4040</v>
      </c>
      <c r="D3371" t="s">
        <v>811</v>
      </c>
      <c r="E3371" t="s">
        <v>659</v>
      </c>
      <c r="F3371" s="538">
        <v>2377.75</v>
      </c>
      <c r="G3371" s="538">
        <v>2456.94</v>
      </c>
    </row>
    <row r="3372" spans="1:7" hidden="1" x14ac:dyDescent="0.25">
      <c r="A3372" t="s">
        <v>807</v>
      </c>
      <c r="B3372">
        <v>4785</v>
      </c>
      <c r="C3372" t="s">
        <v>4041</v>
      </c>
      <c r="D3372" t="s">
        <v>809</v>
      </c>
      <c r="E3372" t="s">
        <v>659</v>
      </c>
      <c r="F3372">
        <v>11.13</v>
      </c>
      <c r="G3372">
        <v>12.11</v>
      </c>
    </row>
    <row r="3373" spans="1:7" hidden="1" x14ac:dyDescent="0.25">
      <c r="A3373" t="s">
        <v>807</v>
      </c>
      <c r="B3373">
        <v>41081</v>
      </c>
      <c r="C3373" t="s">
        <v>4042</v>
      </c>
      <c r="D3373" t="s">
        <v>811</v>
      </c>
      <c r="E3373" t="s">
        <v>659</v>
      </c>
      <c r="F3373" s="538">
        <v>2448.6</v>
      </c>
      <c r="G3373" s="538">
        <v>2664.2</v>
      </c>
    </row>
    <row r="3374" spans="1:7" hidden="1" x14ac:dyDescent="0.25">
      <c r="A3374" t="s">
        <v>660</v>
      </c>
      <c r="B3374">
        <v>4801</v>
      </c>
      <c r="C3374" t="s">
        <v>4043</v>
      </c>
      <c r="D3374" t="s">
        <v>498</v>
      </c>
      <c r="E3374" t="s">
        <v>659</v>
      </c>
      <c r="F3374">
        <v>80.39</v>
      </c>
      <c r="G3374">
        <v>78.14</v>
      </c>
    </row>
    <row r="3375" spans="1:7" hidden="1" x14ac:dyDescent="0.25">
      <c r="A3375" t="s">
        <v>660</v>
      </c>
      <c r="B3375">
        <v>4794</v>
      </c>
      <c r="C3375" t="s">
        <v>4044</v>
      </c>
      <c r="D3375" t="s">
        <v>498</v>
      </c>
      <c r="E3375" t="s">
        <v>659</v>
      </c>
      <c r="F3375">
        <v>366.13</v>
      </c>
      <c r="G3375">
        <v>355.9</v>
      </c>
    </row>
    <row r="3376" spans="1:7" hidden="1" x14ac:dyDescent="0.25">
      <c r="A3376" t="s">
        <v>660</v>
      </c>
      <c r="B3376">
        <v>4796</v>
      </c>
      <c r="C3376" t="s">
        <v>4045</v>
      </c>
      <c r="D3376" t="s">
        <v>498</v>
      </c>
      <c r="E3376" t="s">
        <v>659</v>
      </c>
      <c r="F3376">
        <v>222.39</v>
      </c>
      <c r="G3376">
        <v>216.17</v>
      </c>
    </row>
    <row r="3377" spans="1:7" hidden="1" x14ac:dyDescent="0.25">
      <c r="A3377" t="s">
        <v>660</v>
      </c>
      <c r="B3377">
        <v>4800</v>
      </c>
      <c r="C3377" t="s">
        <v>4046</v>
      </c>
      <c r="D3377" t="s">
        <v>498</v>
      </c>
      <c r="E3377" t="s">
        <v>659</v>
      </c>
      <c r="F3377">
        <v>61.16</v>
      </c>
      <c r="G3377">
        <v>59.44</v>
      </c>
    </row>
    <row r="3378" spans="1:7" hidden="1" x14ac:dyDescent="0.25">
      <c r="A3378" t="s">
        <v>660</v>
      </c>
      <c r="B3378">
        <v>4795</v>
      </c>
      <c r="C3378" t="s">
        <v>4047</v>
      </c>
      <c r="D3378" t="s">
        <v>498</v>
      </c>
      <c r="E3378" t="s">
        <v>659</v>
      </c>
      <c r="F3378">
        <v>356.41</v>
      </c>
      <c r="G3378">
        <v>346.45</v>
      </c>
    </row>
    <row r="3379" spans="1:7" hidden="1" x14ac:dyDescent="0.25">
      <c r="A3379" t="s">
        <v>448</v>
      </c>
      <c r="B3379">
        <v>39694</v>
      </c>
      <c r="C3379" t="s">
        <v>4048</v>
      </c>
      <c r="D3379" t="s">
        <v>498</v>
      </c>
      <c r="E3379" t="s">
        <v>659</v>
      </c>
      <c r="F3379">
        <v>376.96</v>
      </c>
      <c r="G3379">
        <v>408.37</v>
      </c>
    </row>
    <row r="3380" spans="1:7" hidden="1" x14ac:dyDescent="0.25">
      <c r="A3380" t="s">
        <v>660</v>
      </c>
      <c r="B3380">
        <v>1292</v>
      </c>
      <c r="C3380" t="s">
        <v>4049</v>
      </c>
      <c r="D3380" t="s">
        <v>498</v>
      </c>
      <c r="E3380" t="s">
        <v>659</v>
      </c>
      <c r="F3380">
        <v>41.99</v>
      </c>
      <c r="G3380">
        <v>32.64</v>
      </c>
    </row>
    <row r="3381" spans="1:7" hidden="1" x14ac:dyDescent="0.25">
      <c r="A3381" t="s">
        <v>660</v>
      </c>
      <c r="B3381">
        <v>1287</v>
      </c>
      <c r="C3381" t="s">
        <v>4050</v>
      </c>
      <c r="D3381" t="s">
        <v>498</v>
      </c>
      <c r="E3381" t="s">
        <v>659</v>
      </c>
      <c r="F3381">
        <v>33.619999999999997</v>
      </c>
      <c r="G3381">
        <v>26.13</v>
      </c>
    </row>
    <row r="3382" spans="1:7" hidden="1" x14ac:dyDescent="0.25">
      <c r="A3382" t="s">
        <v>660</v>
      </c>
      <c r="B3382">
        <v>4786</v>
      </c>
      <c r="C3382" t="s">
        <v>4051</v>
      </c>
      <c r="D3382" t="s">
        <v>498</v>
      </c>
      <c r="E3382" t="s">
        <v>172</v>
      </c>
      <c r="F3382">
        <v>149.9</v>
      </c>
      <c r="G3382">
        <v>118.5</v>
      </c>
    </row>
    <row r="3383" spans="1:7" hidden="1" x14ac:dyDescent="0.25">
      <c r="A3383" t="s">
        <v>660</v>
      </c>
      <c r="B3383">
        <v>10840</v>
      </c>
      <c r="C3383" t="s">
        <v>4052</v>
      </c>
      <c r="D3383" t="s">
        <v>498</v>
      </c>
      <c r="E3383" t="s">
        <v>172</v>
      </c>
      <c r="F3383">
        <v>311.67</v>
      </c>
      <c r="G3383">
        <v>450</v>
      </c>
    </row>
    <row r="3384" spans="1:7" hidden="1" x14ac:dyDescent="0.25">
      <c r="A3384" t="s">
        <v>660</v>
      </c>
      <c r="B3384">
        <v>10841</v>
      </c>
      <c r="C3384" t="s">
        <v>4053</v>
      </c>
      <c r="D3384" t="s">
        <v>498</v>
      </c>
      <c r="E3384" t="s">
        <v>659</v>
      </c>
      <c r="F3384">
        <v>235.22</v>
      </c>
      <c r="G3384">
        <v>339.62</v>
      </c>
    </row>
    <row r="3385" spans="1:7" hidden="1" x14ac:dyDescent="0.25">
      <c r="A3385" t="s">
        <v>660</v>
      </c>
      <c r="B3385">
        <v>44540</v>
      </c>
      <c r="C3385" t="s">
        <v>4054</v>
      </c>
      <c r="D3385" t="s">
        <v>498</v>
      </c>
      <c r="E3385" t="s">
        <v>659</v>
      </c>
      <c r="F3385">
        <v>300.56</v>
      </c>
      <c r="G3385">
        <v>433.96</v>
      </c>
    </row>
    <row r="3386" spans="1:7" hidden="1" x14ac:dyDescent="0.25">
      <c r="A3386" t="s">
        <v>660</v>
      </c>
      <c r="B3386">
        <v>10842</v>
      </c>
      <c r="C3386" t="s">
        <v>4055</v>
      </c>
      <c r="D3386" t="s">
        <v>498</v>
      </c>
      <c r="E3386" t="s">
        <v>659</v>
      </c>
      <c r="F3386">
        <v>339.76</v>
      </c>
      <c r="G3386">
        <v>490.56</v>
      </c>
    </row>
    <row r="3387" spans="1:7" hidden="1" x14ac:dyDescent="0.25">
      <c r="A3387" t="s">
        <v>660</v>
      </c>
      <c r="B3387">
        <v>45190</v>
      </c>
      <c r="C3387" t="s">
        <v>4056</v>
      </c>
      <c r="D3387" t="s">
        <v>498</v>
      </c>
      <c r="E3387" t="s">
        <v>172</v>
      </c>
      <c r="F3387">
        <v>69.34</v>
      </c>
      <c r="G3387">
        <v>53.9</v>
      </c>
    </row>
    <row r="3388" spans="1:7" hidden="1" x14ac:dyDescent="0.25">
      <c r="A3388" t="s">
        <v>660</v>
      </c>
      <c r="B3388">
        <v>45191</v>
      </c>
      <c r="C3388" t="s">
        <v>4057</v>
      </c>
      <c r="D3388" t="s">
        <v>498</v>
      </c>
      <c r="E3388" t="s">
        <v>659</v>
      </c>
      <c r="F3388">
        <v>117.63</v>
      </c>
      <c r="G3388">
        <v>91.44</v>
      </c>
    </row>
    <row r="3389" spans="1:7" hidden="1" x14ac:dyDescent="0.25">
      <c r="A3389" t="s">
        <v>660</v>
      </c>
      <c r="B3389">
        <v>38180</v>
      </c>
      <c r="C3389" t="s">
        <v>4058</v>
      </c>
      <c r="D3389" t="s">
        <v>498</v>
      </c>
      <c r="E3389" t="s">
        <v>659</v>
      </c>
      <c r="F3389">
        <v>179.05</v>
      </c>
      <c r="G3389">
        <v>174.04</v>
      </c>
    </row>
    <row r="3390" spans="1:7" hidden="1" x14ac:dyDescent="0.25">
      <c r="A3390" t="s">
        <v>448</v>
      </c>
      <c r="B3390">
        <v>40648</v>
      </c>
      <c r="C3390" t="s">
        <v>4059</v>
      </c>
      <c r="D3390" t="s">
        <v>498</v>
      </c>
      <c r="E3390" t="s">
        <v>659</v>
      </c>
      <c r="F3390">
        <v>287.8</v>
      </c>
      <c r="G3390">
        <v>227.52</v>
      </c>
    </row>
    <row r="3391" spans="1:7" hidden="1" x14ac:dyDescent="0.25">
      <c r="A3391" t="s">
        <v>448</v>
      </c>
      <c r="B3391">
        <v>40649</v>
      </c>
      <c r="C3391" t="s">
        <v>4060</v>
      </c>
      <c r="D3391" t="s">
        <v>498</v>
      </c>
      <c r="E3391" t="s">
        <v>659</v>
      </c>
      <c r="F3391">
        <v>167.64</v>
      </c>
      <c r="G3391">
        <v>132.53</v>
      </c>
    </row>
    <row r="3392" spans="1:7" hidden="1" x14ac:dyDescent="0.25">
      <c r="A3392" t="s">
        <v>660</v>
      </c>
      <c r="B3392">
        <v>40650</v>
      </c>
      <c r="C3392" t="s">
        <v>4061</v>
      </c>
      <c r="D3392" t="s">
        <v>498</v>
      </c>
      <c r="E3392" t="s">
        <v>659</v>
      </c>
      <c r="F3392">
        <v>215.85</v>
      </c>
      <c r="G3392">
        <v>170.64</v>
      </c>
    </row>
    <row r="3393" spans="1:7" hidden="1" x14ac:dyDescent="0.25">
      <c r="A3393" t="s">
        <v>660</v>
      </c>
      <c r="B3393">
        <v>40651</v>
      </c>
      <c r="C3393" t="s">
        <v>4062</v>
      </c>
      <c r="D3393" t="s">
        <v>498</v>
      </c>
      <c r="E3393" t="s">
        <v>659</v>
      </c>
      <c r="F3393">
        <v>398.13</v>
      </c>
      <c r="G3393">
        <v>314.73</v>
      </c>
    </row>
    <row r="3394" spans="1:7" hidden="1" x14ac:dyDescent="0.25">
      <c r="A3394" t="s">
        <v>448</v>
      </c>
      <c r="B3394">
        <v>40652</v>
      </c>
      <c r="C3394" t="s">
        <v>4063</v>
      </c>
      <c r="D3394" t="s">
        <v>498</v>
      </c>
      <c r="E3394" t="s">
        <v>659</v>
      </c>
      <c r="F3394">
        <v>213.45</v>
      </c>
      <c r="G3394">
        <v>168.74</v>
      </c>
    </row>
    <row r="3395" spans="1:7" hidden="1" x14ac:dyDescent="0.25">
      <c r="A3395" t="s">
        <v>448</v>
      </c>
      <c r="B3395">
        <v>40647</v>
      </c>
      <c r="C3395" t="s">
        <v>4064</v>
      </c>
      <c r="D3395" t="s">
        <v>498</v>
      </c>
      <c r="E3395" t="s">
        <v>659</v>
      </c>
      <c r="F3395">
        <v>235.04</v>
      </c>
      <c r="G3395">
        <v>185.8</v>
      </c>
    </row>
    <row r="3396" spans="1:7" hidden="1" x14ac:dyDescent="0.25">
      <c r="A3396" t="s">
        <v>448</v>
      </c>
      <c r="B3396">
        <v>40653</v>
      </c>
      <c r="C3396" t="s">
        <v>4065</v>
      </c>
      <c r="D3396" t="s">
        <v>498</v>
      </c>
      <c r="E3396" t="s">
        <v>659</v>
      </c>
      <c r="F3396">
        <v>179.88</v>
      </c>
      <c r="G3396">
        <v>142.19999999999999</v>
      </c>
    </row>
    <row r="3397" spans="1:7" hidden="1" x14ac:dyDescent="0.25">
      <c r="A3397" t="s">
        <v>660</v>
      </c>
      <c r="B3397">
        <v>38135</v>
      </c>
      <c r="C3397" t="s">
        <v>4066</v>
      </c>
      <c r="D3397" t="s">
        <v>498</v>
      </c>
      <c r="E3397" t="s">
        <v>659</v>
      </c>
      <c r="F3397">
        <v>88.33</v>
      </c>
      <c r="G3397">
        <v>113.46</v>
      </c>
    </row>
    <row r="3398" spans="1:7" hidden="1" x14ac:dyDescent="0.25">
      <c r="A3398" t="s">
        <v>660</v>
      </c>
      <c r="B3398">
        <v>36178</v>
      </c>
      <c r="C3398" t="s">
        <v>4067</v>
      </c>
      <c r="D3398" t="s">
        <v>226</v>
      </c>
      <c r="E3398" t="s">
        <v>659</v>
      </c>
      <c r="F3398">
        <v>14.77</v>
      </c>
      <c r="G3398">
        <v>18.97</v>
      </c>
    </row>
    <row r="3399" spans="1:7" hidden="1" x14ac:dyDescent="0.25">
      <c r="A3399" t="s">
        <v>660</v>
      </c>
      <c r="B3399">
        <v>38181</v>
      </c>
      <c r="C3399" t="s">
        <v>4068</v>
      </c>
      <c r="D3399" t="s">
        <v>498</v>
      </c>
      <c r="E3399" t="s">
        <v>659</v>
      </c>
      <c r="F3399">
        <v>244.43</v>
      </c>
      <c r="G3399">
        <v>237.59</v>
      </c>
    </row>
    <row r="3400" spans="1:7" hidden="1" x14ac:dyDescent="0.25">
      <c r="A3400" t="s">
        <v>660</v>
      </c>
      <c r="B3400">
        <v>38182</v>
      </c>
      <c r="C3400" t="s">
        <v>4069</v>
      </c>
      <c r="D3400" t="s">
        <v>498</v>
      </c>
      <c r="E3400" t="s">
        <v>659</v>
      </c>
      <c r="F3400">
        <v>232.83</v>
      </c>
      <c r="G3400">
        <v>226.31</v>
      </c>
    </row>
    <row r="3401" spans="1:7" hidden="1" x14ac:dyDescent="0.25">
      <c r="A3401" t="s">
        <v>660</v>
      </c>
      <c r="B3401">
        <v>38186</v>
      </c>
      <c r="C3401" t="s">
        <v>4070</v>
      </c>
      <c r="D3401" t="s">
        <v>498</v>
      </c>
      <c r="E3401" t="s">
        <v>659</v>
      </c>
      <c r="F3401">
        <v>605.20000000000005</v>
      </c>
      <c r="G3401">
        <v>588.27</v>
      </c>
    </row>
    <row r="3402" spans="1:7" hidden="1" x14ac:dyDescent="0.25">
      <c r="A3402" t="s">
        <v>660</v>
      </c>
      <c r="B3402">
        <v>38185</v>
      </c>
      <c r="C3402" t="s">
        <v>4071</v>
      </c>
      <c r="D3402" t="s">
        <v>498</v>
      </c>
      <c r="E3402" t="s">
        <v>659</v>
      </c>
      <c r="F3402">
        <v>538.84</v>
      </c>
      <c r="G3402">
        <v>523.77</v>
      </c>
    </row>
    <row r="3403" spans="1:7" hidden="1" x14ac:dyDescent="0.25">
      <c r="A3403" t="s">
        <v>448</v>
      </c>
      <c r="B3403">
        <v>40654</v>
      </c>
      <c r="C3403" t="s">
        <v>4072</v>
      </c>
      <c r="D3403" t="s">
        <v>498</v>
      </c>
      <c r="E3403" t="s">
        <v>659</v>
      </c>
      <c r="F3403">
        <v>279.41000000000003</v>
      </c>
      <c r="G3403">
        <v>220.88</v>
      </c>
    </row>
    <row r="3404" spans="1:7" hidden="1" x14ac:dyDescent="0.25">
      <c r="A3404" t="s">
        <v>660</v>
      </c>
      <c r="B3404">
        <v>44541</v>
      </c>
      <c r="C3404" t="s">
        <v>4073</v>
      </c>
      <c r="D3404" t="s">
        <v>498</v>
      </c>
      <c r="E3404" t="s">
        <v>659</v>
      </c>
      <c r="F3404">
        <v>248.29</v>
      </c>
      <c r="G3404">
        <v>358.49</v>
      </c>
    </row>
    <row r="3405" spans="1:7" hidden="1" x14ac:dyDescent="0.25">
      <c r="A3405" t="s">
        <v>660</v>
      </c>
      <c r="B3405">
        <v>4822</v>
      </c>
      <c r="C3405" t="s">
        <v>4074</v>
      </c>
      <c r="D3405" t="s">
        <v>498</v>
      </c>
      <c r="E3405" t="s">
        <v>659</v>
      </c>
      <c r="F3405">
        <v>316.17</v>
      </c>
      <c r="G3405">
        <v>519.85</v>
      </c>
    </row>
    <row r="3406" spans="1:7" hidden="1" x14ac:dyDescent="0.25">
      <c r="A3406" t="s">
        <v>660</v>
      </c>
      <c r="B3406">
        <v>4818</v>
      </c>
      <c r="C3406" t="s">
        <v>4075</v>
      </c>
      <c r="D3406" t="s">
        <v>498</v>
      </c>
      <c r="E3406" t="s">
        <v>172</v>
      </c>
      <c r="F3406">
        <v>324.98</v>
      </c>
      <c r="G3406">
        <v>534.33000000000004</v>
      </c>
    </row>
    <row r="3407" spans="1:7" hidden="1" x14ac:dyDescent="0.25">
      <c r="A3407" t="s">
        <v>660</v>
      </c>
      <c r="B3407">
        <v>39567</v>
      </c>
      <c r="C3407" t="s">
        <v>4076</v>
      </c>
      <c r="D3407" t="s">
        <v>498</v>
      </c>
      <c r="E3407" t="s">
        <v>659</v>
      </c>
      <c r="F3407">
        <v>44.08</v>
      </c>
      <c r="G3407">
        <v>41.67</v>
      </c>
    </row>
    <row r="3408" spans="1:7" hidden="1" x14ac:dyDescent="0.25">
      <c r="A3408" t="s">
        <v>660</v>
      </c>
      <c r="B3408">
        <v>39566</v>
      </c>
      <c r="C3408" t="s">
        <v>4077</v>
      </c>
      <c r="D3408" t="s">
        <v>498</v>
      </c>
      <c r="E3408" t="s">
        <v>659</v>
      </c>
      <c r="F3408">
        <v>46.65</v>
      </c>
      <c r="G3408">
        <v>44.11</v>
      </c>
    </row>
    <row r="3409" spans="1:7" hidden="1" x14ac:dyDescent="0.25">
      <c r="A3409" t="s">
        <v>660</v>
      </c>
      <c r="B3409">
        <v>39416</v>
      </c>
      <c r="C3409" t="s">
        <v>4078</v>
      </c>
      <c r="D3409" t="s">
        <v>498</v>
      </c>
      <c r="E3409" t="s">
        <v>659</v>
      </c>
      <c r="F3409">
        <v>28.43</v>
      </c>
      <c r="G3409">
        <v>26.88</v>
      </c>
    </row>
    <row r="3410" spans="1:7" hidden="1" x14ac:dyDescent="0.25">
      <c r="A3410" t="s">
        <v>660</v>
      </c>
      <c r="B3410">
        <v>39417</v>
      </c>
      <c r="C3410" t="s">
        <v>4079</v>
      </c>
      <c r="D3410" t="s">
        <v>498</v>
      </c>
      <c r="E3410" t="s">
        <v>659</v>
      </c>
      <c r="F3410">
        <v>27.73</v>
      </c>
      <c r="G3410">
        <v>26.22</v>
      </c>
    </row>
    <row r="3411" spans="1:7" hidden="1" x14ac:dyDescent="0.25">
      <c r="A3411" t="s">
        <v>660</v>
      </c>
      <c r="B3411">
        <v>43742</v>
      </c>
      <c r="C3411" t="s">
        <v>4080</v>
      </c>
      <c r="D3411" t="s">
        <v>498</v>
      </c>
      <c r="E3411" t="s">
        <v>659</v>
      </c>
      <c r="F3411">
        <v>29.91</v>
      </c>
      <c r="G3411">
        <v>28.28</v>
      </c>
    </row>
    <row r="3412" spans="1:7" hidden="1" x14ac:dyDescent="0.25">
      <c r="A3412" t="s">
        <v>660</v>
      </c>
      <c r="B3412">
        <v>39414</v>
      </c>
      <c r="C3412" t="s">
        <v>4081</v>
      </c>
      <c r="D3412" t="s">
        <v>498</v>
      </c>
      <c r="E3412" t="s">
        <v>659</v>
      </c>
      <c r="F3412">
        <v>26.93</v>
      </c>
      <c r="G3412">
        <v>25.46</v>
      </c>
    </row>
    <row r="3413" spans="1:7" hidden="1" x14ac:dyDescent="0.25">
      <c r="A3413" t="s">
        <v>660</v>
      </c>
      <c r="B3413">
        <v>39415</v>
      </c>
      <c r="C3413" t="s">
        <v>4082</v>
      </c>
      <c r="D3413" t="s">
        <v>498</v>
      </c>
      <c r="E3413" t="s">
        <v>659</v>
      </c>
      <c r="F3413">
        <v>23.21</v>
      </c>
      <c r="G3413">
        <v>21.94</v>
      </c>
    </row>
    <row r="3414" spans="1:7" hidden="1" x14ac:dyDescent="0.25">
      <c r="A3414" t="s">
        <v>660</v>
      </c>
      <c r="B3414">
        <v>43740</v>
      </c>
      <c r="C3414" t="s">
        <v>4083</v>
      </c>
      <c r="D3414" t="s">
        <v>498</v>
      </c>
      <c r="E3414" t="s">
        <v>659</v>
      </c>
      <c r="F3414">
        <v>28.34</v>
      </c>
      <c r="G3414">
        <v>26.8</v>
      </c>
    </row>
    <row r="3415" spans="1:7" hidden="1" x14ac:dyDescent="0.25">
      <c r="A3415" t="s">
        <v>660</v>
      </c>
      <c r="B3415">
        <v>39412</v>
      </c>
      <c r="C3415" t="s">
        <v>4084</v>
      </c>
      <c r="D3415" t="s">
        <v>498</v>
      </c>
      <c r="E3415" t="s">
        <v>172</v>
      </c>
      <c r="F3415">
        <v>19.440000000000001</v>
      </c>
      <c r="G3415">
        <v>18.38</v>
      </c>
    </row>
    <row r="3416" spans="1:7" hidden="1" x14ac:dyDescent="0.25">
      <c r="A3416" t="s">
        <v>660</v>
      </c>
      <c r="B3416">
        <v>39413</v>
      </c>
      <c r="C3416" t="s">
        <v>4085</v>
      </c>
      <c r="D3416" t="s">
        <v>498</v>
      </c>
      <c r="E3416" t="s">
        <v>659</v>
      </c>
      <c r="F3416">
        <v>21.02</v>
      </c>
      <c r="G3416">
        <v>19.87</v>
      </c>
    </row>
    <row r="3417" spans="1:7" hidden="1" x14ac:dyDescent="0.25">
      <c r="A3417" t="s">
        <v>660</v>
      </c>
      <c r="B3417">
        <v>43741</v>
      </c>
      <c r="C3417" t="s">
        <v>4086</v>
      </c>
      <c r="D3417" t="s">
        <v>498</v>
      </c>
      <c r="E3417" t="s">
        <v>659</v>
      </c>
      <c r="F3417">
        <v>22.41</v>
      </c>
      <c r="G3417">
        <v>21.19</v>
      </c>
    </row>
    <row r="3418" spans="1:7" hidden="1" x14ac:dyDescent="0.25">
      <c r="A3418" t="s">
        <v>660</v>
      </c>
      <c r="B3418">
        <v>11062</v>
      </c>
      <c r="C3418" t="s">
        <v>4087</v>
      </c>
      <c r="D3418" t="s">
        <v>498</v>
      </c>
      <c r="E3418" t="s">
        <v>659</v>
      </c>
      <c r="F3418">
        <v>43.82</v>
      </c>
      <c r="G3418">
        <v>45.06</v>
      </c>
    </row>
    <row r="3419" spans="1:7" hidden="1" x14ac:dyDescent="0.25">
      <c r="A3419" t="s">
        <v>660</v>
      </c>
      <c r="B3419">
        <v>11063</v>
      </c>
      <c r="C3419" t="s">
        <v>4088</v>
      </c>
      <c r="D3419" t="s">
        <v>498</v>
      </c>
      <c r="E3419" t="s">
        <v>659</v>
      </c>
      <c r="F3419">
        <v>26.82</v>
      </c>
      <c r="G3419">
        <v>27.58</v>
      </c>
    </row>
    <row r="3420" spans="1:7" hidden="1" x14ac:dyDescent="0.25">
      <c r="A3420" t="s">
        <v>660</v>
      </c>
      <c r="B3420">
        <v>13521</v>
      </c>
      <c r="C3420" t="s">
        <v>4089</v>
      </c>
      <c r="D3420" t="s">
        <v>226</v>
      </c>
      <c r="E3420" t="s">
        <v>659</v>
      </c>
      <c r="F3420">
        <v>145.03</v>
      </c>
      <c r="G3420">
        <v>132</v>
      </c>
    </row>
    <row r="3421" spans="1:7" hidden="1" x14ac:dyDescent="0.25">
      <c r="A3421" t="s">
        <v>660</v>
      </c>
      <c r="B3421">
        <v>10851</v>
      </c>
      <c r="C3421" t="s">
        <v>4090</v>
      </c>
      <c r="D3421" t="s">
        <v>226</v>
      </c>
      <c r="E3421" t="s">
        <v>659</v>
      </c>
      <c r="F3421">
        <v>73.44</v>
      </c>
      <c r="G3421">
        <v>64.39</v>
      </c>
    </row>
    <row r="3422" spans="1:7" hidden="1" x14ac:dyDescent="0.25">
      <c r="A3422" t="s">
        <v>660</v>
      </c>
      <c r="B3422">
        <v>39515</v>
      </c>
      <c r="C3422" t="s">
        <v>4091</v>
      </c>
      <c r="D3422" t="s">
        <v>226</v>
      </c>
      <c r="E3422" t="s">
        <v>659</v>
      </c>
      <c r="F3422">
        <f>G3422</f>
        <v>57.63</v>
      </c>
      <c r="G3422">
        <v>57.63</v>
      </c>
    </row>
    <row r="3423" spans="1:7" hidden="1" x14ac:dyDescent="0.25">
      <c r="A3423" t="s">
        <v>660</v>
      </c>
      <c r="B3423">
        <v>39516</v>
      </c>
      <c r="C3423" t="s">
        <v>4092</v>
      </c>
      <c r="D3423" t="s">
        <v>226</v>
      </c>
      <c r="E3423" t="s">
        <v>659</v>
      </c>
      <c r="F3423">
        <f>G3423</f>
        <v>48.59</v>
      </c>
      <c r="G3423">
        <v>48.59</v>
      </c>
    </row>
    <row r="3424" spans="1:7" hidden="1" x14ac:dyDescent="0.25">
      <c r="A3424" t="s">
        <v>660</v>
      </c>
      <c r="B3424">
        <v>39514</v>
      </c>
      <c r="C3424" t="s">
        <v>4093</v>
      </c>
      <c r="D3424" t="s">
        <v>226</v>
      </c>
      <c r="E3424" t="s">
        <v>172</v>
      </c>
      <c r="F3424">
        <f>G3424</f>
        <v>30.23</v>
      </c>
      <c r="G3424">
        <v>30.23</v>
      </c>
    </row>
    <row r="3425" spans="1:7" hidden="1" x14ac:dyDescent="0.25">
      <c r="A3425" t="s">
        <v>660</v>
      </c>
      <c r="B3425">
        <v>4812</v>
      </c>
      <c r="C3425" t="s">
        <v>4094</v>
      </c>
      <c r="D3425" t="s">
        <v>498</v>
      </c>
      <c r="E3425" t="s">
        <v>659</v>
      </c>
      <c r="F3425">
        <v>11.66</v>
      </c>
      <c r="G3425">
        <v>11.02</v>
      </c>
    </row>
    <row r="3426" spans="1:7" hidden="1" x14ac:dyDescent="0.25">
      <c r="A3426" t="s">
        <v>660</v>
      </c>
      <c r="B3426">
        <v>10849</v>
      </c>
      <c r="C3426" t="s">
        <v>4095</v>
      </c>
      <c r="D3426" t="s">
        <v>226</v>
      </c>
      <c r="E3426" t="s">
        <v>659</v>
      </c>
      <c r="F3426" s="538">
        <v>2109.62</v>
      </c>
      <c r="G3426" s="538">
        <v>1920.01</v>
      </c>
    </row>
    <row r="3427" spans="1:7" hidden="1" x14ac:dyDescent="0.25">
      <c r="A3427" t="s">
        <v>660</v>
      </c>
      <c r="B3427">
        <v>10848</v>
      </c>
      <c r="C3427" t="s">
        <v>4096</v>
      </c>
      <c r="D3427" t="s">
        <v>226</v>
      </c>
      <c r="E3427" t="s">
        <v>659</v>
      </c>
      <c r="F3427" s="538">
        <v>1325.1</v>
      </c>
      <c r="G3427" s="538">
        <v>1206.01</v>
      </c>
    </row>
    <row r="3428" spans="1:7" hidden="1" x14ac:dyDescent="0.25">
      <c r="A3428" t="s">
        <v>660</v>
      </c>
      <c r="B3428">
        <v>4813</v>
      </c>
      <c r="C3428" t="s">
        <v>4097</v>
      </c>
      <c r="D3428" t="s">
        <v>498</v>
      </c>
      <c r="E3428" t="s">
        <v>172</v>
      </c>
      <c r="F3428">
        <v>439.5</v>
      </c>
      <c r="G3428">
        <v>400</v>
      </c>
    </row>
    <row r="3429" spans="1:7" hidden="1" x14ac:dyDescent="0.25">
      <c r="A3429" t="s">
        <v>660</v>
      </c>
      <c r="B3429">
        <v>37560</v>
      </c>
      <c r="C3429" t="s">
        <v>4098</v>
      </c>
      <c r="D3429" t="s">
        <v>226</v>
      </c>
      <c r="E3429" t="s">
        <v>659</v>
      </c>
      <c r="F3429">
        <v>19.68</v>
      </c>
      <c r="G3429">
        <v>43.11</v>
      </c>
    </row>
    <row r="3430" spans="1:7" hidden="1" x14ac:dyDescent="0.25">
      <c r="A3430" t="s">
        <v>660</v>
      </c>
      <c r="B3430">
        <v>37557</v>
      </c>
      <c r="C3430" t="s">
        <v>4099</v>
      </c>
      <c r="D3430" t="s">
        <v>226</v>
      </c>
      <c r="E3430" t="s">
        <v>659</v>
      </c>
      <c r="F3430">
        <v>5.97</v>
      </c>
      <c r="G3430">
        <v>13.09</v>
      </c>
    </row>
    <row r="3431" spans="1:7" hidden="1" x14ac:dyDescent="0.25">
      <c r="A3431" t="s">
        <v>660</v>
      </c>
      <c r="B3431">
        <v>37556</v>
      </c>
      <c r="C3431" t="s">
        <v>4100</v>
      </c>
      <c r="D3431" t="s">
        <v>226</v>
      </c>
      <c r="E3431" t="s">
        <v>659</v>
      </c>
      <c r="F3431">
        <v>11.56</v>
      </c>
      <c r="G3431">
        <v>25.33</v>
      </c>
    </row>
    <row r="3432" spans="1:7" hidden="1" x14ac:dyDescent="0.25">
      <c r="A3432" t="s">
        <v>660</v>
      </c>
      <c r="B3432">
        <v>37559</v>
      </c>
      <c r="C3432" t="s">
        <v>4101</v>
      </c>
      <c r="D3432" t="s">
        <v>226</v>
      </c>
      <c r="E3432" t="s">
        <v>659</v>
      </c>
      <c r="F3432">
        <v>14.18</v>
      </c>
      <c r="G3432">
        <v>31.07</v>
      </c>
    </row>
    <row r="3433" spans="1:7" hidden="1" x14ac:dyDescent="0.25">
      <c r="A3433" t="s">
        <v>660</v>
      </c>
      <c r="B3433">
        <v>37539</v>
      </c>
      <c r="C3433" t="s">
        <v>4102</v>
      </c>
      <c r="D3433" t="s">
        <v>226</v>
      </c>
      <c r="E3433" t="s">
        <v>172</v>
      </c>
      <c r="F3433">
        <v>10</v>
      </c>
      <c r="G3433">
        <v>21.9</v>
      </c>
    </row>
    <row r="3434" spans="1:7" hidden="1" x14ac:dyDescent="0.25">
      <c r="A3434" t="s">
        <v>660</v>
      </c>
      <c r="B3434">
        <v>37558</v>
      </c>
      <c r="C3434" t="s">
        <v>4103</v>
      </c>
      <c r="D3434" t="s">
        <v>226</v>
      </c>
      <c r="E3434" t="s">
        <v>659</v>
      </c>
      <c r="F3434">
        <v>18.64</v>
      </c>
      <c r="G3434">
        <v>40.83</v>
      </c>
    </row>
    <row r="3435" spans="1:7" hidden="1" x14ac:dyDescent="0.25">
      <c r="A3435" t="s">
        <v>660</v>
      </c>
      <c r="B3435">
        <v>34723</v>
      </c>
      <c r="C3435" t="s">
        <v>4104</v>
      </c>
      <c r="D3435" t="s">
        <v>498</v>
      </c>
      <c r="E3435" t="s">
        <v>659</v>
      </c>
      <c r="F3435" s="538">
        <v>1015.25</v>
      </c>
      <c r="G3435">
        <v>924</v>
      </c>
    </row>
    <row r="3436" spans="1:7" hidden="1" x14ac:dyDescent="0.25">
      <c r="A3436" t="s">
        <v>660</v>
      </c>
      <c r="B3436">
        <v>34721</v>
      </c>
      <c r="C3436" t="s">
        <v>4105</v>
      </c>
      <c r="D3436" t="s">
        <v>498</v>
      </c>
      <c r="E3436" t="s">
        <v>659</v>
      </c>
      <c r="F3436" s="538">
        <v>1265.77</v>
      </c>
      <c r="G3436" s="538">
        <v>1152.01</v>
      </c>
    </row>
    <row r="3437" spans="1:7" hidden="1" x14ac:dyDescent="0.25">
      <c r="A3437" t="s">
        <v>660</v>
      </c>
      <c r="B3437">
        <v>4309</v>
      </c>
      <c r="C3437" t="s">
        <v>4106</v>
      </c>
      <c r="D3437" t="s">
        <v>226</v>
      </c>
      <c r="E3437" t="s">
        <v>659</v>
      </c>
      <c r="F3437">
        <v>7.44</v>
      </c>
      <c r="G3437">
        <v>8.1</v>
      </c>
    </row>
    <row r="3438" spans="1:7" hidden="1" x14ac:dyDescent="0.25">
      <c r="A3438" t="s">
        <v>660</v>
      </c>
      <c r="B3438">
        <v>4307</v>
      </c>
      <c r="C3438" t="s">
        <v>4107</v>
      </c>
      <c r="D3438" t="s">
        <v>226</v>
      </c>
      <c r="E3438" t="s">
        <v>659</v>
      </c>
      <c r="F3438">
        <v>12.73</v>
      </c>
      <c r="G3438">
        <v>13.86</v>
      </c>
    </row>
    <row r="3439" spans="1:7" hidden="1" x14ac:dyDescent="0.25">
      <c r="A3439" t="s">
        <v>660</v>
      </c>
      <c r="B3439">
        <v>10850</v>
      </c>
      <c r="C3439" t="s">
        <v>4108</v>
      </c>
      <c r="D3439" t="s">
        <v>226</v>
      </c>
      <c r="E3439" t="s">
        <v>659</v>
      </c>
      <c r="F3439">
        <v>65.92</v>
      </c>
      <c r="G3439">
        <v>60</v>
      </c>
    </row>
    <row r="3440" spans="1:7" hidden="1" x14ac:dyDescent="0.25">
      <c r="A3440" t="s">
        <v>660</v>
      </c>
      <c r="B3440">
        <v>42438</v>
      </c>
      <c r="C3440" t="s">
        <v>4109</v>
      </c>
      <c r="D3440" t="s">
        <v>226</v>
      </c>
      <c r="E3440" t="s">
        <v>659</v>
      </c>
      <c r="F3440">
        <f>G3440</f>
        <v>2090.75</v>
      </c>
      <c r="G3440" s="538">
        <v>2090.75</v>
      </c>
    </row>
    <row r="3441" spans="1:7" hidden="1" x14ac:dyDescent="0.25">
      <c r="A3441" t="s">
        <v>660</v>
      </c>
      <c r="B3441">
        <v>4792</v>
      </c>
      <c r="C3441" t="s">
        <v>4110</v>
      </c>
      <c r="D3441" t="s">
        <v>498</v>
      </c>
      <c r="E3441" t="s">
        <v>659</v>
      </c>
      <c r="F3441">
        <v>171.88</v>
      </c>
      <c r="G3441">
        <v>167.07</v>
      </c>
    </row>
    <row r="3442" spans="1:7" hidden="1" x14ac:dyDescent="0.25">
      <c r="A3442" t="s">
        <v>660</v>
      </c>
      <c r="B3442">
        <v>4790</v>
      </c>
      <c r="C3442" t="s">
        <v>4111</v>
      </c>
      <c r="D3442" t="s">
        <v>498</v>
      </c>
      <c r="E3442" t="s">
        <v>172</v>
      </c>
      <c r="F3442">
        <v>103.34</v>
      </c>
      <c r="G3442">
        <v>100.45</v>
      </c>
    </row>
    <row r="3443" spans="1:7" hidden="1" x14ac:dyDescent="0.25">
      <c r="A3443" t="s">
        <v>660</v>
      </c>
      <c r="B3443">
        <v>40671</v>
      </c>
      <c r="C3443" t="s">
        <v>4112</v>
      </c>
      <c r="D3443" t="s">
        <v>498</v>
      </c>
      <c r="E3443" t="s">
        <v>659</v>
      </c>
      <c r="F3443">
        <v>92.08</v>
      </c>
      <c r="G3443">
        <v>118.28</v>
      </c>
    </row>
    <row r="3444" spans="1:7" hidden="1" x14ac:dyDescent="0.25">
      <c r="A3444" t="s">
        <v>660</v>
      </c>
      <c r="B3444">
        <v>7552</v>
      </c>
      <c r="C3444" t="s">
        <v>4113</v>
      </c>
      <c r="D3444" t="s">
        <v>226</v>
      </c>
      <c r="E3444" t="s">
        <v>659</v>
      </c>
      <c r="F3444">
        <v>31.65</v>
      </c>
      <c r="G3444">
        <v>20.7</v>
      </c>
    </row>
    <row r="3445" spans="1:7" hidden="1" x14ac:dyDescent="0.25">
      <c r="A3445" t="s">
        <v>660</v>
      </c>
      <c r="B3445">
        <v>4893</v>
      </c>
      <c r="C3445" t="s">
        <v>4114</v>
      </c>
      <c r="D3445" t="s">
        <v>226</v>
      </c>
      <c r="E3445" t="s">
        <v>659</v>
      </c>
      <c r="F3445">
        <v>14.09</v>
      </c>
      <c r="G3445">
        <v>14.7</v>
      </c>
    </row>
    <row r="3446" spans="1:7" hidden="1" x14ac:dyDescent="0.25">
      <c r="A3446" t="s">
        <v>660</v>
      </c>
      <c r="B3446">
        <v>4894</v>
      </c>
      <c r="C3446" t="s">
        <v>4115</v>
      </c>
      <c r="D3446" t="s">
        <v>226</v>
      </c>
      <c r="E3446" t="s">
        <v>659</v>
      </c>
      <c r="F3446">
        <v>12.09</v>
      </c>
      <c r="G3446">
        <v>12.61</v>
      </c>
    </row>
    <row r="3447" spans="1:7" hidden="1" x14ac:dyDescent="0.25">
      <c r="A3447" t="s">
        <v>660</v>
      </c>
      <c r="B3447">
        <v>4890</v>
      </c>
      <c r="C3447" t="s">
        <v>4116</v>
      </c>
      <c r="D3447" t="s">
        <v>226</v>
      </c>
      <c r="E3447" t="s">
        <v>659</v>
      </c>
      <c r="F3447">
        <v>7.74</v>
      </c>
      <c r="G3447">
        <v>8.07</v>
      </c>
    </row>
    <row r="3448" spans="1:7" hidden="1" x14ac:dyDescent="0.25">
      <c r="A3448" t="s">
        <v>660</v>
      </c>
      <c r="B3448">
        <v>4888</v>
      </c>
      <c r="C3448" t="s">
        <v>4117</v>
      </c>
      <c r="D3448" t="s">
        <v>226</v>
      </c>
      <c r="E3448" t="s">
        <v>659</v>
      </c>
      <c r="F3448">
        <v>4.12</v>
      </c>
      <c r="G3448">
        <v>4.29</v>
      </c>
    </row>
    <row r="3449" spans="1:7" hidden="1" x14ac:dyDescent="0.25">
      <c r="A3449" t="s">
        <v>660</v>
      </c>
      <c r="B3449">
        <v>12411</v>
      </c>
      <c r="C3449" t="s">
        <v>4118</v>
      </c>
      <c r="D3449" t="s">
        <v>226</v>
      </c>
      <c r="E3449" t="s">
        <v>659</v>
      </c>
      <c r="F3449">
        <v>41.66</v>
      </c>
      <c r="G3449">
        <v>43.46</v>
      </c>
    </row>
    <row r="3450" spans="1:7" hidden="1" x14ac:dyDescent="0.25">
      <c r="A3450" t="s">
        <v>660</v>
      </c>
      <c r="B3450">
        <v>4891</v>
      </c>
      <c r="C3450" t="s">
        <v>4119</v>
      </c>
      <c r="D3450" t="s">
        <v>226</v>
      </c>
      <c r="E3450" t="s">
        <v>659</v>
      </c>
      <c r="F3450">
        <v>20.83</v>
      </c>
      <c r="G3450">
        <v>21.73</v>
      </c>
    </row>
    <row r="3451" spans="1:7" hidden="1" x14ac:dyDescent="0.25">
      <c r="A3451" t="s">
        <v>660</v>
      </c>
      <c r="B3451">
        <v>4892</v>
      </c>
      <c r="C3451" t="s">
        <v>4120</v>
      </c>
      <c r="D3451" t="s">
        <v>226</v>
      </c>
      <c r="E3451" t="s">
        <v>659</v>
      </c>
      <c r="F3451">
        <v>58.34</v>
      </c>
      <c r="G3451">
        <v>60.85</v>
      </c>
    </row>
    <row r="3452" spans="1:7" hidden="1" x14ac:dyDescent="0.25">
      <c r="A3452" t="s">
        <v>660</v>
      </c>
      <c r="B3452">
        <v>4889</v>
      </c>
      <c r="C3452" t="s">
        <v>4121</v>
      </c>
      <c r="D3452" t="s">
        <v>226</v>
      </c>
      <c r="E3452" t="s">
        <v>659</v>
      </c>
      <c r="F3452">
        <v>5.57</v>
      </c>
      <c r="G3452">
        <v>5.81</v>
      </c>
    </row>
    <row r="3453" spans="1:7" hidden="1" x14ac:dyDescent="0.25">
      <c r="A3453" t="s">
        <v>660</v>
      </c>
      <c r="B3453">
        <v>12412</v>
      </c>
      <c r="C3453" t="s">
        <v>4122</v>
      </c>
      <c r="D3453" t="s">
        <v>226</v>
      </c>
      <c r="E3453" t="s">
        <v>659</v>
      </c>
      <c r="F3453">
        <v>108.43</v>
      </c>
      <c r="G3453">
        <v>113.09</v>
      </c>
    </row>
    <row r="3454" spans="1:7" hidden="1" x14ac:dyDescent="0.25">
      <c r="A3454" t="s">
        <v>660</v>
      </c>
      <c r="B3454">
        <v>4907</v>
      </c>
      <c r="C3454" t="s">
        <v>4123</v>
      </c>
      <c r="D3454" t="s">
        <v>226</v>
      </c>
      <c r="E3454" t="s">
        <v>659</v>
      </c>
      <c r="F3454">
        <v>22.37</v>
      </c>
      <c r="G3454">
        <v>23.13</v>
      </c>
    </row>
    <row r="3455" spans="1:7" hidden="1" x14ac:dyDescent="0.25">
      <c r="A3455" t="s">
        <v>660</v>
      </c>
      <c r="B3455">
        <v>4902</v>
      </c>
      <c r="C3455" t="s">
        <v>4124</v>
      </c>
      <c r="D3455" t="s">
        <v>226</v>
      </c>
      <c r="E3455" t="s">
        <v>659</v>
      </c>
      <c r="F3455">
        <v>58.04</v>
      </c>
      <c r="G3455">
        <v>60</v>
      </c>
    </row>
    <row r="3456" spans="1:7" hidden="1" x14ac:dyDescent="0.25">
      <c r="A3456" t="s">
        <v>660</v>
      </c>
      <c r="B3456">
        <v>4741</v>
      </c>
      <c r="C3456" t="s">
        <v>4125</v>
      </c>
      <c r="D3456" t="s">
        <v>806</v>
      </c>
      <c r="E3456" t="s">
        <v>659</v>
      </c>
      <c r="F3456">
        <v>119.89</v>
      </c>
      <c r="G3456">
        <v>73.47</v>
      </c>
    </row>
    <row r="3457" spans="1:7" hidden="1" x14ac:dyDescent="0.25">
      <c r="A3457" t="s">
        <v>807</v>
      </c>
      <c r="B3457">
        <v>4752</v>
      </c>
      <c r="C3457" t="s">
        <v>4126</v>
      </c>
      <c r="D3457" t="s">
        <v>809</v>
      </c>
      <c r="E3457" t="s">
        <v>659</v>
      </c>
      <c r="F3457">
        <v>10.32</v>
      </c>
      <c r="G3457">
        <v>12.32</v>
      </c>
    </row>
    <row r="3458" spans="1:7" hidden="1" x14ac:dyDescent="0.25">
      <c r="A3458" t="s">
        <v>807</v>
      </c>
      <c r="B3458">
        <v>41091</v>
      </c>
      <c r="C3458" t="s">
        <v>4127</v>
      </c>
      <c r="D3458" t="s">
        <v>811</v>
      </c>
      <c r="E3458" t="s">
        <v>659</v>
      </c>
      <c r="F3458" s="538">
        <v>2270.4699999999998</v>
      </c>
      <c r="G3458" s="538">
        <v>2711.31</v>
      </c>
    </row>
    <row r="3459" spans="1:7" hidden="1" x14ac:dyDescent="0.25">
      <c r="A3459" t="s">
        <v>842</v>
      </c>
      <c r="B3459">
        <v>13954</v>
      </c>
      <c r="C3459" t="s">
        <v>4128</v>
      </c>
      <c r="D3459" t="s">
        <v>226</v>
      </c>
      <c r="E3459" t="s">
        <v>659</v>
      </c>
      <c r="F3459">
        <f>G3459</f>
        <v>9574.08</v>
      </c>
      <c r="G3459" s="538">
        <v>9574.08</v>
      </c>
    </row>
    <row r="3460" spans="1:7" hidden="1" x14ac:dyDescent="0.25">
      <c r="A3460" t="s">
        <v>660</v>
      </c>
      <c r="B3460">
        <v>3411</v>
      </c>
      <c r="C3460" t="s">
        <v>4129</v>
      </c>
      <c r="D3460" t="s">
        <v>708</v>
      </c>
      <c r="E3460" t="s">
        <v>659</v>
      </c>
      <c r="F3460">
        <v>35.770000000000003</v>
      </c>
      <c r="G3460">
        <v>57.18</v>
      </c>
    </row>
    <row r="3461" spans="1:7" hidden="1" x14ac:dyDescent="0.25">
      <c r="A3461" t="s">
        <v>660</v>
      </c>
      <c r="B3461">
        <v>39995</v>
      </c>
      <c r="C3461" t="s">
        <v>4130</v>
      </c>
      <c r="D3461" t="s">
        <v>806</v>
      </c>
      <c r="E3461" t="s">
        <v>659</v>
      </c>
      <c r="F3461">
        <v>275.23</v>
      </c>
      <c r="G3461">
        <v>439.92</v>
      </c>
    </row>
    <row r="3462" spans="1:7" hidden="1" x14ac:dyDescent="0.25">
      <c r="A3462" t="s">
        <v>660</v>
      </c>
      <c r="B3462">
        <v>11615</v>
      </c>
      <c r="C3462" t="s">
        <v>4131</v>
      </c>
      <c r="D3462" t="s">
        <v>498</v>
      </c>
      <c r="E3462" t="s">
        <v>659</v>
      </c>
      <c r="F3462">
        <v>2.33</v>
      </c>
      <c r="G3462">
        <v>3.73</v>
      </c>
    </row>
    <row r="3463" spans="1:7" hidden="1" x14ac:dyDescent="0.25">
      <c r="A3463" t="s">
        <v>660</v>
      </c>
      <c r="B3463">
        <v>3408</v>
      </c>
      <c r="C3463" t="s">
        <v>4132</v>
      </c>
      <c r="D3463" t="s">
        <v>498</v>
      </c>
      <c r="E3463" t="s">
        <v>172</v>
      </c>
      <c r="F3463">
        <v>6.2</v>
      </c>
      <c r="G3463">
        <v>9.91</v>
      </c>
    </row>
    <row r="3464" spans="1:7" hidden="1" x14ac:dyDescent="0.25">
      <c r="A3464" t="s">
        <v>660</v>
      </c>
      <c r="B3464">
        <v>3409</v>
      </c>
      <c r="C3464" t="s">
        <v>4133</v>
      </c>
      <c r="D3464" t="s">
        <v>498</v>
      </c>
      <c r="E3464" t="s">
        <v>659</v>
      </c>
      <c r="F3464">
        <v>15.5</v>
      </c>
      <c r="G3464">
        <v>24.77</v>
      </c>
    </row>
    <row r="3465" spans="1:7" hidden="1" x14ac:dyDescent="0.25">
      <c r="A3465" t="s">
        <v>660</v>
      </c>
      <c r="B3465">
        <v>11427</v>
      </c>
      <c r="C3465" t="s">
        <v>4134</v>
      </c>
      <c r="D3465" t="s">
        <v>708</v>
      </c>
      <c r="E3465" t="s">
        <v>659</v>
      </c>
      <c r="F3465">
        <f>G3465</f>
        <v>93.86</v>
      </c>
      <c r="G3465">
        <v>93.86</v>
      </c>
    </row>
    <row r="3466" spans="1:7" hidden="1" x14ac:dyDescent="0.25">
      <c r="A3466" t="s">
        <v>660</v>
      </c>
      <c r="B3466">
        <v>4491</v>
      </c>
      <c r="C3466" t="s">
        <v>4135</v>
      </c>
      <c r="D3466" t="s">
        <v>704</v>
      </c>
      <c r="E3466" t="s">
        <v>659</v>
      </c>
      <c r="F3466">
        <v>7.88</v>
      </c>
      <c r="G3466">
        <v>8.14</v>
      </c>
    </row>
    <row r="3467" spans="1:7" x14ac:dyDescent="0.25">
      <c r="A3467" t="s">
        <v>660</v>
      </c>
      <c r="B3467">
        <v>2745</v>
      </c>
      <c r="C3467" t="s">
        <v>4136</v>
      </c>
      <c r="D3467" t="s">
        <v>704</v>
      </c>
      <c r="E3467" t="s">
        <v>659</v>
      </c>
      <c r="F3467">
        <v>3.15</v>
      </c>
      <c r="G3467">
        <v>3.87</v>
      </c>
    </row>
    <row r="3468" spans="1:7" x14ac:dyDescent="0.25">
      <c r="A3468" t="s">
        <v>660</v>
      </c>
      <c r="B3468">
        <v>14439</v>
      </c>
      <c r="C3468" t="s">
        <v>4137</v>
      </c>
      <c r="D3468" t="s">
        <v>704</v>
      </c>
      <c r="E3468" t="s">
        <v>659</v>
      </c>
      <c r="F3468">
        <v>3.91</v>
      </c>
      <c r="G3468">
        <v>4.8</v>
      </c>
    </row>
    <row r="3469" spans="1:7" hidden="1" x14ac:dyDescent="0.25">
      <c r="A3469" t="s">
        <v>660</v>
      </c>
      <c r="B3469">
        <v>45238</v>
      </c>
      <c r="C3469" t="s">
        <v>4138</v>
      </c>
      <c r="D3469" t="s">
        <v>226</v>
      </c>
      <c r="E3469" t="s">
        <v>659</v>
      </c>
      <c r="F3469">
        <v>28.3</v>
      </c>
      <c r="G3469">
        <v>24.46</v>
      </c>
    </row>
    <row r="3470" spans="1:7" hidden="1" x14ac:dyDescent="0.25">
      <c r="A3470" t="s">
        <v>660</v>
      </c>
      <c r="B3470">
        <v>44496</v>
      </c>
      <c r="C3470" t="s">
        <v>4139</v>
      </c>
      <c r="D3470" t="s">
        <v>226</v>
      </c>
      <c r="E3470" t="s">
        <v>659</v>
      </c>
      <c r="F3470">
        <v>193.5</v>
      </c>
      <c r="G3470">
        <v>167.27</v>
      </c>
    </row>
    <row r="3471" spans="1:7" hidden="1" x14ac:dyDescent="0.25">
      <c r="A3471" t="s">
        <v>660</v>
      </c>
      <c r="B3471">
        <v>12362</v>
      </c>
      <c r="C3471" t="s">
        <v>4140</v>
      </c>
      <c r="D3471" t="s">
        <v>226</v>
      </c>
      <c r="E3471" t="s">
        <v>659</v>
      </c>
      <c r="F3471">
        <f>G3471</f>
        <v>13.04</v>
      </c>
      <c r="G3471">
        <v>13.04</v>
      </c>
    </row>
    <row r="3472" spans="1:7" hidden="1" x14ac:dyDescent="0.25">
      <c r="A3472" t="s">
        <v>660</v>
      </c>
      <c r="B3472">
        <v>421</v>
      </c>
      <c r="C3472" t="s">
        <v>4141</v>
      </c>
      <c r="D3472" t="s">
        <v>226</v>
      </c>
      <c r="E3472" t="s">
        <v>659</v>
      </c>
      <c r="F3472">
        <f>G3472</f>
        <v>21.12</v>
      </c>
      <c r="G3472">
        <v>21.12</v>
      </c>
    </row>
    <row r="3473" spans="1:7" hidden="1" x14ac:dyDescent="0.25">
      <c r="A3473" t="s">
        <v>660</v>
      </c>
      <c r="B3473">
        <v>14148</v>
      </c>
      <c r="C3473" t="s">
        <v>4142</v>
      </c>
      <c r="D3473" t="s">
        <v>226</v>
      </c>
      <c r="E3473" t="s">
        <v>659</v>
      </c>
      <c r="F3473">
        <v>2</v>
      </c>
      <c r="G3473">
        <v>0.94</v>
      </c>
    </row>
    <row r="3474" spans="1:7" hidden="1" x14ac:dyDescent="0.25">
      <c r="A3474" t="s">
        <v>660</v>
      </c>
      <c r="B3474">
        <v>4341</v>
      </c>
      <c r="C3474" t="s">
        <v>4143</v>
      </c>
      <c r="D3474" t="s">
        <v>226</v>
      </c>
      <c r="E3474" t="s">
        <v>659</v>
      </c>
      <c r="F3474">
        <v>1.3</v>
      </c>
      <c r="G3474">
        <v>1.03</v>
      </c>
    </row>
    <row r="3475" spans="1:7" hidden="1" x14ac:dyDescent="0.25">
      <c r="A3475" t="s">
        <v>660</v>
      </c>
      <c r="B3475">
        <v>4337</v>
      </c>
      <c r="C3475" t="s">
        <v>4144</v>
      </c>
      <c r="D3475" t="s">
        <v>226</v>
      </c>
      <c r="E3475" t="s">
        <v>659</v>
      </c>
      <c r="F3475">
        <v>3.28</v>
      </c>
      <c r="G3475">
        <v>2.6</v>
      </c>
    </row>
    <row r="3476" spans="1:7" hidden="1" x14ac:dyDescent="0.25">
      <c r="A3476" t="s">
        <v>660</v>
      </c>
      <c r="B3476">
        <v>11971</v>
      </c>
      <c r="C3476" t="s">
        <v>4145</v>
      </c>
      <c r="D3476" t="s">
        <v>226</v>
      </c>
      <c r="E3476" t="s">
        <v>659</v>
      </c>
      <c r="F3476">
        <v>5.43</v>
      </c>
      <c r="G3476">
        <v>4.3</v>
      </c>
    </row>
    <row r="3477" spans="1:7" hidden="1" x14ac:dyDescent="0.25">
      <c r="A3477" t="s">
        <v>660</v>
      </c>
      <c r="B3477">
        <v>4339</v>
      </c>
      <c r="C3477" t="s">
        <v>4146</v>
      </c>
      <c r="D3477" t="s">
        <v>226</v>
      </c>
      <c r="E3477" t="s">
        <v>659</v>
      </c>
      <c r="F3477">
        <v>0.7</v>
      </c>
      <c r="G3477">
        <v>0.55000000000000004</v>
      </c>
    </row>
    <row r="3478" spans="1:7" hidden="1" x14ac:dyDescent="0.25">
      <c r="A3478" t="s">
        <v>660</v>
      </c>
      <c r="B3478">
        <v>39997</v>
      </c>
      <c r="C3478" t="s">
        <v>4147</v>
      </c>
      <c r="D3478" t="s">
        <v>226</v>
      </c>
      <c r="E3478" t="s">
        <v>659</v>
      </c>
      <c r="F3478">
        <v>0.39</v>
      </c>
      <c r="G3478">
        <v>0.31</v>
      </c>
    </row>
    <row r="3479" spans="1:7" hidden="1" x14ac:dyDescent="0.25">
      <c r="A3479" t="s">
        <v>660</v>
      </c>
      <c r="B3479">
        <v>4342</v>
      </c>
      <c r="C3479" t="s">
        <v>4148</v>
      </c>
      <c r="D3479" t="s">
        <v>226</v>
      </c>
      <c r="E3479" t="s">
        <v>659</v>
      </c>
      <c r="F3479">
        <v>0.28999999999999998</v>
      </c>
      <c r="G3479">
        <v>0.22</v>
      </c>
    </row>
    <row r="3480" spans="1:7" hidden="1" x14ac:dyDescent="0.25">
      <c r="A3480" t="s">
        <v>660</v>
      </c>
      <c r="B3480">
        <v>4330</v>
      </c>
      <c r="C3480" t="s">
        <v>4149</v>
      </c>
      <c r="D3480" t="s">
        <v>226</v>
      </c>
      <c r="E3480" t="s">
        <v>659</v>
      </c>
      <c r="F3480">
        <v>0.19</v>
      </c>
      <c r="G3480">
        <v>0.15</v>
      </c>
    </row>
    <row r="3481" spans="1:7" hidden="1" x14ac:dyDescent="0.25">
      <c r="A3481" t="s">
        <v>660</v>
      </c>
      <c r="B3481">
        <v>4340</v>
      </c>
      <c r="C3481" t="s">
        <v>4150</v>
      </c>
      <c r="D3481" t="s">
        <v>226</v>
      </c>
      <c r="E3481" t="s">
        <v>659</v>
      </c>
      <c r="F3481">
        <v>1.52</v>
      </c>
      <c r="G3481">
        <v>1.2</v>
      </c>
    </row>
    <row r="3482" spans="1:7" hidden="1" x14ac:dyDescent="0.25">
      <c r="A3482" t="s">
        <v>660</v>
      </c>
      <c r="B3482">
        <v>5088</v>
      </c>
      <c r="C3482" t="s">
        <v>4151</v>
      </c>
      <c r="D3482" t="s">
        <v>226</v>
      </c>
      <c r="E3482" t="s">
        <v>659</v>
      </c>
      <c r="F3482">
        <v>7.5</v>
      </c>
      <c r="G3482">
        <v>6.7</v>
      </c>
    </row>
    <row r="3483" spans="1:7" hidden="1" x14ac:dyDescent="0.25">
      <c r="A3483" t="s">
        <v>660</v>
      </c>
      <c r="B3483">
        <v>11154</v>
      </c>
      <c r="C3483" t="s">
        <v>4152</v>
      </c>
      <c r="D3483" t="s">
        <v>226</v>
      </c>
      <c r="E3483" t="s">
        <v>659</v>
      </c>
      <c r="F3483" s="538">
        <v>1187.42</v>
      </c>
      <c r="G3483" s="538">
        <v>1586.28</v>
      </c>
    </row>
    <row r="3484" spans="1:7" hidden="1" x14ac:dyDescent="0.25">
      <c r="A3484" t="s">
        <v>660</v>
      </c>
      <c r="B3484">
        <v>4989</v>
      </c>
      <c r="C3484" t="s">
        <v>4153</v>
      </c>
      <c r="D3484" t="s">
        <v>226</v>
      </c>
      <c r="E3484" t="s">
        <v>659</v>
      </c>
      <c r="F3484">
        <v>326.49</v>
      </c>
      <c r="G3484">
        <v>363.32</v>
      </c>
    </row>
    <row r="3485" spans="1:7" hidden="1" x14ac:dyDescent="0.25">
      <c r="A3485" t="s">
        <v>660</v>
      </c>
      <c r="B3485">
        <v>4982</v>
      </c>
      <c r="C3485" t="s">
        <v>4154</v>
      </c>
      <c r="D3485" t="s">
        <v>226</v>
      </c>
      <c r="E3485" t="s">
        <v>659</v>
      </c>
      <c r="F3485">
        <v>306.23</v>
      </c>
      <c r="G3485">
        <v>340.77</v>
      </c>
    </row>
    <row r="3486" spans="1:7" hidden="1" x14ac:dyDescent="0.25">
      <c r="A3486" t="s">
        <v>660</v>
      </c>
      <c r="B3486">
        <v>4962</v>
      </c>
      <c r="C3486" t="s">
        <v>4155</v>
      </c>
      <c r="D3486" t="s">
        <v>226</v>
      </c>
      <c r="E3486" t="s">
        <v>659</v>
      </c>
      <c r="F3486">
        <v>241.5</v>
      </c>
      <c r="G3486">
        <v>268.74</v>
      </c>
    </row>
    <row r="3487" spans="1:7" hidden="1" x14ac:dyDescent="0.25">
      <c r="A3487" t="s">
        <v>660</v>
      </c>
      <c r="B3487">
        <v>4981</v>
      </c>
      <c r="C3487" t="s">
        <v>4156</v>
      </c>
      <c r="D3487" t="s">
        <v>226</v>
      </c>
      <c r="E3487" t="s">
        <v>172</v>
      </c>
      <c r="F3487">
        <v>215</v>
      </c>
      <c r="G3487">
        <v>239.25</v>
      </c>
    </row>
    <row r="3488" spans="1:7" hidden="1" x14ac:dyDescent="0.25">
      <c r="A3488" t="s">
        <v>660</v>
      </c>
      <c r="B3488">
        <v>4964</v>
      </c>
      <c r="C3488" t="s">
        <v>4157</v>
      </c>
      <c r="D3488" t="s">
        <v>226</v>
      </c>
      <c r="E3488" t="s">
        <v>659</v>
      </c>
      <c r="F3488">
        <v>272.75</v>
      </c>
      <c r="G3488">
        <v>303.52</v>
      </c>
    </row>
    <row r="3489" spans="1:7" hidden="1" x14ac:dyDescent="0.25">
      <c r="A3489" t="s">
        <v>660</v>
      </c>
      <c r="B3489">
        <v>4992</v>
      </c>
      <c r="C3489" t="s">
        <v>4158</v>
      </c>
      <c r="D3489" t="s">
        <v>226</v>
      </c>
      <c r="E3489" t="s">
        <v>659</v>
      </c>
      <c r="F3489">
        <v>266.43</v>
      </c>
      <c r="G3489">
        <v>296.48</v>
      </c>
    </row>
    <row r="3490" spans="1:7" hidden="1" x14ac:dyDescent="0.25">
      <c r="A3490" t="s">
        <v>660</v>
      </c>
      <c r="B3490">
        <v>4987</v>
      </c>
      <c r="C3490" t="s">
        <v>4159</v>
      </c>
      <c r="D3490" t="s">
        <v>226</v>
      </c>
      <c r="E3490" t="s">
        <v>659</v>
      </c>
      <c r="F3490">
        <v>304.82</v>
      </c>
      <c r="G3490">
        <v>339.2</v>
      </c>
    </row>
    <row r="3491" spans="1:7" hidden="1" x14ac:dyDescent="0.25">
      <c r="A3491" t="s">
        <v>660</v>
      </c>
      <c r="B3491">
        <v>4930</v>
      </c>
      <c r="C3491" t="s">
        <v>4160</v>
      </c>
      <c r="D3491" t="s">
        <v>498</v>
      </c>
      <c r="E3491" t="s">
        <v>659</v>
      </c>
      <c r="F3491">
        <v>502.95</v>
      </c>
      <c r="G3491">
        <v>671.89</v>
      </c>
    </row>
    <row r="3492" spans="1:7" x14ac:dyDescent="0.25">
      <c r="A3492" t="s">
        <v>660</v>
      </c>
      <c r="B3492">
        <v>4998</v>
      </c>
      <c r="C3492" t="s">
        <v>4161</v>
      </c>
      <c r="D3492" t="s">
        <v>498</v>
      </c>
      <c r="E3492" t="s">
        <v>659</v>
      </c>
      <c r="F3492" s="538">
        <v>1014.64</v>
      </c>
      <c r="G3492">
        <v>654.91999999999996</v>
      </c>
    </row>
    <row r="3493" spans="1:7" hidden="1" x14ac:dyDescent="0.25">
      <c r="A3493" t="s">
        <v>660</v>
      </c>
      <c r="B3493">
        <v>39021</v>
      </c>
      <c r="C3493" t="s">
        <v>4162</v>
      </c>
      <c r="D3493" t="s">
        <v>226</v>
      </c>
      <c r="E3493" t="s">
        <v>659</v>
      </c>
      <c r="F3493">
        <v>534.76</v>
      </c>
      <c r="G3493">
        <v>714.39</v>
      </c>
    </row>
    <row r="3494" spans="1:7" hidden="1" x14ac:dyDescent="0.25">
      <c r="A3494" t="s">
        <v>660</v>
      </c>
      <c r="B3494">
        <v>39022</v>
      </c>
      <c r="C3494" t="s">
        <v>4163</v>
      </c>
      <c r="D3494" t="s">
        <v>226</v>
      </c>
      <c r="E3494" t="s">
        <v>172</v>
      </c>
      <c r="F3494">
        <v>479</v>
      </c>
      <c r="G3494">
        <v>639.9</v>
      </c>
    </row>
    <row r="3495" spans="1:7" hidden="1" x14ac:dyDescent="0.25">
      <c r="A3495" t="s">
        <v>660</v>
      </c>
      <c r="B3495">
        <v>39024</v>
      </c>
      <c r="C3495" t="s">
        <v>4164</v>
      </c>
      <c r="D3495" t="s">
        <v>226</v>
      </c>
      <c r="E3495" t="s">
        <v>659</v>
      </c>
      <c r="F3495">
        <f>G3495</f>
        <v>799.11</v>
      </c>
      <c r="G3495">
        <v>799.11</v>
      </c>
    </row>
    <row r="3496" spans="1:7" hidden="1" x14ac:dyDescent="0.25">
      <c r="A3496" t="s">
        <v>660</v>
      </c>
      <c r="B3496">
        <v>4914</v>
      </c>
      <c r="C3496" t="s">
        <v>4165</v>
      </c>
      <c r="D3496" t="s">
        <v>498</v>
      </c>
      <c r="E3496" t="s">
        <v>659</v>
      </c>
      <c r="F3496">
        <f>G3496</f>
        <v>647.92999999999995</v>
      </c>
      <c r="G3496">
        <v>647.92999999999995</v>
      </c>
    </row>
    <row r="3497" spans="1:7" hidden="1" x14ac:dyDescent="0.25">
      <c r="A3497" t="s">
        <v>660</v>
      </c>
      <c r="B3497">
        <v>4917</v>
      </c>
      <c r="C3497" t="s">
        <v>4166</v>
      </c>
      <c r="D3497" t="s">
        <v>498</v>
      </c>
      <c r="E3497" t="s">
        <v>172</v>
      </c>
      <c r="F3497">
        <f>G3497</f>
        <v>447.47</v>
      </c>
      <c r="G3497">
        <v>447.47</v>
      </c>
    </row>
    <row r="3498" spans="1:7" hidden="1" x14ac:dyDescent="0.25">
      <c r="A3498" t="s">
        <v>660</v>
      </c>
      <c r="B3498">
        <v>39025</v>
      </c>
      <c r="C3498" t="s">
        <v>4167</v>
      </c>
      <c r="D3498" t="s">
        <v>226</v>
      </c>
      <c r="E3498" t="s">
        <v>659</v>
      </c>
      <c r="F3498">
        <f>G3498</f>
        <v>819.4</v>
      </c>
      <c r="G3498">
        <v>819.4</v>
      </c>
    </row>
    <row r="3499" spans="1:7" hidden="1" x14ac:dyDescent="0.25">
      <c r="A3499" t="s">
        <v>660</v>
      </c>
      <c r="B3499">
        <v>4922</v>
      </c>
      <c r="C3499" t="s">
        <v>4168</v>
      </c>
      <c r="D3499" t="s">
        <v>498</v>
      </c>
      <c r="E3499" t="s">
        <v>659</v>
      </c>
      <c r="F3499">
        <f>G3499</f>
        <v>415.07</v>
      </c>
      <c r="G3499">
        <v>415.07</v>
      </c>
    </row>
    <row r="3500" spans="1:7" hidden="1" x14ac:dyDescent="0.25">
      <c r="A3500" t="s">
        <v>660</v>
      </c>
      <c r="B3500">
        <v>4911</v>
      </c>
      <c r="C3500" t="s">
        <v>4169</v>
      </c>
      <c r="D3500" t="s">
        <v>498</v>
      </c>
      <c r="E3500" t="s">
        <v>659</v>
      </c>
      <c r="F3500">
        <v>323.95999999999998</v>
      </c>
      <c r="G3500">
        <v>282.52</v>
      </c>
    </row>
    <row r="3501" spans="1:7" hidden="1" x14ac:dyDescent="0.25">
      <c r="A3501" t="s">
        <v>660</v>
      </c>
      <c r="B3501">
        <v>37518</v>
      </c>
      <c r="C3501" t="s">
        <v>4170</v>
      </c>
      <c r="D3501" t="s">
        <v>498</v>
      </c>
      <c r="E3501" t="s">
        <v>659</v>
      </c>
      <c r="F3501">
        <v>526.42999999999995</v>
      </c>
      <c r="G3501">
        <v>459.09</v>
      </c>
    </row>
    <row r="3502" spans="1:7" hidden="1" x14ac:dyDescent="0.25">
      <c r="A3502" t="s">
        <v>660</v>
      </c>
      <c r="B3502">
        <v>4910</v>
      </c>
      <c r="C3502" t="s">
        <v>4171</v>
      </c>
      <c r="D3502" t="s">
        <v>498</v>
      </c>
      <c r="E3502" t="s">
        <v>659</v>
      </c>
      <c r="F3502">
        <v>443.79</v>
      </c>
      <c r="G3502">
        <v>387.02</v>
      </c>
    </row>
    <row r="3503" spans="1:7" hidden="1" x14ac:dyDescent="0.25">
      <c r="A3503" t="s">
        <v>660</v>
      </c>
      <c r="B3503">
        <v>4943</v>
      </c>
      <c r="C3503" t="s">
        <v>4172</v>
      </c>
      <c r="D3503" t="s">
        <v>498</v>
      </c>
      <c r="E3503" t="s">
        <v>659</v>
      </c>
      <c r="F3503">
        <v>661.14</v>
      </c>
      <c r="G3503">
        <v>576.57000000000005</v>
      </c>
    </row>
    <row r="3504" spans="1:7" x14ac:dyDescent="0.25">
      <c r="A3504" t="s">
        <v>660</v>
      </c>
      <c r="B3504">
        <v>5002</v>
      </c>
      <c r="C3504" t="s">
        <v>4173</v>
      </c>
      <c r="D3504" t="s">
        <v>498</v>
      </c>
      <c r="E3504" t="s">
        <v>659</v>
      </c>
      <c r="F3504">
        <v>739.65</v>
      </c>
      <c r="G3504">
        <v>477.42</v>
      </c>
    </row>
    <row r="3505" spans="1:7" x14ac:dyDescent="0.25">
      <c r="A3505" t="s">
        <v>660</v>
      </c>
      <c r="B3505">
        <v>4977</v>
      </c>
      <c r="C3505" t="s">
        <v>4174</v>
      </c>
      <c r="D3505" t="s">
        <v>498</v>
      </c>
      <c r="E3505" t="s">
        <v>659</v>
      </c>
      <c r="F3505">
        <v>499.29</v>
      </c>
      <c r="G3505">
        <v>322.27999999999997</v>
      </c>
    </row>
    <row r="3506" spans="1:7" hidden="1" x14ac:dyDescent="0.25">
      <c r="A3506" t="s">
        <v>660</v>
      </c>
      <c r="B3506">
        <v>11364</v>
      </c>
      <c r="C3506" t="s">
        <v>4175</v>
      </c>
      <c r="D3506" t="s">
        <v>226</v>
      </c>
      <c r="E3506" t="s">
        <v>659</v>
      </c>
      <c r="F3506">
        <v>184.7</v>
      </c>
      <c r="G3506">
        <v>205.54</v>
      </c>
    </row>
    <row r="3507" spans="1:7" hidden="1" x14ac:dyDescent="0.25">
      <c r="A3507" t="s">
        <v>660</v>
      </c>
      <c r="B3507">
        <v>11365</v>
      </c>
      <c r="C3507" t="s">
        <v>4176</v>
      </c>
      <c r="D3507" t="s">
        <v>226</v>
      </c>
      <c r="E3507" t="s">
        <v>659</v>
      </c>
      <c r="F3507">
        <v>191.68</v>
      </c>
      <c r="G3507">
        <v>213.29</v>
      </c>
    </row>
    <row r="3508" spans="1:7" hidden="1" x14ac:dyDescent="0.25">
      <c r="A3508" t="s">
        <v>660</v>
      </c>
      <c r="B3508">
        <v>11366</v>
      </c>
      <c r="C3508" t="s">
        <v>4177</v>
      </c>
      <c r="D3508" t="s">
        <v>226</v>
      </c>
      <c r="E3508" t="s">
        <v>659</v>
      </c>
      <c r="F3508">
        <v>203.75</v>
      </c>
      <c r="G3508">
        <v>226.73</v>
      </c>
    </row>
    <row r="3509" spans="1:7" hidden="1" x14ac:dyDescent="0.25">
      <c r="A3509" t="s">
        <v>660</v>
      </c>
      <c r="B3509">
        <v>43777</v>
      </c>
      <c r="C3509" t="s">
        <v>4178</v>
      </c>
      <c r="D3509" t="s">
        <v>226</v>
      </c>
      <c r="E3509" t="s">
        <v>659</v>
      </c>
      <c r="F3509">
        <v>239.34</v>
      </c>
      <c r="G3509">
        <v>266.33</v>
      </c>
    </row>
    <row r="3510" spans="1:7" hidden="1" x14ac:dyDescent="0.25">
      <c r="A3510" t="s">
        <v>660</v>
      </c>
      <c r="B3510">
        <v>20322</v>
      </c>
      <c r="C3510" t="s">
        <v>4179</v>
      </c>
      <c r="D3510" t="s">
        <v>226</v>
      </c>
      <c r="E3510" t="s">
        <v>659</v>
      </c>
      <c r="F3510">
        <v>222.18</v>
      </c>
      <c r="G3510">
        <v>247.24</v>
      </c>
    </row>
    <row r="3511" spans="1:7" hidden="1" x14ac:dyDescent="0.25">
      <c r="A3511" t="s">
        <v>660</v>
      </c>
      <c r="B3511">
        <v>10553</v>
      </c>
      <c r="C3511" t="s">
        <v>4180</v>
      </c>
      <c r="D3511" t="s">
        <v>226</v>
      </c>
      <c r="E3511" t="s">
        <v>659</v>
      </c>
      <c r="F3511">
        <v>201.74</v>
      </c>
      <c r="G3511">
        <v>224.49</v>
      </c>
    </row>
    <row r="3512" spans="1:7" hidden="1" x14ac:dyDescent="0.25">
      <c r="A3512" t="s">
        <v>660</v>
      </c>
      <c r="B3512">
        <v>5020</v>
      </c>
      <c r="C3512" t="s">
        <v>4181</v>
      </c>
      <c r="D3512" t="s">
        <v>226</v>
      </c>
      <c r="E3512" t="s">
        <v>659</v>
      </c>
      <c r="F3512">
        <v>212.69</v>
      </c>
      <c r="G3512">
        <v>236.68</v>
      </c>
    </row>
    <row r="3513" spans="1:7" hidden="1" x14ac:dyDescent="0.25">
      <c r="A3513" t="s">
        <v>660</v>
      </c>
      <c r="B3513">
        <v>10554</v>
      </c>
      <c r="C3513" t="s">
        <v>4182</v>
      </c>
      <c r="D3513" t="s">
        <v>226</v>
      </c>
      <c r="E3513" t="s">
        <v>659</v>
      </c>
      <c r="F3513">
        <v>203.52</v>
      </c>
      <c r="G3513">
        <v>226.48</v>
      </c>
    </row>
    <row r="3514" spans="1:7" hidden="1" x14ac:dyDescent="0.25">
      <c r="A3514" t="s">
        <v>660</v>
      </c>
      <c r="B3514">
        <v>10555</v>
      </c>
      <c r="C3514" t="s">
        <v>4183</v>
      </c>
      <c r="D3514" t="s">
        <v>226</v>
      </c>
      <c r="E3514" t="s">
        <v>659</v>
      </c>
      <c r="F3514">
        <v>221.95</v>
      </c>
      <c r="G3514">
        <v>246.98</v>
      </c>
    </row>
    <row r="3515" spans="1:7" hidden="1" x14ac:dyDescent="0.25">
      <c r="A3515" t="s">
        <v>660</v>
      </c>
      <c r="B3515">
        <v>10556</v>
      </c>
      <c r="C3515" t="s">
        <v>4184</v>
      </c>
      <c r="D3515" t="s">
        <v>226</v>
      </c>
      <c r="E3515" t="s">
        <v>659</v>
      </c>
      <c r="F3515">
        <v>295.11</v>
      </c>
      <c r="G3515">
        <v>328.39</v>
      </c>
    </row>
    <row r="3516" spans="1:7" hidden="1" x14ac:dyDescent="0.25">
      <c r="A3516" t="s">
        <v>660</v>
      </c>
      <c r="B3516">
        <v>39502</v>
      </c>
      <c r="C3516" t="s">
        <v>4185</v>
      </c>
      <c r="D3516" t="s">
        <v>226</v>
      </c>
      <c r="E3516" t="s">
        <v>659</v>
      </c>
      <c r="F3516">
        <v>414.4</v>
      </c>
      <c r="G3516">
        <v>461.14</v>
      </c>
    </row>
    <row r="3517" spans="1:7" hidden="1" x14ac:dyDescent="0.25">
      <c r="A3517" t="s">
        <v>660</v>
      </c>
      <c r="B3517">
        <v>39504</v>
      </c>
      <c r="C3517" t="s">
        <v>4186</v>
      </c>
      <c r="D3517" t="s">
        <v>226</v>
      </c>
      <c r="E3517" t="s">
        <v>659</v>
      </c>
      <c r="F3517">
        <v>458.25</v>
      </c>
      <c r="G3517">
        <v>509.93</v>
      </c>
    </row>
    <row r="3518" spans="1:7" hidden="1" x14ac:dyDescent="0.25">
      <c r="A3518" t="s">
        <v>660</v>
      </c>
      <c r="B3518">
        <v>39503</v>
      </c>
      <c r="C3518" t="s">
        <v>4187</v>
      </c>
      <c r="D3518" t="s">
        <v>226</v>
      </c>
      <c r="E3518" t="s">
        <v>659</v>
      </c>
      <c r="F3518">
        <v>482.29</v>
      </c>
      <c r="G3518">
        <v>536.69000000000005</v>
      </c>
    </row>
    <row r="3519" spans="1:7" hidden="1" x14ac:dyDescent="0.25">
      <c r="A3519" t="s">
        <v>660</v>
      </c>
      <c r="B3519">
        <v>39505</v>
      </c>
      <c r="C3519" t="s">
        <v>4188</v>
      </c>
      <c r="D3519" t="s">
        <v>226</v>
      </c>
      <c r="E3519" t="s">
        <v>659</v>
      </c>
      <c r="F3519">
        <v>519.73</v>
      </c>
      <c r="G3519">
        <v>578.36</v>
      </c>
    </row>
    <row r="3520" spans="1:7" hidden="1" x14ac:dyDescent="0.25">
      <c r="A3520" t="s">
        <v>660</v>
      </c>
      <c r="B3520">
        <v>5028</v>
      </c>
      <c r="C3520" t="s">
        <v>4189</v>
      </c>
      <c r="D3520" t="s">
        <v>498</v>
      </c>
      <c r="E3520" t="s">
        <v>659</v>
      </c>
      <c r="F3520" s="538">
        <v>1221.69</v>
      </c>
      <c r="G3520">
        <v>788.56</v>
      </c>
    </row>
    <row r="3521" spans="1:7" hidden="1" x14ac:dyDescent="0.25">
      <c r="A3521" t="s">
        <v>660</v>
      </c>
      <c r="B3521">
        <v>4969</v>
      </c>
      <c r="C3521" t="s">
        <v>4190</v>
      </c>
      <c r="D3521" t="s">
        <v>498</v>
      </c>
      <c r="E3521" t="s">
        <v>172</v>
      </c>
      <c r="F3521">
        <v>706.15</v>
      </c>
      <c r="G3521">
        <v>455.8</v>
      </c>
    </row>
    <row r="3522" spans="1:7" hidden="1" x14ac:dyDescent="0.25">
      <c r="A3522" t="s">
        <v>842</v>
      </c>
      <c r="B3522">
        <v>44471</v>
      </c>
      <c r="C3522" t="s">
        <v>4191</v>
      </c>
      <c r="D3522" t="s">
        <v>226</v>
      </c>
      <c r="E3522" t="s">
        <v>659</v>
      </c>
      <c r="F3522">
        <f>G3522</f>
        <v>473.19</v>
      </c>
      <c r="G3522">
        <v>473.19</v>
      </c>
    </row>
    <row r="3523" spans="1:7" hidden="1" x14ac:dyDescent="0.25">
      <c r="A3523" t="s">
        <v>660</v>
      </c>
      <c r="B3523">
        <v>4944</v>
      </c>
      <c r="C3523" t="s">
        <v>4192</v>
      </c>
      <c r="D3523" t="s">
        <v>498</v>
      </c>
      <c r="E3523" t="s">
        <v>659</v>
      </c>
      <c r="F3523">
        <v>988.4</v>
      </c>
      <c r="G3523">
        <v>861.97</v>
      </c>
    </row>
    <row r="3524" spans="1:7" hidden="1" x14ac:dyDescent="0.25">
      <c r="A3524" t="s">
        <v>660</v>
      </c>
      <c r="B3524">
        <v>21102</v>
      </c>
      <c r="C3524" t="s">
        <v>4193</v>
      </c>
      <c r="D3524" t="s">
        <v>226</v>
      </c>
      <c r="E3524" t="s">
        <v>659</v>
      </c>
      <c r="F3524">
        <v>36.61</v>
      </c>
      <c r="G3524">
        <v>56.13</v>
      </c>
    </row>
    <row r="3525" spans="1:7" hidden="1" x14ac:dyDescent="0.25">
      <c r="A3525" t="s">
        <v>660</v>
      </c>
      <c r="B3525">
        <v>21101</v>
      </c>
      <c r="C3525" t="s">
        <v>4194</v>
      </c>
      <c r="D3525" t="s">
        <v>226</v>
      </c>
      <c r="E3525" t="s">
        <v>659</v>
      </c>
      <c r="F3525">
        <v>23.51</v>
      </c>
      <c r="G3525">
        <v>36.049999999999997</v>
      </c>
    </row>
    <row r="3526" spans="1:7" hidden="1" x14ac:dyDescent="0.25">
      <c r="A3526" t="s">
        <v>660</v>
      </c>
      <c r="B3526">
        <v>34713</v>
      </c>
      <c r="C3526" t="s">
        <v>4195</v>
      </c>
      <c r="D3526" t="s">
        <v>498</v>
      </c>
      <c r="E3526" t="s">
        <v>659</v>
      </c>
      <c r="F3526">
        <v>223.15</v>
      </c>
      <c r="G3526">
        <v>469.25</v>
      </c>
    </row>
    <row r="3527" spans="1:7" hidden="1" x14ac:dyDescent="0.25">
      <c r="A3527" t="s">
        <v>660</v>
      </c>
      <c r="B3527">
        <v>37563</v>
      </c>
      <c r="C3527" t="s">
        <v>4196</v>
      </c>
      <c r="D3527" t="s">
        <v>498</v>
      </c>
      <c r="E3527" t="s">
        <v>659</v>
      </c>
      <c r="F3527">
        <v>553.41999999999996</v>
      </c>
      <c r="G3527">
        <v>739.33</v>
      </c>
    </row>
    <row r="3528" spans="1:7" x14ac:dyDescent="0.25">
      <c r="A3528" t="s">
        <v>660</v>
      </c>
      <c r="B3528">
        <v>4948</v>
      </c>
      <c r="C3528" t="s">
        <v>4197</v>
      </c>
      <c r="D3528" t="s">
        <v>498</v>
      </c>
      <c r="E3528" t="s">
        <v>659</v>
      </c>
      <c r="F3528">
        <v>481.49</v>
      </c>
      <c r="G3528">
        <v>643.23</v>
      </c>
    </row>
    <row r="3529" spans="1:7" hidden="1" x14ac:dyDescent="0.25">
      <c r="A3529" t="s">
        <v>660</v>
      </c>
      <c r="B3529">
        <v>37561</v>
      </c>
      <c r="C3529" t="s">
        <v>4198</v>
      </c>
      <c r="D3529" t="s">
        <v>498</v>
      </c>
      <c r="E3529" t="s">
        <v>659</v>
      </c>
      <c r="F3529">
        <v>449.06</v>
      </c>
      <c r="G3529">
        <v>599.9</v>
      </c>
    </row>
    <row r="3530" spans="1:7" x14ac:dyDescent="0.25">
      <c r="A3530" t="s">
        <v>660</v>
      </c>
      <c r="B3530">
        <v>37562</v>
      </c>
      <c r="C3530" t="s">
        <v>4199</v>
      </c>
      <c r="D3530" t="s">
        <v>498</v>
      </c>
      <c r="E3530" t="s">
        <v>659</v>
      </c>
      <c r="F3530">
        <v>588.77</v>
      </c>
      <c r="G3530">
        <v>786.54</v>
      </c>
    </row>
    <row r="3531" spans="1:7" hidden="1" x14ac:dyDescent="0.25">
      <c r="A3531" t="s">
        <v>660</v>
      </c>
      <c r="B3531">
        <v>14164</v>
      </c>
      <c r="C3531" t="s">
        <v>4200</v>
      </c>
      <c r="D3531" t="s">
        <v>226</v>
      </c>
      <c r="E3531" t="s">
        <v>659</v>
      </c>
      <c r="F3531">
        <f t="shared" ref="F3531:F3538" si="31">G3531</f>
        <v>1647.14</v>
      </c>
      <c r="G3531" s="538">
        <v>1647.14</v>
      </c>
    </row>
    <row r="3532" spans="1:7" hidden="1" x14ac:dyDescent="0.25">
      <c r="A3532" t="s">
        <v>660</v>
      </c>
      <c r="B3532">
        <v>14163</v>
      </c>
      <c r="C3532" t="s">
        <v>4201</v>
      </c>
      <c r="D3532" t="s">
        <v>226</v>
      </c>
      <c r="E3532" t="s">
        <v>659</v>
      </c>
      <c r="F3532">
        <f t="shared" si="31"/>
        <v>1872.09</v>
      </c>
      <c r="G3532" s="538">
        <v>1872.09</v>
      </c>
    </row>
    <row r="3533" spans="1:7" hidden="1" x14ac:dyDescent="0.25">
      <c r="A3533" t="s">
        <v>660</v>
      </c>
      <c r="B3533">
        <v>5051</v>
      </c>
      <c r="C3533" t="s">
        <v>4202</v>
      </c>
      <c r="D3533" t="s">
        <v>226</v>
      </c>
      <c r="E3533" t="s">
        <v>659</v>
      </c>
      <c r="F3533">
        <f t="shared" si="31"/>
        <v>1592.18</v>
      </c>
      <c r="G3533" s="538">
        <v>1592.18</v>
      </c>
    </row>
    <row r="3534" spans="1:7" hidden="1" x14ac:dyDescent="0.25">
      <c r="A3534" t="s">
        <v>660</v>
      </c>
      <c r="B3534">
        <v>5052</v>
      </c>
      <c r="C3534" t="s">
        <v>4203</v>
      </c>
      <c r="D3534" t="s">
        <v>226</v>
      </c>
      <c r="E3534" t="s">
        <v>172</v>
      </c>
      <c r="F3534">
        <f t="shared" si="31"/>
        <v>1186.27</v>
      </c>
      <c r="G3534" s="538">
        <v>1186.27</v>
      </c>
    </row>
    <row r="3535" spans="1:7" hidden="1" x14ac:dyDescent="0.25">
      <c r="A3535" t="s">
        <v>660</v>
      </c>
      <c r="B3535">
        <v>14162</v>
      </c>
      <c r="C3535" t="s">
        <v>4204</v>
      </c>
      <c r="D3535" t="s">
        <v>226</v>
      </c>
      <c r="E3535" t="s">
        <v>659</v>
      </c>
      <c r="F3535">
        <f t="shared" si="31"/>
        <v>1589.87</v>
      </c>
      <c r="G3535" s="538">
        <v>1589.87</v>
      </c>
    </row>
    <row r="3536" spans="1:7" hidden="1" x14ac:dyDescent="0.25">
      <c r="A3536" t="s">
        <v>660</v>
      </c>
      <c r="B3536">
        <v>14166</v>
      </c>
      <c r="C3536" t="s">
        <v>4205</v>
      </c>
      <c r="D3536" t="s">
        <v>226</v>
      </c>
      <c r="E3536" t="s">
        <v>659</v>
      </c>
      <c r="F3536">
        <f t="shared" si="31"/>
        <v>1201.33</v>
      </c>
      <c r="G3536" s="538">
        <v>1201.33</v>
      </c>
    </row>
    <row r="3537" spans="1:7" hidden="1" x14ac:dyDescent="0.25">
      <c r="A3537" t="s">
        <v>660</v>
      </c>
      <c r="B3537">
        <v>14165</v>
      </c>
      <c r="C3537" t="s">
        <v>4206</v>
      </c>
      <c r="D3537" t="s">
        <v>226</v>
      </c>
      <c r="E3537" t="s">
        <v>659</v>
      </c>
      <c r="F3537">
        <f t="shared" si="31"/>
        <v>1664.28</v>
      </c>
      <c r="G3537" s="538">
        <v>1664.28</v>
      </c>
    </row>
    <row r="3538" spans="1:7" hidden="1" x14ac:dyDescent="0.25">
      <c r="A3538" t="s">
        <v>660</v>
      </c>
      <c r="B3538">
        <v>5050</v>
      </c>
      <c r="C3538" t="s">
        <v>4207</v>
      </c>
      <c r="D3538" t="s">
        <v>226</v>
      </c>
      <c r="E3538" t="s">
        <v>659</v>
      </c>
      <c r="F3538">
        <f t="shared" si="31"/>
        <v>409.62</v>
      </c>
      <c r="G3538">
        <v>409.62</v>
      </c>
    </row>
    <row r="3539" spans="1:7" hidden="1" x14ac:dyDescent="0.25">
      <c r="A3539" t="s">
        <v>660</v>
      </c>
      <c r="B3539">
        <v>12366</v>
      </c>
      <c r="C3539" t="s">
        <v>4208</v>
      </c>
      <c r="D3539" t="s">
        <v>226</v>
      </c>
      <c r="E3539" t="s">
        <v>659</v>
      </c>
      <c r="F3539" s="538">
        <v>1589.61</v>
      </c>
      <c r="G3539" s="538">
        <v>1057.1500000000001</v>
      </c>
    </row>
    <row r="3540" spans="1:7" hidden="1" x14ac:dyDescent="0.25">
      <c r="A3540" t="s">
        <v>660</v>
      </c>
      <c r="B3540">
        <v>5045</v>
      </c>
      <c r="C3540" t="s">
        <v>4209</v>
      </c>
      <c r="D3540" t="s">
        <v>226</v>
      </c>
      <c r="E3540" t="s">
        <v>659</v>
      </c>
      <c r="F3540" s="538">
        <v>2195.96</v>
      </c>
      <c r="G3540" s="538">
        <v>1460.4</v>
      </c>
    </row>
    <row r="3541" spans="1:7" hidden="1" x14ac:dyDescent="0.25">
      <c r="A3541" t="s">
        <v>660</v>
      </c>
      <c r="B3541">
        <v>5035</v>
      </c>
      <c r="C3541" t="s">
        <v>4210</v>
      </c>
      <c r="D3541" t="s">
        <v>226</v>
      </c>
      <c r="E3541" t="s">
        <v>659</v>
      </c>
      <c r="F3541" s="538">
        <v>2524.83</v>
      </c>
      <c r="G3541" s="538">
        <v>1679.11</v>
      </c>
    </row>
    <row r="3542" spans="1:7" hidden="1" x14ac:dyDescent="0.25">
      <c r="A3542" t="s">
        <v>660</v>
      </c>
      <c r="B3542">
        <v>41180</v>
      </c>
      <c r="C3542" t="s">
        <v>4211</v>
      </c>
      <c r="D3542" t="s">
        <v>226</v>
      </c>
      <c r="E3542" t="s">
        <v>659</v>
      </c>
      <c r="F3542" s="538">
        <v>5675.77</v>
      </c>
      <c r="G3542" s="538">
        <v>3774.61</v>
      </c>
    </row>
    <row r="3543" spans="1:7" hidden="1" x14ac:dyDescent="0.25">
      <c r="A3543" t="s">
        <v>660</v>
      </c>
      <c r="B3543">
        <v>41181</v>
      </c>
      <c r="C3543" t="s">
        <v>4212</v>
      </c>
      <c r="D3543" t="s">
        <v>226</v>
      </c>
      <c r="E3543" t="s">
        <v>659</v>
      </c>
      <c r="F3543" s="538">
        <v>7514.54</v>
      </c>
      <c r="G3543" s="538">
        <v>4997.47</v>
      </c>
    </row>
    <row r="3544" spans="1:7" hidden="1" x14ac:dyDescent="0.25">
      <c r="A3544" t="s">
        <v>660</v>
      </c>
      <c r="B3544">
        <v>41182</v>
      </c>
      <c r="C3544" t="s">
        <v>4213</v>
      </c>
      <c r="D3544" t="s">
        <v>226</v>
      </c>
      <c r="E3544" t="s">
        <v>659</v>
      </c>
      <c r="F3544" s="538">
        <v>10780.23</v>
      </c>
      <c r="G3544" s="538">
        <v>7169.29</v>
      </c>
    </row>
    <row r="3545" spans="1:7" hidden="1" x14ac:dyDescent="0.25">
      <c r="A3545" t="s">
        <v>660</v>
      </c>
      <c r="B3545">
        <v>41183</v>
      </c>
      <c r="C3545" t="s">
        <v>4214</v>
      </c>
      <c r="D3545" t="s">
        <v>226</v>
      </c>
      <c r="E3545" t="s">
        <v>659</v>
      </c>
      <c r="F3545" s="538">
        <v>13459.33</v>
      </c>
      <c r="G3545" s="538">
        <v>8951</v>
      </c>
    </row>
    <row r="3546" spans="1:7" hidden="1" x14ac:dyDescent="0.25">
      <c r="A3546" t="s">
        <v>660</v>
      </c>
      <c r="B3546">
        <v>41184</v>
      </c>
      <c r="C3546" t="s">
        <v>4215</v>
      </c>
      <c r="D3546" t="s">
        <v>226</v>
      </c>
      <c r="E3546" t="s">
        <v>659</v>
      </c>
      <c r="F3546" s="538">
        <v>20492.66</v>
      </c>
      <c r="G3546" s="538">
        <v>13628.45</v>
      </c>
    </row>
    <row r="3547" spans="1:7" hidden="1" x14ac:dyDescent="0.25">
      <c r="A3547" t="s">
        <v>660</v>
      </c>
      <c r="B3547">
        <v>41185</v>
      </c>
      <c r="C3547" t="s">
        <v>4216</v>
      </c>
      <c r="D3547" t="s">
        <v>226</v>
      </c>
      <c r="E3547" t="s">
        <v>659</v>
      </c>
      <c r="F3547" s="538">
        <v>7599.6</v>
      </c>
      <c r="G3547" s="538">
        <v>5054.04</v>
      </c>
    </row>
    <row r="3548" spans="1:7" hidden="1" x14ac:dyDescent="0.25">
      <c r="A3548" t="s">
        <v>660</v>
      </c>
      <c r="B3548">
        <v>41186</v>
      </c>
      <c r="C3548" t="s">
        <v>4217</v>
      </c>
      <c r="D3548" t="s">
        <v>226</v>
      </c>
      <c r="E3548" t="s">
        <v>659</v>
      </c>
      <c r="F3548" s="538">
        <v>10649.96</v>
      </c>
      <c r="G3548" s="538">
        <v>7082.65</v>
      </c>
    </row>
    <row r="3549" spans="1:7" hidden="1" x14ac:dyDescent="0.25">
      <c r="A3549" t="s">
        <v>660</v>
      </c>
      <c r="B3549">
        <v>41187</v>
      </c>
      <c r="C3549" t="s">
        <v>4218</v>
      </c>
      <c r="D3549" t="s">
        <v>226</v>
      </c>
      <c r="E3549" t="s">
        <v>659</v>
      </c>
      <c r="F3549" s="538">
        <v>14282.48</v>
      </c>
      <c r="G3549" s="538">
        <v>9498.43</v>
      </c>
    </row>
    <row r="3550" spans="1:7" hidden="1" x14ac:dyDescent="0.25">
      <c r="A3550" t="s">
        <v>660</v>
      </c>
      <c r="B3550">
        <v>41188</v>
      </c>
      <c r="C3550" t="s">
        <v>4219</v>
      </c>
      <c r="D3550" t="s">
        <v>226</v>
      </c>
      <c r="E3550" t="s">
        <v>659</v>
      </c>
      <c r="F3550" s="538">
        <v>18264.11</v>
      </c>
      <c r="G3550" s="538">
        <v>12146.37</v>
      </c>
    </row>
    <row r="3551" spans="1:7" hidden="1" x14ac:dyDescent="0.25">
      <c r="A3551" t="s">
        <v>660</v>
      </c>
      <c r="B3551">
        <v>5036</v>
      </c>
      <c r="C3551" t="s">
        <v>4220</v>
      </c>
      <c r="D3551" t="s">
        <v>226</v>
      </c>
      <c r="E3551" t="s">
        <v>659</v>
      </c>
      <c r="F3551" s="538">
        <v>3873.54</v>
      </c>
      <c r="G3551" s="538">
        <v>2576.06</v>
      </c>
    </row>
    <row r="3552" spans="1:7" hidden="1" x14ac:dyDescent="0.25">
      <c r="A3552" t="s">
        <v>660</v>
      </c>
      <c r="B3552">
        <v>41189</v>
      </c>
      <c r="C3552" t="s">
        <v>4221</v>
      </c>
      <c r="D3552" t="s">
        <v>226</v>
      </c>
      <c r="E3552" t="s">
        <v>659</v>
      </c>
      <c r="F3552" s="538">
        <v>23480.42</v>
      </c>
      <c r="G3552" s="538">
        <v>15615.43</v>
      </c>
    </row>
    <row r="3553" spans="1:7" hidden="1" x14ac:dyDescent="0.25">
      <c r="A3553" t="s">
        <v>660</v>
      </c>
      <c r="B3553">
        <v>41190</v>
      </c>
      <c r="C3553" t="s">
        <v>4222</v>
      </c>
      <c r="D3553" t="s">
        <v>226</v>
      </c>
      <c r="E3553" t="s">
        <v>659</v>
      </c>
      <c r="F3553" s="538">
        <v>8165.67</v>
      </c>
      <c r="G3553" s="538">
        <v>5430.5</v>
      </c>
    </row>
    <row r="3554" spans="1:7" hidden="1" x14ac:dyDescent="0.25">
      <c r="A3554" t="s">
        <v>660</v>
      </c>
      <c r="B3554">
        <v>41191</v>
      </c>
      <c r="C3554" t="s">
        <v>4223</v>
      </c>
      <c r="D3554" t="s">
        <v>226</v>
      </c>
      <c r="E3554" t="s">
        <v>659</v>
      </c>
      <c r="F3554" s="538">
        <v>12521.74</v>
      </c>
      <c r="G3554" s="538">
        <v>8327.4699999999993</v>
      </c>
    </row>
    <row r="3555" spans="1:7" hidden="1" x14ac:dyDescent="0.25">
      <c r="A3555" t="s">
        <v>660</v>
      </c>
      <c r="B3555">
        <v>41192</v>
      </c>
      <c r="C3555" t="s">
        <v>4224</v>
      </c>
      <c r="D3555" t="s">
        <v>226</v>
      </c>
      <c r="E3555" t="s">
        <v>659</v>
      </c>
      <c r="F3555" s="538">
        <v>13053.82</v>
      </c>
      <c r="G3555" s="538">
        <v>8681.32</v>
      </c>
    </row>
    <row r="3556" spans="1:7" hidden="1" x14ac:dyDescent="0.25">
      <c r="A3556" t="s">
        <v>660</v>
      </c>
      <c r="B3556">
        <v>41193</v>
      </c>
      <c r="C3556" t="s">
        <v>4225</v>
      </c>
      <c r="D3556" t="s">
        <v>226</v>
      </c>
      <c r="E3556" t="s">
        <v>659</v>
      </c>
      <c r="F3556" s="538">
        <v>21329.52</v>
      </c>
      <c r="G3556" s="538">
        <v>14184.99</v>
      </c>
    </row>
    <row r="3557" spans="1:7" hidden="1" x14ac:dyDescent="0.25">
      <c r="A3557" t="s">
        <v>660</v>
      </c>
      <c r="B3557">
        <v>41194</v>
      </c>
      <c r="C3557" t="s">
        <v>4226</v>
      </c>
      <c r="D3557" t="s">
        <v>226</v>
      </c>
      <c r="E3557" t="s">
        <v>659</v>
      </c>
      <c r="F3557" s="538">
        <v>25450.95</v>
      </c>
      <c r="G3557" s="538">
        <v>16925.91</v>
      </c>
    </row>
    <row r="3558" spans="1:7" hidden="1" x14ac:dyDescent="0.25">
      <c r="A3558" t="s">
        <v>660</v>
      </c>
      <c r="B3558">
        <v>5044</v>
      </c>
      <c r="C3558" t="s">
        <v>4227</v>
      </c>
      <c r="D3558" t="s">
        <v>226</v>
      </c>
      <c r="E3558" t="s">
        <v>659</v>
      </c>
      <c r="F3558" s="538">
        <v>1369.52</v>
      </c>
      <c r="G3558">
        <v>910.79</v>
      </c>
    </row>
    <row r="3559" spans="1:7" hidden="1" x14ac:dyDescent="0.25">
      <c r="A3559" t="s">
        <v>660</v>
      </c>
      <c r="B3559">
        <v>5059</v>
      </c>
      <c r="C3559" t="s">
        <v>4228</v>
      </c>
      <c r="D3559" t="s">
        <v>226</v>
      </c>
      <c r="E3559" t="s">
        <v>659</v>
      </c>
      <c r="F3559" s="538">
        <v>1637.78</v>
      </c>
      <c r="G3559" s="538">
        <v>1089.19</v>
      </c>
    </row>
    <row r="3560" spans="1:7" hidden="1" x14ac:dyDescent="0.25">
      <c r="A3560" t="s">
        <v>660</v>
      </c>
      <c r="B3560">
        <v>41201</v>
      </c>
      <c r="C3560" t="s">
        <v>4229</v>
      </c>
      <c r="D3560" t="s">
        <v>226</v>
      </c>
      <c r="E3560" t="s">
        <v>659</v>
      </c>
      <c r="F3560" s="538">
        <v>3323.74</v>
      </c>
      <c r="G3560" s="538">
        <v>2210.42</v>
      </c>
    </row>
    <row r="3561" spans="1:7" hidden="1" x14ac:dyDescent="0.25">
      <c r="A3561" t="s">
        <v>660</v>
      </c>
      <c r="B3561">
        <v>41199</v>
      </c>
      <c r="C3561" t="s">
        <v>4230</v>
      </c>
      <c r="D3561" t="s">
        <v>226</v>
      </c>
      <c r="E3561" t="s">
        <v>659</v>
      </c>
      <c r="F3561" s="538">
        <v>1068.04</v>
      </c>
      <c r="G3561">
        <v>710.29</v>
      </c>
    </row>
    <row r="3562" spans="1:7" hidden="1" x14ac:dyDescent="0.25">
      <c r="A3562" t="s">
        <v>660</v>
      </c>
      <c r="B3562">
        <v>5057</v>
      </c>
      <c r="C3562" t="s">
        <v>4231</v>
      </c>
      <c r="D3562" t="s">
        <v>226</v>
      </c>
      <c r="E3562" t="s">
        <v>659</v>
      </c>
      <c r="F3562" s="538">
        <v>1445.93</v>
      </c>
      <c r="G3562">
        <v>961.6</v>
      </c>
    </row>
    <row r="3563" spans="1:7" hidden="1" x14ac:dyDescent="0.25">
      <c r="A3563" t="s">
        <v>660</v>
      </c>
      <c r="B3563">
        <v>41200</v>
      </c>
      <c r="C3563" t="s">
        <v>4232</v>
      </c>
      <c r="D3563" t="s">
        <v>226</v>
      </c>
      <c r="E3563" t="s">
        <v>659</v>
      </c>
      <c r="F3563" s="538">
        <v>2078.79</v>
      </c>
      <c r="G3563" s="538">
        <v>1382.48</v>
      </c>
    </row>
    <row r="3564" spans="1:7" hidden="1" x14ac:dyDescent="0.25">
      <c r="A3564" t="s">
        <v>660</v>
      </c>
      <c r="B3564">
        <v>41205</v>
      </c>
      <c r="C3564" t="s">
        <v>4233</v>
      </c>
      <c r="D3564" t="s">
        <v>226</v>
      </c>
      <c r="E3564" t="s">
        <v>659</v>
      </c>
      <c r="F3564" s="538">
        <v>3851.95</v>
      </c>
      <c r="G3564" s="538">
        <v>2561.6999999999998</v>
      </c>
    </row>
    <row r="3565" spans="1:7" hidden="1" x14ac:dyDescent="0.25">
      <c r="A3565" t="s">
        <v>660</v>
      </c>
      <c r="B3565">
        <v>41202</v>
      </c>
      <c r="C3565" t="s">
        <v>4234</v>
      </c>
      <c r="D3565" t="s">
        <v>226</v>
      </c>
      <c r="E3565" t="s">
        <v>659</v>
      </c>
      <c r="F3565" s="538">
        <v>1124.02</v>
      </c>
      <c r="G3565">
        <v>747.52</v>
      </c>
    </row>
    <row r="3566" spans="1:7" hidden="1" x14ac:dyDescent="0.25">
      <c r="A3566" t="s">
        <v>660</v>
      </c>
      <c r="B3566">
        <v>41206</v>
      </c>
      <c r="C3566" t="s">
        <v>4235</v>
      </c>
      <c r="D3566" t="s">
        <v>226</v>
      </c>
      <c r="E3566" t="s">
        <v>659</v>
      </c>
      <c r="F3566" s="538">
        <v>5078.62</v>
      </c>
      <c r="G3566" s="538">
        <v>3377.49</v>
      </c>
    </row>
    <row r="3567" spans="1:7" hidden="1" x14ac:dyDescent="0.25">
      <c r="A3567" t="s">
        <v>660</v>
      </c>
      <c r="B3567">
        <v>12372</v>
      </c>
      <c r="C3567" t="s">
        <v>4236</v>
      </c>
      <c r="D3567" t="s">
        <v>226</v>
      </c>
      <c r="E3567" t="s">
        <v>659</v>
      </c>
      <c r="F3567" s="538">
        <v>1180.23</v>
      </c>
      <c r="G3567">
        <v>784.9</v>
      </c>
    </row>
    <row r="3568" spans="1:7" hidden="1" x14ac:dyDescent="0.25">
      <c r="A3568" t="s">
        <v>660</v>
      </c>
      <c r="B3568">
        <v>41207</v>
      </c>
      <c r="C3568" t="s">
        <v>4237</v>
      </c>
      <c r="D3568" t="s">
        <v>226</v>
      </c>
      <c r="E3568" t="s">
        <v>659</v>
      </c>
      <c r="F3568" s="538">
        <v>6836.83</v>
      </c>
      <c r="G3568" s="538">
        <v>4546.7700000000004</v>
      </c>
    </row>
    <row r="3569" spans="1:7" hidden="1" x14ac:dyDescent="0.25">
      <c r="A3569" t="s">
        <v>660</v>
      </c>
      <c r="B3569">
        <v>41203</v>
      </c>
      <c r="C3569" t="s">
        <v>4238</v>
      </c>
      <c r="D3569" t="s">
        <v>226</v>
      </c>
      <c r="E3569" t="s">
        <v>659</v>
      </c>
      <c r="F3569" s="538">
        <v>1800.56</v>
      </c>
      <c r="G3569" s="538">
        <v>1197.45</v>
      </c>
    </row>
    <row r="3570" spans="1:7" hidden="1" x14ac:dyDescent="0.25">
      <c r="A3570" t="s">
        <v>660</v>
      </c>
      <c r="B3570">
        <v>41204</v>
      </c>
      <c r="C3570" t="s">
        <v>4239</v>
      </c>
      <c r="D3570" t="s">
        <v>226</v>
      </c>
      <c r="E3570" t="s">
        <v>659</v>
      </c>
      <c r="F3570" s="538">
        <v>2545.54</v>
      </c>
      <c r="G3570" s="538">
        <v>1692.88</v>
      </c>
    </row>
    <row r="3571" spans="1:7" hidden="1" x14ac:dyDescent="0.25">
      <c r="A3571" t="s">
        <v>660</v>
      </c>
      <c r="B3571">
        <v>41210</v>
      </c>
      <c r="C3571" t="s">
        <v>4240</v>
      </c>
      <c r="D3571" t="s">
        <v>226</v>
      </c>
      <c r="E3571" t="s">
        <v>659</v>
      </c>
      <c r="F3571" s="538">
        <v>4252.26</v>
      </c>
      <c r="G3571" s="538">
        <v>2827.92</v>
      </c>
    </row>
    <row r="3572" spans="1:7" hidden="1" x14ac:dyDescent="0.25">
      <c r="A3572" t="s">
        <v>660</v>
      </c>
      <c r="B3572">
        <v>41208</v>
      </c>
      <c r="C3572" t="s">
        <v>4241</v>
      </c>
      <c r="D3572" t="s">
        <v>226</v>
      </c>
      <c r="E3572" t="s">
        <v>659</v>
      </c>
      <c r="F3572" s="538">
        <v>1488.54</v>
      </c>
      <c r="G3572">
        <v>989.94</v>
      </c>
    </row>
    <row r="3573" spans="1:7" hidden="1" x14ac:dyDescent="0.25">
      <c r="A3573" t="s">
        <v>660</v>
      </c>
      <c r="B3573">
        <v>41211</v>
      </c>
      <c r="C3573" t="s">
        <v>4242</v>
      </c>
      <c r="D3573" t="s">
        <v>226</v>
      </c>
      <c r="E3573" t="s">
        <v>659</v>
      </c>
      <c r="F3573" s="538">
        <v>5991.37</v>
      </c>
      <c r="G3573" s="538">
        <v>3984.5</v>
      </c>
    </row>
    <row r="3574" spans="1:7" hidden="1" x14ac:dyDescent="0.25">
      <c r="A3574" t="s">
        <v>660</v>
      </c>
      <c r="B3574">
        <v>13339</v>
      </c>
      <c r="C3574" t="s">
        <v>4243</v>
      </c>
      <c r="D3574" t="s">
        <v>226</v>
      </c>
      <c r="E3574" t="s">
        <v>659</v>
      </c>
      <c r="F3574" s="538">
        <v>2017.33</v>
      </c>
      <c r="G3574" s="538">
        <v>1341.6</v>
      </c>
    </row>
    <row r="3575" spans="1:7" hidden="1" x14ac:dyDescent="0.25">
      <c r="A3575" t="s">
        <v>660</v>
      </c>
      <c r="B3575">
        <v>41213</v>
      </c>
      <c r="C3575" t="s">
        <v>4244</v>
      </c>
      <c r="D3575" t="s">
        <v>226</v>
      </c>
      <c r="E3575" t="s">
        <v>659</v>
      </c>
      <c r="F3575" s="538">
        <v>12418.63</v>
      </c>
      <c r="G3575" s="538">
        <v>8258.9</v>
      </c>
    </row>
    <row r="3576" spans="1:7" hidden="1" x14ac:dyDescent="0.25">
      <c r="A3576" t="s">
        <v>660</v>
      </c>
      <c r="B3576">
        <v>41209</v>
      </c>
      <c r="C3576" t="s">
        <v>4245</v>
      </c>
      <c r="D3576" t="s">
        <v>226</v>
      </c>
      <c r="E3576" t="s">
        <v>659</v>
      </c>
      <c r="F3576" s="538">
        <v>2775.59</v>
      </c>
      <c r="G3576" s="538">
        <v>1845.88</v>
      </c>
    </row>
    <row r="3577" spans="1:7" hidden="1" x14ac:dyDescent="0.25">
      <c r="A3577" t="s">
        <v>660</v>
      </c>
      <c r="B3577">
        <v>41216</v>
      </c>
      <c r="C3577" t="s">
        <v>4246</v>
      </c>
      <c r="D3577" t="s">
        <v>226</v>
      </c>
      <c r="E3577" t="s">
        <v>659</v>
      </c>
      <c r="F3577" s="538">
        <v>5199.05</v>
      </c>
      <c r="G3577" s="538">
        <v>3457.58</v>
      </c>
    </row>
    <row r="3578" spans="1:7" hidden="1" x14ac:dyDescent="0.25">
      <c r="A3578" t="s">
        <v>660</v>
      </c>
      <c r="B3578">
        <v>41217</v>
      </c>
      <c r="C3578" t="s">
        <v>4247</v>
      </c>
      <c r="D3578" t="s">
        <v>226</v>
      </c>
      <c r="E3578" t="s">
        <v>659</v>
      </c>
      <c r="F3578" s="538">
        <v>8335.92</v>
      </c>
      <c r="G3578" s="538">
        <v>5543.73</v>
      </c>
    </row>
    <row r="3579" spans="1:7" hidden="1" x14ac:dyDescent="0.25">
      <c r="A3579" t="s">
        <v>660</v>
      </c>
      <c r="B3579">
        <v>41218</v>
      </c>
      <c r="C3579" t="s">
        <v>4248</v>
      </c>
      <c r="D3579" t="s">
        <v>226</v>
      </c>
      <c r="E3579" t="s">
        <v>659</v>
      </c>
      <c r="F3579" s="538">
        <v>11178.73</v>
      </c>
      <c r="G3579" s="538">
        <v>7434.31</v>
      </c>
    </row>
    <row r="3580" spans="1:7" hidden="1" x14ac:dyDescent="0.25">
      <c r="A3580" t="s">
        <v>660</v>
      </c>
      <c r="B3580">
        <v>41214</v>
      </c>
      <c r="C3580" t="s">
        <v>4249</v>
      </c>
      <c r="D3580" t="s">
        <v>226</v>
      </c>
      <c r="E3580" t="s">
        <v>659</v>
      </c>
      <c r="F3580" s="538">
        <v>2357.0100000000002</v>
      </c>
      <c r="G3580" s="538">
        <v>1567.51</v>
      </c>
    </row>
    <row r="3581" spans="1:7" hidden="1" x14ac:dyDescent="0.25">
      <c r="A3581" t="s">
        <v>660</v>
      </c>
      <c r="B3581">
        <v>41215</v>
      </c>
      <c r="C3581" t="s">
        <v>4250</v>
      </c>
      <c r="D3581" t="s">
        <v>226</v>
      </c>
      <c r="E3581" t="s">
        <v>659</v>
      </c>
      <c r="F3581" s="538">
        <v>3548.81</v>
      </c>
      <c r="G3581" s="538">
        <v>2360.1</v>
      </c>
    </row>
    <row r="3582" spans="1:7" hidden="1" x14ac:dyDescent="0.25">
      <c r="A3582" t="s">
        <v>660</v>
      </c>
      <c r="B3582">
        <v>41221</v>
      </c>
      <c r="C3582" t="s">
        <v>4251</v>
      </c>
      <c r="D3582" t="s">
        <v>226</v>
      </c>
      <c r="E3582" t="s">
        <v>659</v>
      </c>
      <c r="F3582" s="538">
        <v>10275.620000000001</v>
      </c>
      <c r="G3582" s="538">
        <v>6833.7</v>
      </c>
    </row>
    <row r="3583" spans="1:7" hidden="1" x14ac:dyDescent="0.25">
      <c r="A3583" t="s">
        <v>660</v>
      </c>
      <c r="B3583">
        <v>41222</v>
      </c>
      <c r="C3583" t="s">
        <v>4252</v>
      </c>
      <c r="D3583" t="s">
        <v>226</v>
      </c>
      <c r="E3583" t="s">
        <v>659</v>
      </c>
      <c r="F3583" s="538">
        <v>14704.53</v>
      </c>
      <c r="G3583" s="538">
        <v>9779.11</v>
      </c>
    </row>
    <row r="3584" spans="1:7" hidden="1" x14ac:dyDescent="0.25">
      <c r="A3584" t="s">
        <v>660</v>
      </c>
      <c r="B3584">
        <v>41195</v>
      </c>
      <c r="C3584" t="s">
        <v>4253</v>
      </c>
      <c r="D3584" t="s">
        <v>226</v>
      </c>
      <c r="E3584" t="s">
        <v>659</v>
      </c>
      <c r="F3584">
        <v>755.77</v>
      </c>
      <c r="G3584">
        <v>502.61</v>
      </c>
    </row>
    <row r="3585" spans="1:7" hidden="1" x14ac:dyDescent="0.25">
      <c r="A3585" t="s">
        <v>660</v>
      </c>
      <c r="B3585">
        <v>41198</v>
      </c>
      <c r="C3585" t="s">
        <v>4254</v>
      </c>
      <c r="D3585" t="s">
        <v>226</v>
      </c>
      <c r="E3585" t="s">
        <v>659</v>
      </c>
      <c r="F3585" s="538">
        <v>2953.37</v>
      </c>
      <c r="G3585" s="538">
        <v>1964.11</v>
      </c>
    </row>
    <row r="3586" spans="1:7" hidden="1" x14ac:dyDescent="0.25">
      <c r="A3586" t="s">
        <v>660</v>
      </c>
      <c r="B3586">
        <v>41196</v>
      </c>
      <c r="C3586" t="s">
        <v>4255</v>
      </c>
      <c r="D3586" t="s">
        <v>226</v>
      </c>
      <c r="E3586" t="s">
        <v>659</v>
      </c>
      <c r="F3586">
        <v>936.82</v>
      </c>
      <c r="G3586">
        <v>623.02</v>
      </c>
    </row>
    <row r="3587" spans="1:7" hidden="1" x14ac:dyDescent="0.25">
      <c r="A3587" t="s">
        <v>660</v>
      </c>
      <c r="B3587">
        <v>5033</v>
      </c>
      <c r="C3587" t="s">
        <v>4256</v>
      </c>
      <c r="D3587" t="s">
        <v>226</v>
      </c>
      <c r="E3587" t="s">
        <v>172</v>
      </c>
      <c r="F3587" s="538">
        <v>1230</v>
      </c>
      <c r="G3587">
        <v>818</v>
      </c>
    </row>
    <row r="3588" spans="1:7" hidden="1" x14ac:dyDescent="0.25">
      <c r="A3588" t="s">
        <v>660</v>
      </c>
      <c r="B3588">
        <v>41197</v>
      </c>
      <c r="C3588" t="s">
        <v>4257</v>
      </c>
      <c r="D3588" t="s">
        <v>226</v>
      </c>
      <c r="E3588" t="s">
        <v>659</v>
      </c>
      <c r="F3588" s="538">
        <v>1827.01</v>
      </c>
      <c r="G3588" s="538">
        <v>1215.03</v>
      </c>
    </row>
    <row r="3589" spans="1:7" hidden="1" x14ac:dyDescent="0.25">
      <c r="A3589" t="s">
        <v>660</v>
      </c>
      <c r="B3589">
        <v>12388</v>
      </c>
      <c r="C3589" t="s">
        <v>4258</v>
      </c>
      <c r="D3589" t="s">
        <v>226</v>
      </c>
      <c r="E3589" t="s">
        <v>659</v>
      </c>
      <c r="F3589">
        <f>G3589</f>
        <v>242.46</v>
      </c>
      <c r="G3589">
        <v>242.46</v>
      </c>
    </row>
    <row r="3590" spans="1:7" x14ac:dyDescent="0.25">
      <c r="A3590" t="s">
        <v>660</v>
      </c>
      <c r="B3590">
        <v>2731</v>
      </c>
      <c r="C3590" t="s">
        <v>4259</v>
      </c>
      <c r="D3590" t="s">
        <v>704</v>
      </c>
      <c r="E3590" t="s">
        <v>659</v>
      </c>
      <c r="F3590">
        <v>90.05</v>
      </c>
      <c r="G3590">
        <v>110.65</v>
      </c>
    </row>
    <row r="3591" spans="1:7" hidden="1" x14ac:dyDescent="0.25">
      <c r="A3591" t="s">
        <v>660</v>
      </c>
      <c r="B3591">
        <v>41457</v>
      </c>
      <c r="C3591" t="s">
        <v>4260</v>
      </c>
      <c r="D3591" t="s">
        <v>226</v>
      </c>
      <c r="E3591" t="s">
        <v>659</v>
      </c>
      <c r="F3591" s="538">
        <v>1425.9</v>
      </c>
      <c r="G3591" s="538">
        <v>1692.38</v>
      </c>
    </row>
    <row r="3592" spans="1:7" hidden="1" x14ac:dyDescent="0.25">
      <c r="A3592" t="s">
        <v>660</v>
      </c>
      <c r="B3592">
        <v>41458</v>
      </c>
      <c r="C3592" t="s">
        <v>4261</v>
      </c>
      <c r="D3592" t="s">
        <v>226</v>
      </c>
      <c r="E3592" t="s">
        <v>659</v>
      </c>
      <c r="F3592" s="538">
        <v>1990.62</v>
      </c>
      <c r="G3592" s="538">
        <v>2362.64</v>
      </c>
    </row>
    <row r="3593" spans="1:7" hidden="1" x14ac:dyDescent="0.25">
      <c r="A3593" t="s">
        <v>660</v>
      </c>
      <c r="B3593">
        <v>41459</v>
      </c>
      <c r="C3593" t="s">
        <v>4262</v>
      </c>
      <c r="D3593" t="s">
        <v>226</v>
      </c>
      <c r="E3593" t="s">
        <v>659</v>
      </c>
      <c r="F3593" s="538">
        <v>2776.77</v>
      </c>
      <c r="G3593" s="538">
        <v>3295.71</v>
      </c>
    </row>
    <row r="3594" spans="1:7" hidden="1" x14ac:dyDescent="0.25">
      <c r="A3594" t="s">
        <v>660</v>
      </c>
      <c r="B3594">
        <v>41461</v>
      </c>
      <c r="C3594" t="s">
        <v>4263</v>
      </c>
      <c r="D3594" t="s">
        <v>226</v>
      </c>
      <c r="E3594" t="s">
        <v>659</v>
      </c>
      <c r="F3594" s="538">
        <v>3785.98</v>
      </c>
      <c r="G3594" s="538">
        <v>4493.53</v>
      </c>
    </row>
    <row r="3595" spans="1:7" hidden="1" x14ac:dyDescent="0.25">
      <c r="A3595" t="s">
        <v>660</v>
      </c>
      <c r="B3595">
        <v>44537</v>
      </c>
      <c r="C3595" t="s">
        <v>4264</v>
      </c>
      <c r="D3595" t="s">
        <v>1885</v>
      </c>
      <c r="E3595" t="s">
        <v>659</v>
      </c>
      <c r="F3595">
        <v>313.63</v>
      </c>
      <c r="G3595">
        <v>356.98</v>
      </c>
    </row>
    <row r="3596" spans="1:7" hidden="1" x14ac:dyDescent="0.25">
      <c r="A3596" t="s">
        <v>660</v>
      </c>
      <c r="B3596">
        <v>11844</v>
      </c>
      <c r="C3596" t="s">
        <v>4265</v>
      </c>
      <c r="D3596" t="s">
        <v>704</v>
      </c>
      <c r="E3596" t="s">
        <v>659</v>
      </c>
      <c r="F3596">
        <v>71.739999999999995</v>
      </c>
      <c r="G3596">
        <v>64.849999999999994</v>
      </c>
    </row>
    <row r="3597" spans="1:7" hidden="1" x14ac:dyDescent="0.25">
      <c r="A3597" t="s">
        <v>660</v>
      </c>
      <c r="B3597">
        <v>4465</v>
      </c>
      <c r="C3597" t="s">
        <v>4266</v>
      </c>
      <c r="D3597" t="s">
        <v>704</v>
      </c>
      <c r="E3597" t="s">
        <v>659</v>
      </c>
      <c r="F3597">
        <v>59.62</v>
      </c>
      <c r="G3597">
        <v>53.89</v>
      </c>
    </row>
    <row r="3598" spans="1:7" hidden="1" x14ac:dyDescent="0.25">
      <c r="A3598" t="s">
        <v>660</v>
      </c>
      <c r="B3598">
        <v>35273</v>
      </c>
      <c r="C3598" t="s">
        <v>4267</v>
      </c>
      <c r="D3598" t="s">
        <v>704</v>
      </c>
      <c r="E3598" t="s">
        <v>659</v>
      </c>
      <c r="F3598">
        <v>71.5</v>
      </c>
      <c r="G3598">
        <v>64.63</v>
      </c>
    </row>
    <row r="3599" spans="1:7" hidden="1" x14ac:dyDescent="0.25">
      <c r="A3599" t="s">
        <v>660</v>
      </c>
      <c r="B3599">
        <v>4470</v>
      </c>
      <c r="C3599" t="s">
        <v>4268</v>
      </c>
      <c r="D3599" t="s">
        <v>704</v>
      </c>
      <c r="E3599" t="s">
        <v>659</v>
      </c>
      <c r="F3599">
        <v>165.01</v>
      </c>
      <c r="G3599">
        <v>149.15</v>
      </c>
    </row>
    <row r="3600" spans="1:7" hidden="1" x14ac:dyDescent="0.25">
      <c r="A3600" t="s">
        <v>660</v>
      </c>
      <c r="B3600">
        <v>20204</v>
      </c>
      <c r="C3600" t="s">
        <v>4269</v>
      </c>
      <c r="D3600" t="s">
        <v>704</v>
      </c>
      <c r="E3600" t="s">
        <v>659</v>
      </c>
      <c r="F3600">
        <v>110</v>
      </c>
      <c r="G3600">
        <v>99.43</v>
      </c>
    </row>
    <row r="3601" spans="1:7" hidden="1" x14ac:dyDescent="0.25">
      <c r="A3601" t="s">
        <v>660</v>
      </c>
      <c r="B3601">
        <v>20208</v>
      </c>
      <c r="C3601" t="s">
        <v>4270</v>
      </c>
      <c r="D3601" t="s">
        <v>704</v>
      </c>
      <c r="E3601" t="s">
        <v>659</v>
      </c>
      <c r="F3601">
        <v>148.51</v>
      </c>
      <c r="G3601">
        <v>134.22999999999999</v>
      </c>
    </row>
    <row r="3602" spans="1:7" hidden="1" x14ac:dyDescent="0.25">
      <c r="A3602" t="s">
        <v>660</v>
      </c>
      <c r="B3602">
        <v>4437</v>
      </c>
      <c r="C3602" t="s">
        <v>4271</v>
      </c>
      <c r="D3602" t="s">
        <v>704</v>
      </c>
      <c r="E3602" t="s">
        <v>659</v>
      </c>
      <c r="F3602">
        <v>123.75</v>
      </c>
      <c r="G3602">
        <v>111.86</v>
      </c>
    </row>
    <row r="3603" spans="1:7" hidden="1" x14ac:dyDescent="0.25">
      <c r="A3603" t="s">
        <v>660</v>
      </c>
      <c r="B3603">
        <v>14580</v>
      </c>
      <c r="C3603" t="s">
        <v>4272</v>
      </c>
      <c r="D3603" t="s">
        <v>704</v>
      </c>
      <c r="E3603" t="s">
        <v>659</v>
      </c>
      <c r="F3603">
        <v>123.75</v>
      </c>
      <c r="G3603">
        <v>111.86</v>
      </c>
    </row>
    <row r="3604" spans="1:7" hidden="1" x14ac:dyDescent="0.25">
      <c r="A3604" t="s">
        <v>660</v>
      </c>
      <c r="B3604">
        <v>5065</v>
      </c>
      <c r="C3604" t="s">
        <v>4273</v>
      </c>
      <c r="D3604" t="s">
        <v>708</v>
      </c>
      <c r="E3604" t="s">
        <v>659</v>
      </c>
      <c r="F3604">
        <v>33.42</v>
      </c>
      <c r="G3604">
        <v>23.22</v>
      </c>
    </row>
    <row r="3605" spans="1:7" hidden="1" x14ac:dyDescent="0.25">
      <c r="A3605" t="s">
        <v>660</v>
      </c>
      <c r="B3605">
        <v>5072</v>
      </c>
      <c r="C3605" t="s">
        <v>4274</v>
      </c>
      <c r="D3605" t="s">
        <v>708</v>
      </c>
      <c r="E3605" t="s">
        <v>659</v>
      </c>
      <c r="F3605">
        <v>30.91</v>
      </c>
      <c r="G3605">
        <v>21.48</v>
      </c>
    </row>
    <row r="3606" spans="1:7" hidden="1" x14ac:dyDescent="0.25">
      <c r="A3606" t="s">
        <v>660</v>
      </c>
      <c r="B3606">
        <v>5066</v>
      </c>
      <c r="C3606" t="s">
        <v>4275</v>
      </c>
      <c r="D3606" t="s">
        <v>708</v>
      </c>
      <c r="E3606" t="s">
        <v>659</v>
      </c>
      <c r="F3606">
        <v>23.15</v>
      </c>
      <c r="G3606">
        <v>16.079999999999998</v>
      </c>
    </row>
    <row r="3607" spans="1:7" hidden="1" x14ac:dyDescent="0.25">
      <c r="A3607" t="s">
        <v>660</v>
      </c>
      <c r="B3607">
        <v>5063</v>
      </c>
      <c r="C3607" t="s">
        <v>4276</v>
      </c>
      <c r="D3607" t="s">
        <v>708</v>
      </c>
      <c r="E3607" t="s">
        <v>659</v>
      </c>
      <c r="F3607">
        <v>20.96</v>
      </c>
      <c r="G3607">
        <v>14.56</v>
      </c>
    </row>
    <row r="3608" spans="1:7" hidden="1" x14ac:dyDescent="0.25">
      <c r="A3608" t="s">
        <v>660</v>
      </c>
      <c r="B3608">
        <v>20247</v>
      </c>
      <c r="C3608" t="s">
        <v>4277</v>
      </c>
      <c r="D3608" t="s">
        <v>708</v>
      </c>
      <c r="E3608" t="s">
        <v>659</v>
      </c>
      <c r="F3608">
        <v>19.45</v>
      </c>
      <c r="G3608">
        <v>13.51</v>
      </c>
    </row>
    <row r="3609" spans="1:7" hidden="1" x14ac:dyDescent="0.25">
      <c r="A3609" t="s">
        <v>660</v>
      </c>
      <c r="B3609">
        <v>5074</v>
      </c>
      <c r="C3609" t="s">
        <v>4278</v>
      </c>
      <c r="D3609" t="s">
        <v>708</v>
      </c>
      <c r="E3609" t="s">
        <v>659</v>
      </c>
      <c r="F3609">
        <v>19.68</v>
      </c>
      <c r="G3609">
        <v>13.67</v>
      </c>
    </row>
    <row r="3610" spans="1:7" hidden="1" x14ac:dyDescent="0.25">
      <c r="A3610" t="s">
        <v>660</v>
      </c>
      <c r="B3610">
        <v>5067</v>
      </c>
      <c r="C3610" t="s">
        <v>4279</v>
      </c>
      <c r="D3610" t="s">
        <v>708</v>
      </c>
      <c r="E3610" t="s">
        <v>659</v>
      </c>
      <c r="F3610">
        <v>18.72</v>
      </c>
      <c r="G3610">
        <v>13.01</v>
      </c>
    </row>
    <row r="3611" spans="1:7" hidden="1" x14ac:dyDescent="0.25">
      <c r="A3611" t="s">
        <v>660</v>
      </c>
      <c r="B3611">
        <v>5078</v>
      </c>
      <c r="C3611" t="s">
        <v>4280</v>
      </c>
      <c r="D3611" t="s">
        <v>708</v>
      </c>
      <c r="E3611" t="s">
        <v>659</v>
      </c>
      <c r="F3611">
        <v>18.510000000000002</v>
      </c>
      <c r="G3611">
        <v>12.86</v>
      </c>
    </row>
    <row r="3612" spans="1:7" hidden="1" x14ac:dyDescent="0.25">
      <c r="A3612" t="s">
        <v>660</v>
      </c>
      <c r="B3612">
        <v>5068</v>
      </c>
      <c r="C3612" t="s">
        <v>4281</v>
      </c>
      <c r="D3612" t="s">
        <v>708</v>
      </c>
      <c r="E3612" t="s">
        <v>659</v>
      </c>
      <c r="F3612">
        <v>17.57</v>
      </c>
      <c r="G3612">
        <v>12.2</v>
      </c>
    </row>
    <row r="3613" spans="1:7" hidden="1" x14ac:dyDescent="0.25">
      <c r="A3613" t="s">
        <v>660</v>
      </c>
      <c r="B3613">
        <v>5073</v>
      </c>
      <c r="C3613" t="s">
        <v>4282</v>
      </c>
      <c r="D3613" t="s">
        <v>708</v>
      </c>
      <c r="E3613" t="s">
        <v>659</v>
      </c>
      <c r="F3613">
        <v>17.899999999999999</v>
      </c>
      <c r="G3613">
        <v>12.44</v>
      </c>
    </row>
    <row r="3614" spans="1:7" hidden="1" x14ac:dyDescent="0.25">
      <c r="A3614" t="s">
        <v>660</v>
      </c>
      <c r="B3614">
        <v>5069</v>
      </c>
      <c r="C3614" t="s">
        <v>4283</v>
      </c>
      <c r="D3614" t="s">
        <v>708</v>
      </c>
      <c r="E3614" t="s">
        <v>659</v>
      </c>
      <c r="F3614">
        <v>17.899999999999999</v>
      </c>
      <c r="G3614">
        <v>12.44</v>
      </c>
    </row>
    <row r="3615" spans="1:7" hidden="1" x14ac:dyDescent="0.25">
      <c r="A3615" t="s">
        <v>660</v>
      </c>
      <c r="B3615">
        <v>5070</v>
      </c>
      <c r="C3615" t="s">
        <v>4284</v>
      </c>
      <c r="D3615" t="s">
        <v>708</v>
      </c>
      <c r="E3615" t="s">
        <v>659</v>
      </c>
      <c r="F3615">
        <v>18.100000000000001</v>
      </c>
      <c r="G3615">
        <v>12.58</v>
      </c>
    </row>
    <row r="3616" spans="1:7" hidden="1" x14ac:dyDescent="0.25">
      <c r="A3616" t="s">
        <v>660</v>
      </c>
      <c r="B3616">
        <v>5071</v>
      </c>
      <c r="C3616" t="s">
        <v>4285</v>
      </c>
      <c r="D3616" t="s">
        <v>708</v>
      </c>
      <c r="E3616" t="s">
        <v>659</v>
      </c>
      <c r="F3616">
        <v>17.57</v>
      </c>
      <c r="G3616">
        <v>12.2</v>
      </c>
    </row>
    <row r="3617" spans="1:7" hidden="1" x14ac:dyDescent="0.25">
      <c r="A3617" t="s">
        <v>660</v>
      </c>
      <c r="B3617">
        <v>5061</v>
      </c>
      <c r="C3617" t="s">
        <v>4286</v>
      </c>
      <c r="D3617" t="s">
        <v>708</v>
      </c>
      <c r="E3617" t="s">
        <v>172</v>
      </c>
      <c r="F3617">
        <v>17.27</v>
      </c>
      <c r="G3617">
        <v>12</v>
      </c>
    </row>
    <row r="3618" spans="1:7" hidden="1" x14ac:dyDescent="0.25">
      <c r="A3618" t="s">
        <v>660</v>
      </c>
      <c r="B3618">
        <v>5075</v>
      </c>
      <c r="C3618" t="s">
        <v>4287</v>
      </c>
      <c r="D3618" t="s">
        <v>708</v>
      </c>
      <c r="E3618" t="s">
        <v>659</v>
      </c>
      <c r="F3618">
        <v>17.57</v>
      </c>
      <c r="G3618">
        <v>12.2</v>
      </c>
    </row>
    <row r="3619" spans="1:7" hidden="1" x14ac:dyDescent="0.25">
      <c r="A3619" t="s">
        <v>660</v>
      </c>
      <c r="B3619">
        <v>5062</v>
      </c>
      <c r="C3619" t="s">
        <v>4288</v>
      </c>
      <c r="D3619" t="s">
        <v>708</v>
      </c>
      <c r="E3619" t="s">
        <v>659</v>
      </c>
      <c r="F3619">
        <v>17.8</v>
      </c>
      <c r="G3619">
        <v>12.37</v>
      </c>
    </row>
    <row r="3620" spans="1:7" hidden="1" x14ac:dyDescent="0.25">
      <c r="A3620" t="s">
        <v>660</v>
      </c>
      <c r="B3620">
        <v>39027</v>
      </c>
      <c r="C3620" t="s">
        <v>4289</v>
      </c>
      <c r="D3620" t="s">
        <v>708</v>
      </c>
      <c r="E3620" t="s">
        <v>659</v>
      </c>
      <c r="F3620">
        <v>17.55</v>
      </c>
      <c r="G3620">
        <v>12.19</v>
      </c>
    </row>
    <row r="3621" spans="1:7" hidden="1" x14ac:dyDescent="0.25">
      <c r="A3621" t="s">
        <v>660</v>
      </c>
      <c r="B3621">
        <v>40568</v>
      </c>
      <c r="C3621" t="s">
        <v>4290</v>
      </c>
      <c r="D3621" t="s">
        <v>708</v>
      </c>
      <c r="E3621" t="s">
        <v>659</v>
      </c>
      <c r="F3621">
        <v>17.7</v>
      </c>
      <c r="G3621">
        <v>12.3</v>
      </c>
    </row>
    <row r="3622" spans="1:7" hidden="1" x14ac:dyDescent="0.25">
      <c r="A3622" t="s">
        <v>660</v>
      </c>
      <c r="B3622">
        <v>40304</v>
      </c>
      <c r="C3622" t="s">
        <v>4291</v>
      </c>
      <c r="D3622" t="s">
        <v>708</v>
      </c>
      <c r="E3622" t="s">
        <v>659</v>
      </c>
      <c r="F3622">
        <v>21.68</v>
      </c>
      <c r="G3622">
        <v>15.06</v>
      </c>
    </row>
    <row r="3623" spans="1:7" hidden="1" x14ac:dyDescent="0.25">
      <c r="A3623" t="s">
        <v>660</v>
      </c>
      <c r="B3623">
        <v>39026</v>
      </c>
      <c r="C3623" t="s">
        <v>4292</v>
      </c>
      <c r="D3623" t="s">
        <v>708</v>
      </c>
      <c r="E3623" t="s">
        <v>659</v>
      </c>
      <c r="F3623">
        <v>19.75</v>
      </c>
      <c r="G3623">
        <v>13.72</v>
      </c>
    </row>
    <row r="3624" spans="1:7" hidden="1" x14ac:dyDescent="0.25">
      <c r="A3624" t="s">
        <v>660</v>
      </c>
      <c r="B3624">
        <v>42431</v>
      </c>
      <c r="C3624" t="s">
        <v>4293</v>
      </c>
      <c r="D3624" t="s">
        <v>226</v>
      </c>
      <c r="E3624" t="s">
        <v>659</v>
      </c>
      <c r="F3624">
        <f>G3624</f>
        <v>3957.85</v>
      </c>
      <c r="G3624" s="538">
        <v>3957.85</v>
      </c>
    </row>
    <row r="3625" spans="1:7" hidden="1" x14ac:dyDescent="0.25">
      <c r="A3625" t="s">
        <v>660</v>
      </c>
      <c r="B3625">
        <v>44074</v>
      </c>
      <c r="C3625" t="s">
        <v>4294</v>
      </c>
      <c r="D3625" t="s">
        <v>710</v>
      </c>
      <c r="E3625" t="s">
        <v>659</v>
      </c>
      <c r="F3625">
        <v>500.97</v>
      </c>
      <c r="G3625">
        <v>570.20000000000005</v>
      </c>
    </row>
    <row r="3626" spans="1:7" hidden="1" x14ac:dyDescent="0.25">
      <c r="A3626" t="s">
        <v>660</v>
      </c>
      <c r="B3626">
        <v>44072</v>
      </c>
      <c r="C3626" t="s">
        <v>4295</v>
      </c>
      <c r="D3626" t="s">
        <v>710</v>
      </c>
      <c r="E3626" t="s">
        <v>659</v>
      </c>
      <c r="F3626">
        <v>150.57</v>
      </c>
      <c r="G3626">
        <v>143.63999999999999</v>
      </c>
    </row>
    <row r="3627" spans="1:7" hidden="1" x14ac:dyDescent="0.25">
      <c r="A3627" t="s">
        <v>660</v>
      </c>
      <c r="B3627">
        <v>511</v>
      </c>
      <c r="C3627" t="s">
        <v>4296</v>
      </c>
      <c r="D3627" t="s">
        <v>710</v>
      </c>
      <c r="E3627" t="s">
        <v>172</v>
      </c>
      <c r="F3627">
        <v>18.5</v>
      </c>
      <c r="G3627">
        <v>18.5</v>
      </c>
    </row>
    <row r="3628" spans="1:7" hidden="1" x14ac:dyDescent="0.25">
      <c r="A3628" t="s">
        <v>842</v>
      </c>
      <c r="B3628">
        <v>37540</v>
      </c>
      <c r="C3628" t="s">
        <v>4297</v>
      </c>
      <c r="D3628" t="s">
        <v>226</v>
      </c>
      <c r="E3628" t="s">
        <v>659</v>
      </c>
      <c r="F3628" s="538">
        <v>100033.25</v>
      </c>
      <c r="G3628" s="538">
        <v>80125.740000000005</v>
      </c>
    </row>
    <row r="3629" spans="1:7" hidden="1" x14ac:dyDescent="0.25">
      <c r="A3629" t="s">
        <v>842</v>
      </c>
      <c r="B3629">
        <v>37548</v>
      </c>
      <c r="C3629" t="s">
        <v>4298</v>
      </c>
      <c r="D3629" t="s">
        <v>226</v>
      </c>
      <c r="E3629" t="s">
        <v>659</v>
      </c>
      <c r="F3629" s="538">
        <v>132593.57999999999</v>
      </c>
      <c r="G3629" s="538">
        <v>106206.26</v>
      </c>
    </row>
    <row r="3630" spans="1:7" hidden="1" x14ac:dyDescent="0.25">
      <c r="A3630" t="s">
        <v>842</v>
      </c>
      <c r="B3630">
        <v>39828</v>
      </c>
      <c r="C3630" t="s">
        <v>4299</v>
      </c>
      <c r="D3630" t="s">
        <v>226</v>
      </c>
      <c r="E3630" t="s">
        <v>659</v>
      </c>
      <c r="F3630">
        <v>795.43</v>
      </c>
      <c r="G3630">
        <v>637.13</v>
      </c>
    </row>
    <row r="3631" spans="1:7" hidden="1" x14ac:dyDescent="0.25">
      <c r="A3631" t="s">
        <v>660</v>
      </c>
      <c r="B3631">
        <v>38392</v>
      </c>
      <c r="C3631" t="s">
        <v>4300</v>
      </c>
      <c r="D3631" t="s">
        <v>226</v>
      </c>
      <c r="E3631" t="s">
        <v>659</v>
      </c>
      <c r="F3631">
        <v>68.73</v>
      </c>
      <c r="G3631">
        <v>65.58</v>
      </c>
    </row>
    <row r="3632" spans="1:7" hidden="1" x14ac:dyDescent="0.25">
      <c r="A3632" t="s">
        <v>660</v>
      </c>
      <c r="B3632">
        <v>11735</v>
      </c>
      <c r="C3632" t="s">
        <v>4301</v>
      </c>
      <c r="D3632" t="s">
        <v>226</v>
      </c>
      <c r="E3632" t="s">
        <v>659</v>
      </c>
      <c r="F3632">
        <v>9.0399999999999991</v>
      </c>
      <c r="G3632">
        <v>9.02</v>
      </c>
    </row>
    <row r="3633" spans="1:7" hidden="1" x14ac:dyDescent="0.25">
      <c r="A3633" t="s">
        <v>660</v>
      </c>
      <c r="B3633">
        <v>11737</v>
      </c>
      <c r="C3633" t="s">
        <v>4302</v>
      </c>
      <c r="D3633" t="s">
        <v>226</v>
      </c>
      <c r="E3633" t="s">
        <v>659</v>
      </c>
      <c r="F3633">
        <v>12.82</v>
      </c>
      <c r="G3633">
        <v>12.79</v>
      </c>
    </row>
    <row r="3634" spans="1:7" hidden="1" x14ac:dyDescent="0.25">
      <c r="A3634" t="s">
        <v>660</v>
      </c>
      <c r="B3634">
        <v>11738</v>
      </c>
      <c r="C3634" t="s">
        <v>4303</v>
      </c>
      <c r="D3634" t="s">
        <v>226</v>
      </c>
      <c r="E3634" t="s">
        <v>659</v>
      </c>
      <c r="F3634">
        <v>16.170000000000002</v>
      </c>
      <c r="G3634">
        <v>16.13</v>
      </c>
    </row>
    <row r="3635" spans="1:7" hidden="1" x14ac:dyDescent="0.25">
      <c r="A3635" t="s">
        <v>660</v>
      </c>
      <c r="B3635">
        <v>36143</v>
      </c>
      <c r="C3635" t="s">
        <v>4304</v>
      </c>
      <c r="D3635" t="s">
        <v>226</v>
      </c>
      <c r="E3635" t="s">
        <v>659</v>
      </c>
      <c r="F3635">
        <v>83.6</v>
      </c>
      <c r="G3635">
        <v>93.62</v>
      </c>
    </row>
    <row r="3636" spans="1:7" hidden="1" x14ac:dyDescent="0.25">
      <c r="A3636" t="s">
        <v>660</v>
      </c>
      <c r="B3636">
        <v>36142</v>
      </c>
      <c r="C3636" t="s">
        <v>4305</v>
      </c>
      <c r="D3636" t="s">
        <v>226</v>
      </c>
      <c r="E3636" t="s">
        <v>659</v>
      </c>
      <c r="F3636">
        <v>2.06</v>
      </c>
      <c r="G3636">
        <v>2.31</v>
      </c>
    </row>
    <row r="3637" spans="1:7" hidden="1" x14ac:dyDescent="0.25">
      <c r="A3637" t="s">
        <v>660</v>
      </c>
      <c r="B3637">
        <v>45227</v>
      </c>
      <c r="C3637" t="s">
        <v>4306</v>
      </c>
      <c r="D3637" t="s">
        <v>226</v>
      </c>
      <c r="E3637" t="s">
        <v>659</v>
      </c>
      <c r="F3637">
        <v>796.58</v>
      </c>
      <c r="G3637">
        <v>892.13</v>
      </c>
    </row>
    <row r="3638" spans="1:7" hidden="1" x14ac:dyDescent="0.25">
      <c r="A3638" t="s">
        <v>660</v>
      </c>
      <c r="B3638">
        <v>45209</v>
      </c>
      <c r="C3638" t="s">
        <v>4307</v>
      </c>
      <c r="D3638" t="s">
        <v>226</v>
      </c>
      <c r="E3638" t="s">
        <v>659</v>
      </c>
      <c r="F3638">
        <v>34.89</v>
      </c>
      <c r="G3638">
        <v>39.08</v>
      </c>
    </row>
    <row r="3639" spans="1:7" hidden="1" x14ac:dyDescent="0.25">
      <c r="A3639" t="s">
        <v>660</v>
      </c>
      <c r="B3639">
        <v>36146</v>
      </c>
      <c r="C3639" t="s">
        <v>4308</v>
      </c>
      <c r="D3639" t="s">
        <v>226</v>
      </c>
      <c r="E3639" t="s">
        <v>659</v>
      </c>
      <c r="F3639">
        <v>221.21</v>
      </c>
      <c r="G3639">
        <v>247.74</v>
      </c>
    </row>
    <row r="3640" spans="1:7" hidden="1" x14ac:dyDescent="0.25">
      <c r="A3640" t="s">
        <v>660</v>
      </c>
      <c r="B3640">
        <v>39015</v>
      </c>
      <c r="C3640" t="s">
        <v>4309</v>
      </c>
      <c r="D3640" t="s">
        <v>226</v>
      </c>
      <c r="E3640" t="s">
        <v>172</v>
      </c>
      <c r="F3640">
        <v>0.95</v>
      </c>
      <c r="G3640">
        <v>1</v>
      </c>
    </row>
    <row r="3641" spans="1:7" x14ac:dyDescent="0.25">
      <c r="A3641" t="s">
        <v>660</v>
      </c>
      <c r="B3641">
        <v>38377</v>
      </c>
      <c r="C3641" t="s">
        <v>4310</v>
      </c>
      <c r="D3641" t="s">
        <v>226</v>
      </c>
      <c r="E3641" t="s">
        <v>659</v>
      </c>
      <c r="F3641">
        <v>34.47</v>
      </c>
      <c r="G3641">
        <v>29.8</v>
      </c>
    </row>
    <row r="3642" spans="1:7" hidden="1" x14ac:dyDescent="0.25">
      <c r="A3642" t="s">
        <v>660</v>
      </c>
      <c r="B3642">
        <v>38376</v>
      </c>
      <c r="C3642" t="s">
        <v>4311</v>
      </c>
      <c r="D3642" t="s">
        <v>226</v>
      </c>
      <c r="E3642" t="s">
        <v>659</v>
      </c>
      <c r="F3642">
        <v>39.869999999999997</v>
      </c>
      <c r="G3642">
        <v>34.46</v>
      </c>
    </row>
    <row r="3643" spans="1:7" hidden="1" x14ac:dyDescent="0.25">
      <c r="A3643" t="s">
        <v>660</v>
      </c>
      <c r="B3643">
        <v>38116</v>
      </c>
      <c r="C3643" t="s">
        <v>4312</v>
      </c>
      <c r="D3643" t="s">
        <v>226</v>
      </c>
      <c r="E3643" t="s">
        <v>659</v>
      </c>
      <c r="F3643">
        <v>5.32</v>
      </c>
      <c r="G3643">
        <v>5.88</v>
      </c>
    </row>
    <row r="3644" spans="1:7" hidden="1" x14ac:dyDescent="0.25">
      <c r="A3644" t="s">
        <v>660</v>
      </c>
      <c r="B3644">
        <v>38066</v>
      </c>
      <c r="C3644" t="s">
        <v>4313</v>
      </c>
      <c r="D3644" t="s">
        <v>226</v>
      </c>
      <c r="E3644" t="s">
        <v>659</v>
      </c>
      <c r="F3644">
        <v>8.7899999999999991</v>
      </c>
      <c r="G3644">
        <v>9.7100000000000009</v>
      </c>
    </row>
    <row r="3645" spans="1:7" hidden="1" x14ac:dyDescent="0.25">
      <c r="A3645" t="s">
        <v>660</v>
      </c>
      <c r="B3645">
        <v>38117</v>
      </c>
      <c r="C3645" t="s">
        <v>4314</v>
      </c>
      <c r="D3645" t="s">
        <v>226</v>
      </c>
      <c r="E3645" t="s">
        <v>659</v>
      </c>
      <c r="F3645">
        <v>9.07</v>
      </c>
      <c r="G3645">
        <v>10.02</v>
      </c>
    </row>
    <row r="3646" spans="1:7" hidden="1" x14ac:dyDescent="0.25">
      <c r="A3646" t="s">
        <v>660</v>
      </c>
      <c r="B3646">
        <v>38067</v>
      </c>
      <c r="C3646" t="s">
        <v>4315</v>
      </c>
      <c r="D3646" t="s">
        <v>226</v>
      </c>
      <c r="E3646" t="s">
        <v>659</v>
      </c>
      <c r="F3646">
        <v>12.37</v>
      </c>
      <c r="G3646">
        <v>13.67</v>
      </c>
    </row>
    <row r="3647" spans="1:7" hidden="1" x14ac:dyDescent="0.25">
      <c r="A3647" t="s">
        <v>842</v>
      </c>
      <c r="B3647">
        <v>44313</v>
      </c>
      <c r="C3647" t="s">
        <v>4316</v>
      </c>
      <c r="D3647" t="s">
        <v>226</v>
      </c>
      <c r="E3647" t="s">
        <v>659</v>
      </c>
      <c r="F3647">
        <v>967.77</v>
      </c>
      <c r="G3647">
        <v>983.05</v>
      </c>
    </row>
    <row r="3648" spans="1:7" hidden="1" x14ac:dyDescent="0.25">
      <c r="A3648" t="s">
        <v>660</v>
      </c>
      <c r="B3648">
        <v>11522</v>
      </c>
      <c r="C3648" t="s">
        <v>4317</v>
      </c>
      <c r="D3648" t="s">
        <v>226</v>
      </c>
      <c r="E3648" t="s">
        <v>659</v>
      </c>
      <c r="F3648">
        <v>14.54</v>
      </c>
      <c r="G3648">
        <v>12.98</v>
      </c>
    </row>
    <row r="3649" spans="1:7" hidden="1" x14ac:dyDescent="0.25">
      <c r="A3649" t="s">
        <v>660</v>
      </c>
      <c r="B3649">
        <v>43600</v>
      </c>
      <c r="C3649" t="s">
        <v>4318</v>
      </c>
      <c r="D3649" t="s">
        <v>226</v>
      </c>
      <c r="E3649" t="s">
        <v>659</v>
      </c>
      <c r="F3649">
        <v>58.26</v>
      </c>
      <c r="G3649">
        <v>52.02</v>
      </c>
    </row>
    <row r="3650" spans="1:7" hidden="1" x14ac:dyDescent="0.25">
      <c r="A3650" t="s">
        <v>660</v>
      </c>
      <c r="B3650">
        <v>5080</v>
      </c>
      <c r="C3650" t="s">
        <v>4319</v>
      </c>
      <c r="D3650" t="s">
        <v>226</v>
      </c>
      <c r="E3650" t="s">
        <v>659</v>
      </c>
      <c r="F3650">
        <v>22.72</v>
      </c>
      <c r="G3650">
        <v>20.28</v>
      </c>
    </row>
    <row r="3651" spans="1:7" hidden="1" x14ac:dyDescent="0.25">
      <c r="A3651" t="s">
        <v>660</v>
      </c>
      <c r="B3651">
        <v>38168</v>
      </c>
      <c r="C3651" t="s">
        <v>4320</v>
      </c>
      <c r="D3651" t="s">
        <v>226</v>
      </c>
      <c r="E3651" t="s">
        <v>659</v>
      </c>
      <c r="F3651">
        <v>158.61000000000001</v>
      </c>
      <c r="G3651">
        <v>141.62</v>
      </c>
    </row>
    <row r="3652" spans="1:7" hidden="1" x14ac:dyDescent="0.25">
      <c r="A3652" t="s">
        <v>660</v>
      </c>
      <c r="B3652">
        <v>43601</v>
      </c>
      <c r="C3652" t="s">
        <v>4321</v>
      </c>
      <c r="D3652" t="s">
        <v>226</v>
      </c>
      <c r="E3652" t="s">
        <v>659</v>
      </c>
      <c r="F3652">
        <v>79.3</v>
      </c>
      <c r="G3652">
        <v>70.81</v>
      </c>
    </row>
    <row r="3653" spans="1:7" hidden="1" x14ac:dyDescent="0.25">
      <c r="A3653" t="s">
        <v>660</v>
      </c>
      <c r="B3653">
        <v>13393</v>
      </c>
      <c r="C3653" t="s">
        <v>4322</v>
      </c>
      <c r="D3653" t="s">
        <v>226</v>
      </c>
      <c r="E3653" t="s">
        <v>659</v>
      </c>
      <c r="F3653">
        <v>336.14</v>
      </c>
      <c r="G3653">
        <v>293.14</v>
      </c>
    </row>
    <row r="3654" spans="1:7" hidden="1" x14ac:dyDescent="0.25">
      <c r="A3654" t="s">
        <v>660</v>
      </c>
      <c r="B3654">
        <v>13395</v>
      </c>
      <c r="C3654" t="s">
        <v>4323</v>
      </c>
      <c r="D3654" t="s">
        <v>226</v>
      </c>
      <c r="E3654" t="s">
        <v>659</v>
      </c>
      <c r="F3654">
        <v>471.06</v>
      </c>
      <c r="G3654">
        <v>410.8</v>
      </c>
    </row>
    <row r="3655" spans="1:7" hidden="1" x14ac:dyDescent="0.25">
      <c r="A3655" t="s">
        <v>660</v>
      </c>
      <c r="B3655">
        <v>12039</v>
      </c>
      <c r="C3655" t="s">
        <v>4324</v>
      </c>
      <c r="D3655" t="s">
        <v>226</v>
      </c>
      <c r="E3655" t="s">
        <v>659</v>
      </c>
      <c r="F3655">
        <v>495.03</v>
      </c>
      <c r="G3655">
        <v>431.71</v>
      </c>
    </row>
    <row r="3656" spans="1:7" hidden="1" x14ac:dyDescent="0.25">
      <c r="A3656" t="s">
        <v>660</v>
      </c>
      <c r="B3656">
        <v>13396</v>
      </c>
      <c r="C3656" t="s">
        <v>4325</v>
      </c>
      <c r="D3656" t="s">
        <v>226</v>
      </c>
      <c r="E3656" t="s">
        <v>659</v>
      </c>
      <c r="F3656">
        <v>695.24</v>
      </c>
      <c r="G3656">
        <v>606.30999999999995</v>
      </c>
    </row>
    <row r="3657" spans="1:7" hidden="1" x14ac:dyDescent="0.25">
      <c r="A3657" t="s">
        <v>660</v>
      </c>
      <c r="B3657">
        <v>12041</v>
      </c>
      <c r="C3657" t="s">
        <v>4326</v>
      </c>
      <c r="D3657" t="s">
        <v>226</v>
      </c>
      <c r="E3657" t="s">
        <v>659</v>
      </c>
      <c r="F3657">
        <v>567.71</v>
      </c>
      <c r="G3657">
        <v>495.09</v>
      </c>
    </row>
    <row r="3658" spans="1:7" hidden="1" x14ac:dyDescent="0.25">
      <c r="A3658" t="s">
        <v>660</v>
      </c>
      <c r="B3658">
        <v>12043</v>
      </c>
      <c r="C3658" t="s">
        <v>4327</v>
      </c>
      <c r="D3658" t="s">
        <v>226</v>
      </c>
      <c r="E3658" t="s">
        <v>659</v>
      </c>
      <c r="F3658" s="538">
        <v>1198.6300000000001</v>
      </c>
      <c r="G3658" s="538">
        <v>1045.3</v>
      </c>
    </row>
    <row r="3659" spans="1:7" hidden="1" x14ac:dyDescent="0.25">
      <c r="A3659" t="s">
        <v>660</v>
      </c>
      <c r="B3659">
        <v>39762</v>
      </c>
      <c r="C3659" t="s">
        <v>4328</v>
      </c>
      <c r="D3659" t="s">
        <v>226</v>
      </c>
      <c r="E3659" t="s">
        <v>659</v>
      </c>
      <c r="F3659">
        <v>570.58000000000004</v>
      </c>
      <c r="G3659">
        <v>497.59</v>
      </c>
    </row>
    <row r="3660" spans="1:7" hidden="1" x14ac:dyDescent="0.25">
      <c r="A3660" t="s">
        <v>660</v>
      </c>
      <c r="B3660">
        <v>12042</v>
      </c>
      <c r="C3660" t="s">
        <v>4329</v>
      </c>
      <c r="D3660" t="s">
        <v>226</v>
      </c>
      <c r="E3660" t="s">
        <v>659</v>
      </c>
      <c r="F3660">
        <v>833.03</v>
      </c>
      <c r="G3660">
        <v>726.47</v>
      </c>
    </row>
    <row r="3661" spans="1:7" hidden="1" x14ac:dyDescent="0.25">
      <c r="A3661" t="s">
        <v>660</v>
      </c>
      <c r="B3661">
        <v>39763</v>
      </c>
      <c r="C3661" t="s">
        <v>4330</v>
      </c>
      <c r="D3661" t="s">
        <v>226</v>
      </c>
      <c r="E3661" t="s">
        <v>659</v>
      </c>
      <c r="F3661">
        <v>974.95</v>
      </c>
      <c r="G3661">
        <v>850.24</v>
      </c>
    </row>
    <row r="3662" spans="1:7" hidden="1" x14ac:dyDescent="0.25">
      <c r="A3662" t="s">
        <v>660</v>
      </c>
      <c r="B3662">
        <v>39760</v>
      </c>
      <c r="C3662" t="s">
        <v>4331</v>
      </c>
      <c r="D3662" t="s">
        <v>226</v>
      </c>
      <c r="E3662" t="s">
        <v>659</v>
      </c>
      <c r="F3662">
        <v>971.74</v>
      </c>
      <c r="G3662">
        <v>847.44</v>
      </c>
    </row>
    <row r="3663" spans="1:7" hidden="1" x14ac:dyDescent="0.25">
      <c r="A3663" t="s">
        <v>660</v>
      </c>
      <c r="B3663">
        <v>39756</v>
      </c>
      <c r="C3663" t="s">
        <v>4332</v>
      </c>
      <c r="D3663" t="s">
        <v>226</v>
      </c>
      <c r="E3663" t="s">
        <v>659</v>
      </c>
      <c r="F3663">
        <v>348.91</v>
      </c>
      <c r="G3663">
        <v>304.27999999999997</v>
      </c>
    </row>
    <row r="3664" spans="1:7" hidden="1" x14ac:dyDescent="0.25">
      <c r="A3664" t="s">
        <v>660</v>
      </c>
      <c r="B3664">
        <v>12038</v>
      </c>
      <c r="C3664" t="s">
        <v>4333</v>
      </c>
      <c r="D3664" t="s">
        <v>226</v>
      </c>
      <c r="E3664" t="s">
        <v>659</v>
      </c>
      <c r="F3664">
        <v>435.98</v>
      </c>
      <c r="G3664">
        <v>380.21</v>
      </c>
    </row>
    <row r="3665" spans="1:7" hidden="1" x14ac:dyDescent="0.25">
      <c r="A3665" t="s">
        <v>660</v>
      </c>
      <c r="B3665">
        <v>39757</v>
      </c>
      <c r="C3665" t="s">
        <v>4334</v>
      </c>
      <c r="D3665" t="s">
        <v>226</v>
      </c>
      <c r="E3665" t="s">
        <v>659</v>
      </c>
      <c r="F3665">
        <v>403.14</v>
      </c>
      <c r="G3665">
        <v>351.57</v>
      </c>
    </row>
    <row r="3666" spans="1:7" hidden="1" x14ac:dyDescent="0.25">
      <c r="A3666" t="s">
        <v>660</v>
      </c>
      <c r="B3666">
        <v>39758</v>
      </c>
      <c r="C3666" t="s">
        <v>4335</v>
      </c>
      <c r="D3666" t="s">
        <v>226</v>
      </c>
      <c r="E3666" t="s">
        <v>659</v>
      </c>
      <c r="F3666">
        <v>587.53</v>
      </c>
      <c r="G3666">
        <v>512.37</v>
      </c>
    </row>
    <row r="3667" spans="1:7" hidden="1" x14ac:dyDescent="0.25">
      <c r="A3667" t="s">
        <v>660</v>
      </c>
      <c r="B3667">
        <v>39759</v>
      </c>
      <c r="C3667" t="s">
        <v>4336</v>
      </c>
      <c r="D3667" t="s">
        <v>226</v>
      </c>
      <c r="E3667" t="s">
        <v>659</v>
      </c>
      <c r="F3667">
        <v>725.6</v>
      </c>
      <c r="G3667">
        <v>632.78</v>
      </c>
    </row>
    <row r="3668" spans="1:7" hidden="1" x14ac:dyDescent="0.25">
      <c r="A3668" t="s">
        <v>660</v>
      </c>
      <c r="B3668">
        <v>39761</v>
      </c>
      <c r="C3668" t="s">
        <v>4337</v>
      </c>
      <c r="D3668" t="s">
        <v>226</v>
      </c>
      <c r="E3668" t="s">
        <v>659</v>
      </c>
      <c r="F3668">
        <v>872.19</v>
      </c>
      <c r="G3668">
        <v>760.62</v>
      </c>
    </row>
    <row r="3669" spans="1:7" hidden="1" x14ac:dyDescent="0.25">
      <c r="A3669" t="s">
        <v>660</v>
      </c>
      <c r="B3669">
        <v>39805</v>
      </c>
      <c r="C3669" t="s">
        <v>4338</v>
      </c>
      <c r="D3669" t="s">
        <v>226</v>
      </c>
      <c r="E3669" t="s">
        <v>659</v>
      </c>
      <c r="F3669">
        <v>163.69</v>
      </c>
      <c r="G3669">
        <v>136.16</v>
      </c>
    </row>
    <row r="3670" spans="1:7" hidden="1" x14ac:dyDescent="0.25">
      <c r="A3670" t="s">
        <v>660</v>
      </c>
      <c r="B3670">
        <v>39806</v>
      </c>
      <c r="C3670" t="s">
        <v>4339</v>
      </c>
      <c r="D3670" t="s">
        <v>226</v>
      </c>
      <c r="E3670" t="s">
        <v>659</v>
      </c>
      <c r="F3670">
        <v>303.27</v>
      </c>
      <c r="G3670">
        <v>252.27</v>
      </c>
    </row>
    <row r="3671" spans="1:7" hidden="1" x14ac:dyDescent="0.25">
      <c r="A3671" t="s">
        <v>660</v>
      </c>
      <c r="B3671">
        <v>39807</v>
      </c>
      <c r="C3671" t="s">
        <v>4340</v>
      </c>
      <c r="D3671" t="s">
        <v>226</v>
      </c>
      <c r="E3671" t="s">
        <v>659</v>
      </c>
      <c r="F3671">
        <v>657.26</v>
      </c>
      <c r="G3671">
        <v>546.74</v>
      </c>
    </row>
    <row r="3672" spans="1:7" hidden="1" x14ac:dyDescent="0.25">
      <c r="A3672" t="s">
        <v>660</v>
      </c>
      <c r="B3672">
        <v>43100</v>
      </c>
      <c r="C3672" t="s">
        <v>4341</v>
      </c>
      <c r="D3672" t="s">
        <v>226</v>
      </c>
      <c r="E3672" t="s">
        <v>659</v>
      </c>
      <c r="F3672">
        <v>513.84</v>
      </c>
      <c r="G3672">
        <v>427.43</v>
      </c>
    </row>
    <row r="3673" spans="1:7" hidden="1" x14ac:dyDescent="0.25">
      <c r="A3673" t="s">
        <v>660</v>
      </c>
      <c r="B3673">
        <v>39804</v>
      </c>
      <c r="C3673" t="s">
        <v>4342</v>
      </c>
      <c r="D3673" t="s">
        <v>226</v>
      </c>
      <c r="E3673" t="s">
        <v>659</v>
      </c>
      <c r="F3673">
        <v>96.12</v>
      </c>
      <c r="G3673">
        <v>79.95</v>
      </c>
    </row>
    <row r="3674" spans="1:7" hidden="1" x14ac:dyDescent="0.25">
      <c r="A3674" t="s">
        <v>660</v>
      </c>
      <c r="B3674">
        <v>39796</v>
      </c>
      <c r="C3674" t="s">
        <v>4343</v>
      </c>
      <c r="D3674" t="s">
        <v>226</v>
      </c>
      <c r="E3674" t="s">
        <v>659</v>
      </c>
      <c r="F3674">
        <v>99.55</v>
      </c>
      <c r="G3674">
        <v>82.81</v>
      </c>
    </row>
    <row r="3675" spans="1:7" hidden="1" x14ac:dyDescent="0.25">
      <c r="A3675" t="s">
        <v>660</v>
      </c>
      <c r="B3675">
        <v>39797</v>
      </c>
      <c r="C3675" t="s">
        <v>4344</v>
      </c>
      <c r="D3675" t="s">
        <v>226</v>
      </c>
      <c r="E3675" t="s">
        <v>172</v>
      </c>
      <c r="F3675">
        <v>156.28</v>
      </c>
      <c r="G3675">
        <v>130</v>
      </c>
    </row>
    <row r="3676" spans="1:7" hidden="1" x14ac:dyDescent="0.25">
      <c r="A3676" t="s">
        <v>660</v>
      </c>
      <c r="B3676">
        <v>39798</v>
      </c>
      <c r="C3676" t="s">
        <v>4345</v>
      </c>
      <c r="D3676" t="s">
        <v>226</v>
      </c>
      <c r="E3676" t="s">
        <v>659</v>
      </c>
      <c r="F3676">
        <v>268.07</v>
      </c>
      <c r="G3676">
        <v>222.99</v>
      </c>
    </row>
    <row r="3677" spans="1:7" hidden="1" x14ac:dyDescent="0.25">
      <c r="A3677" t="s">
        <v>660</v>
      </c>
      <c r="B3677">
        <v>39794</v>
      </c>
      <c r="C3677" t="s">
        <v>4346</v>
      </c>
      <c r="D3677" t="s">
        <v>226</v>
      </c>
      <c r="E3677" t="s">
        <v>659</v>
      </c>
      <c r="F3677">
        <v>42.26</v>
      </c>
      <c r="G3677">
        <v>35.15</v>
      </c>
    </row>
    <row r="3678" spans="1:7" hidden="1" x14ac:dyDescent="0.25">
      <c r="A3678" t="s">
        <v>660</v>
      </c>
      <c r="B3678">
        <v>39795</v>
      </c>
      <c r="C3678" t="s">
        <v>4347</v>
      </c>
      <c r="D3678" t="s">
        <v>226</v>
      </c>
      <c r="E3678" t="s">
        <v>659</v>
      </c>
      <c r="F3678">
        <v>66.760000000000005</v>
      </c>
      <c r="G3678">
        <v>55.53</v>
      </c>
    </row>
    <row r="3679" spans="1:7" hidden="1" x14ac:dyDescent="0.25">
      <c r="A3679" t="s">
        <v>660</v>
      </c>
      <c r="B3679">
        <v>39801</v>
      </c>
      <c r="C3679" t="s">
        <v>4348</v>
      </c>
      <c r="D3679" t="s">
        <v>226</v>
      </c>
      <c r="E3679" t="s">
        <v>659</v>
      </c>
      <c r="F3679">
        <v>140.97</v>
      </c>
      <c r="G3679">
        <v>117.27</v>
      </c>
    </row>
    <row r="3680" spans="1:7" hidden="1" x14ac:dyDescent="0.25">
      <c r="A3680" t="s">
        <v>660</v>
      </c>
      <c r="B3680">
        <v>39802</v>
      </c>
      <c r="C3680" t="s">
        <v>4349</v>
      </c>
      <c r="D3680" t="s">
        <v>226</v>
      </c>
      <c r="E3680" t="s">
        <v>659</v>
      </c>
      <c r="F3680">
        <v>206.64</v>
      </c>
      <c r="G3680">
        <v>171.89</v>
      </c>
    </row>
    <row r="3681" spans="1:7" hidden="1" x14ac:dyDescent="0.25">
      <c r="A3681" t="s">
        <v>660</v>
      </c>
      <c r="B3681">
        <v>39803</v>
      </c>
      <c r="C3681" t="s">
        <v>4350</v>
      </c>
      <c r="D3681" t="s">
        <v>226</v>
      </c>
      <c r="E3681" t="s">
        <v>659</v>
      </c>
      <c r="F3681">
        <v>288.27</v>
      </c>
      <c r="G3681">
        <v>239.79</v>
      </c>
    </row>
    <row r="3682" spans="1:7" hidden="1" x14ac:dyDescent="0.25">
      <c r="A3682" t="s">
        <v>660</v>
      </c>
      <c r="B3682">
        <v>39799</v>
      </c>
      <c r="C3682" t="s">
        <v>4351</v>
      </c>
      <c r="D3682" t="s">
        <v>226</v>
      </c>
      <c r="E3682" t="s">
        <v>659</v>
      </c>
      <c r="F3682">
        <v>49.26</v>
      </c>
      <c r="G3682">
        <v>40.97</v>
      </c>
    </row>
    <row r="3683" spans="1:7" hidden="1" x14ac:dyDescent="0.25">
      <c r="A3683" t="s">
        <v>660</v>
      </c>
      <c r="B3683">
        <v>39800</v>
      </c>
      <c r="C3683" t="s">
        <v>4352</v>
      </c>
      <c r="D3683" t="s">
        <v>226</v>
      </c>
      <c r="E3683" t="s">
        <v>659</v>
      </c>
      <c r="F3683">
        <v>83.91</v>
      </c>
      <c r="G3683">
        <v>69.8</v>
      </c>
    </row>
    <row r="3684" spans="1:7" hidden="1" x14ac:dyDescent="0.25">
      <c r="A3684" t="s">
        <v>660</v>
      </c>
      <c r="B3684">
        <v>43837</v>
      </c>
      <c r="C3684" t="s">
        <v>4353</v>
      </c>
      <c r="D3684" t="s">
        <v>226</v>
      </c>
      <c r="E3684" t="s">
        <v>659</v>
      </c>
      <c r="F3684" s="538">
        <v>1363.71</v>
      </c>
      <c r="G3684" s="538">
        <v>1363.23</v>
      </c>
    </row>
    <row r="3685" spans="1:7" hidden="1" x14ac:dyDescent="0.25">
      <c r="A3685" t="s">
        <v>660</v>
      </c>
      <c r="B3685">
        <v>43836</v>
      </c>
      <c r="C3685" t="s">
        <v>4354</v>
      </c>
      <c r="D3685" t="s">
        <v>226</v>
      </c>
      <c r="E3685" t="s">
        <v>659</v>
      </c>
      <c r="F3685" s="538">
        <v>2774.91</v>
      </c>
      <c r="G3685" s="538">
        <v>2773.94</v>
      </c>
    </row>
    <row r="3686" spans="1:7" hidden="1" x14ac:dyDescent="0.25">
      <c r="A3686" t="s">
        <v>660</v>
      </c>
      <c r="B3686">
        <v>21059</v>
      </c>
      <c r="C3686" t="s">
        <v>4355</v>
      </c>
      <c r="D3686" t="s">
        <v>226</v>
      </c>
      <c r="E3686" t="s">
        <v>659</v>
      </c>
      <c r="F3686">
        <v>44.43</v>
      </c>
      <c r="G3686">
        <v>52.41</v>
      </c>
    </row>
    <row r="3687" spans="1:7" hidden="1" x14ac:dyDescent="0.25">
      <c r="A3687" t="s">
        <v>660</v>
      </c>
      <c r="B3687">
        <v>11234</v>
      </c>
      <c r="C3687" t="s">
        <v>4356</v>
      </c>
      <c r="D3687" t="s">
        <v>226</v>
      </c>
      <c r="E3687" t="s">
        <v>659</v>
      </c>
      <c r="F3687">
        <v>66.97</v>
      </c>
      <c r="G3687">
        <v>79</v>
      </c>
    </row>
    <row r="3688" spans="1:7" hidden="1" x14ac:dyDescent="0.25">
      <c r="A3688" t="s">
        <v>660</v>
      </c>
      <c r="B3688">
        <v>21060</v>
      </c>
      <c r="C3688" t="s">
        <v>4357</v>
      </c>
      <c r="D3688" t="s">
        <v>226</v>
      </c>
      <c r="E3688" t="s">
        <v>659</v>
      </c>
      <c r="F3688">
        <v>82.42</v>
      </c>
      <c r="G3688">
        <v>97.24</v>
      </c>
    </row>
    <row r="3689" spans="1:7" hidden="1" x14ac:dyDescent="0.25">
      <c r="A3689" t="s">
        <v>660</v>
      </c>
      <c r="B3689">
        <v>21061</v>
      </c>
      <c r="C3689" t="s">
        <v>4358</v>
      </c>
      <c r="D3689" t="s">
        <v>226</v>
      </c>
      <c r="E3689" t="s">
        <v>659</v>
      </c>
      <c r="F3689">
        <v>103.03</v>
      </c>
      <c r="G3689">
        <v>121.55</v>
      </c>
    </row>
    <row r="3690" spans="1:7" hidden="1" x14ac:dyDescent="0.25">
      <c r="A3690" t="s">
        <v>660</v>
      </c>
      <c r="B3690">
        <v>21062</v>
      </c>
      <c r="C3690" t="s">
        <v>4359</v>
      </c>
      <c r="D3690" t="s">
        <v>226</v>
      </c>
      <c r="E3690" t="s">
        <v>659</v>
      </c>
      <c r="F3690">
        <v>162.27000000000001</v>
      </c>
      <c r="G3690">
        <v>191.44</v>
      </c>
    </row>
    <row r="3691" spans="1:7" x14ac:dyDescent="0.25">
      <c r="A3691" t="s">
        <v>660</v>
      </c>
      <c r="B3691">
        <v>11708</v>
      </c>
      <c r="C3691" t="s">
        <v>4360</v>
      </c>
      <c r="D3691" t="s">
        <v>226</v>
      </c>
      <c r="E3691" t="s">
        <v>659</v>
      </c>
      <c r="F3691">
        <v>17.7</v>
      </c>
      <c r="G3691">
        <v>20.89</v>
      </c>
    </row>
    <row r="3692" spans="1:7" x14ac:dyDescent="0.25">
      <c r="A3692" t="s">
        <v>660</v>
      </c>
      <c r="B3692">
        <v>11709</v>
      </c>
      <c r="C3692" t="s">
        <v>4361</v>
      </c>
      <c r="D3692" t="s">
        <v>226</v>
      </c>
      <c r="E3692" t="s">
        <v>659</v>
      </c>
      <c r="F3692">
        <v>41.59</v>
      </c>
      <c r="G3692">
        <v>49.07</v>
      </c>
    </row>
    <row r="3693" spans="1:7" x14ac:dyDescent="0.25">
      <c r="A3693" t="s">
        <v>660</v>
      </c>
      <c r="B3693">
        <v>11710</v>
      </c>
      <c r="C3693" t="s">
        <v>4362</v>
      </c>
      <c r="D3693" t="s">
        <v>226</v>
      </c>
      <c r="E3693" t="s">
        <v>659</v>
      </c>
      <c r="F3693">
        <v>95.62</v>
      </c>
      <c r="G3693">
        <v>112.81</v>
      </c>
    </row>
    <row r="3694" spans="1:7" x14ac:dyDescent="0.25">
      <c r="A3694" t="s">
        <v>660</v>
      </c>
      <c r="B3694">
        <v>11707</v>
      </c>
      <c r="C3694" t="s">
        <v>4363</v>
      </c>
      <c r="D3694" t="s">
        <v>226</v>
      </c>
      <c r="E3694" t="s">
        <v>659</v>
      </c>
      <c r="F3694">
        <v>13.26</v>
      </c>
      <c r="G3694">
        <v>15.64</v>
      </c>
    </row>
    <row r="3695" spans="1:7" hidden="1" x14ac:dyDescent="0.25">
      <c r="A3695" t="s">
        <v>660</v>
      </c>
      <c r="B3695">
        <v>5102</v>
      </c>
      <c r="C3695" t="s">
        <v>4364</v>
      </c>
      <c r="D3695" t="s">
        <v>226</v>
      </c>
      <c r="E3695" t="s">
        <v>659</v>
      </c>
      <c r="F3695">
        <v>12.7</v>
      </c>
      <c r="G3695">
        <v>12.67</v>
      </c>
    </row>
    <row r="3696" spans="1:7" hidden="1" x14ac:dyDescent="0.25">
      <c r="A3696" t="s">
        <v>660</v>
      </c>
      <c r="B3696">
        <v>11711</v>
      </c>
      <c r="C3696" t="s">
        <v>4365</v>
      </c>
      <c r="D3696" t="s">
        <v>226</v>
      </c>
      <c r="E3696" t="s">
        <v>659</v>
      </c>
      <c r="F3696">
        <v>10.58</v>
      </c>
      <c r="G3696">
        <v>10.56</v>
      </c>
    </row>
    <row r="3697" spans="1:7" hidden="1" x14ac:dyDescent="0.25">
      <c r="A3697" t="s">
        <v>660</v>
      </c>
      <c r="B3697">
        <v>11739</v>
      </c>
      <c r="C3697" t="s">
        <v>4366</v>
      </c>
      <c r="D3697" t="s">
        <v>226</v>
      </c>
      <c r="E3697" t="s">
        <v>659</v>
      </c>
      <c r="F3697">
        <v>9.0500000000000007</v>
      </c>
      <c r="G3697">
        <v>9.0299999999999994</v>
      </c>
    </row>
    <row r="3698" spans="1:7" hidden="1" x14ac:dyDescent="0.25">
      <c r="A3698" t="s">
        <v>660</v>
      </c>
      <c r="B3698">
        <v>11741</v>
      </c>
      <c r="C3698" t="s">
        <v>4367</v>
      </c>
      <c r="D3698" t="s">
        <v>226</v>
      </c>
      <c r="E3698" t="s">
        <v>659</v>
      </c>
      <c r="F3698">
        <v>11.53</v>
      </c>
      <c r="G3698">
        <v>11.5</v>
      </c>
    </row>
    <row r="3699" spans="1:7" hidden="1" x14ac:dyDescent="0.25">
      <c r="A3699" t="s">
        <v>660</v>
      </c>
      <c r="B3699">
        <v>11745</v>
      </c>
      <c r="C3699" t="s">
        <v>4368</v>
      </c>
      <c r="D3699" t="s">
        <v>226</v>
      </c>
      <c r="E3699" t="s">
        <v>659</v>
      </c>
      <c r="F3699">
        <v>15.19</v>
      </c>
      <c r="G3699">
        <v>15.15</v>
      </c>
    </row>
    <row r="3700" spans="1:7" hidden="1" x14ac:dyDescent="0.25">
      <c r="A3700" t="s">
        <v>660</v>
      </c>
      <c r="B3700">
        <v>11743</v>
      </c>
      <c r="C3700" t="s">
        <v>4369</v>
      </c>
      <c r="D3700" t="s">
        <v>226</v>
      </c>
      <c r="E3700" t="s">
        <v>659</v>
      </c>
      <c r="F3700">
        <v>9.68</v>
      </c>
      <c r="G3700">
        <v>9.65</v>
      </c>
    </row>
    <row r="3701" spans="1:7" hidden="1" x14ac:dyDescent="0.25">
      <c r="A3701" t="s">
        <v>660</v>
      </c>
      <c r="B3701">
        <v>5104</v>
      </c>
      <c r="C3701" t="s">
        <v>4370</v>
      </c>
      <c r="D3701" t="s">
        <v>708</v>
      </c>
      <c r="E3701" t="s">
        <v>659</v>
      </c>
      <c r="F3701">
        <v>109.46</v>
      </c>
      <c r="G3701">
        <v>70.180000000000007</v>
      </c>
    </row>
    <row r="3702" spans="1:7" hidden="1" x14ac:dyDescent="0.25">
      <c r="A3702" t="s">
        <v>660</v>
      </c>
      <c r="B3702">
        <v>44530</v>
      </c>
      <c r="C3702" t="s">
        <v>4371</v>
      </c>
      <c r="D3702" t="s">
        <v>226</v>
      </c>
      <c r="E3702" t="s">
        <v>659</v>
      </c>
      <c r="F3702">
        <v>74.790000000000006</v>
      </c>
      <c r="G3702">
        <v>64.650000000000006</v>
      </c>
    </row>
    <row r="3703" spans="1:7" hidden="1" x14ac:dyDescent="0.25">
      <c r="A3703" t="s">
        <v>660</v>
      </c>
      <c r="B3703">
        <v>2710</v>
      </c>
      <c r="C3703" t="s">
        <v>4372</v>
      </c>
      <c r="D3703" t="s">
        <v>226</v>
      </c>
      <c r="E3703" t="s">
        <v>659</v>
      </c>
      <c r="F3703">
        <v>64.540000000000006</v>
      </c>
      <c r="G3703">
        <v>55.79</v>
      </c>
    </row>
    <row r="3704" spans="1:7" hidden="1" x14ac:dyDescent="0.25">
      <c r="A3704" t="s">
        <v>842</v>
      </c>
      <c r="B3704">
        <v>14575</v>
      </c>
      <c r="C3704" t="s">
        <v>4373</v>
      </c>
      <c r="D3704" t="s">
        <v>226</v>
      </c>
      <c r="E3704" t="s">
        <v>659</v>
      </c>
      <c r="F3704">
        <f>G3704</f>
        <v>4779640.1399999997</v>
      </c>
      <c r="G3704" s="538">
        <v>4779640.1399999997</v>
      </c>
    </row>
    <row r="3705" spans="1:7" hidden="1" x14ac:dyDescent="0.25">
      <c r="A3705" t="s">
        <v>660</v>
      </c>
      <c r="B3705">
        <v>20043</v>
      </c>
      <c r="C3705" t="s">
        <v>4374</v>
      </c>
      <c r="D3705" t="s">
        <v>226</v>
      </c>
      <c r="E3705" t="s">
        <v>659</v>
      </c>
      <c r="F3705">
        <v>9.42</v>
      </c>
      <c r="G3705">
        <v>9.74</v>
      </c>
    </row>
    <row r="3706" spans="1:7" hidden="1" x14ac:dyDescent="0.25">
      <c r="A3706" t="s">
        <v>660</v>
      </c>
      <c r="B3706">
        <v>20044</v>
      </c>
      <c r="C3706" t="s">
        <v>4375</v>
      </c>
      <c r="D3706" t="s">
        <v>226</v>
      </c>
      <c r="E3706" t="s">
        <v>659</v>
      </c>
      <c r="F3706">
        <v>10.92</v>
      </c>
      <c r="G3706">
        <v>11.29</v>
      </c>
    </row>
    <row r="3707" spans="1:7" hidden="1" x14ac:dyDescent="0.25">
      <c r="A3707" t="s">
        <v>660</v>
      </c>
      <c r="B3707">
        <v>20042</v>
      </c>
      <c r="C3707" t="s">
        <v>4376</v>
      </c>
      <c r="D3707" t="s">
        <v>226</v>
      </c>
      <c r="E3707" t="s">
        <v>659</v>
      </c>
      <c r="F3707">
        <v>8.17</v>
      </c>
      <c r="G3707">
        <v>8.4499999999999993</v>
      </c>
    </row>
    <row r="3708" spans="1:7" hidden="1" x14ac:dyDescent="0.25">
      <c r="A3708" t="s">
        <v>660</v>
      </c>
      <c r="B3708">
        <v>20046</v>
      </c>
      <c r="C3708" t="s">
        <v>4377</v>
      </c>
      <c r="D3708" t="s">
        <v>226</v>
      </c>
      <c r="E3708" t="s">
        <v>659</v>
      </c>
      <c r="F3708">
        <v>19.350000000000001</v>
      </c>
      <c r="G3708">
        <v>20</v>
      </c>
    </row>
    <row r="3709" spans="1:7" hidden="1" x14ac:dyDescent="0.25">
      <c r="A3709" t="s">
        <v>660</v>
      </c>
      <c r="B3709">
        <v>20047</v>
      </c>
      <c r="C3709" t="s">
        <v>4378</v>
      </c>
      <c r="D3709" t="s">
        <v>226</v>
      </c>
      <c r="E3709" t="s">
        <v>659</v>
      </c>
      <c r="F3709">
        <v>58.02</v>
      </c>
      <c r="G3709">
        <v>59.98</v>
      </c>
    </row>
    <row r="3710" spans="1:7" hidden="1" x14ac:dyDescent="0.25">
      <c r="A3710" t="s">
        <v>660</v>
      </c>
      <c r="B3710">
        <v>20045</v>
      </c>
      <c r="C3710" t="s">
        <v>4379</v>
      </c>
      <c r="D3710" t="s">
        <v>226</v>
      </c>
      <c r="E3710" t="s">
        <v>659</v>
      </c>
      <c r="F3710">
        <v>9.7899999999999991</v>
      </c>
      <c r="G3710">
        <v>10.119999999999999</v>
      </c>
    </row>
    <row r="3711" spans="1:7" hidden="1" x14ac:dyDescent="0.25">
      <c r="A3711" t="s">
        <v>660</v>
      </c>
      <c r="B3711">
        <v>20972</v>
      </c>
      <c r="C3711" t="s">
        <v>4380</v>
      </c>
      <c r="D3711" t="s">
        <v>226</v>
      </c>
      <c r="E3711" t="s">
        <v>659</v>
      </c>
      <c r="F3711">
        <v>110.71</v>
      </c>
      <c r="G3711">
        <v>235.71</v>
      </c>
    </row>
    <row r="3712" spans="1:7" hidden="1" x14ac:dyDescent="0.25">
      <c r="A3712" t="s">
        <v>660</v>
      </c>
      <c r="B3712">
        <v>11321</v>
      </c>
      <c r="C3712" t="s">
        <v>4381</v>
      </c>
      <c r="D3712" t="s">
        <v>226</v>
      </c>
      <c r="E3712" t="s">
        <v>659</v>
      </c>
      <c r="F3712">
        <v>35.119999999999997</v>
      </c>
      <c r="G3712">
        <v>36.19</v>
      </c>
    </row>
    <row r="3713" spans="1:7" hidden="1" x14ac:dyDescent="0.25">
      <c r="A3713" t="s">
        <v>660</v>
      </c>
      <c r="B3713">
        <v>11323</v>
      </c>
      <c r="C3713" t="s">
        <v>4382</v>
      </c>
      <c r="D3713" t="s">
        <v>226</v>
      </c>
      <c r="E3713" t="s">
        <v>659</v>
      </c>
      <c r="F3713">
        <v>40.39</v>
      </c>
      <c r="G3713">
        <v>41.63</v>
      </c>
    </row>
    <row r="3714" spans="1:7" hidden="1" x14ac:dyDescent="0.25">
      <c r="A3714" t="s">
        <v>660</v>
      </c>
      <c r="B3714">
        <v>20327</v>
      </c>
      <c r="C3714" t="s">
        <v>4383</v>
      </c>
      <c r="D3714" t="s">
        <v>226</v>
      </c>
      <c r="E3714" t="s">
        <v>659</v>
      </c>
      <c r="F3714">
        <v>22.92</v>
      </c>
      <c r="G3714">
        <v>23.62</v>
      </c>
    </row>
    <row r="3715" spans="1:7" hidden="1" x14ac:dyDescent="0.25">
      <c r="A3715" t="s">
        <v>660</v>
      </c>
      <c r="B3715">
        <v>6034</v>
      </c>
      <c r="C3715" t="s">
        <v>4384</v>
      </c>
      <c r="D3715" t="s">
        <v>226</v>
      </c>
      <c r="E3715" t="s">
        <v>659</v>
      </c>
      <c r="F3715">
        <v>7.81</v>
      </c>
      <c r="G3715">
        <v>13.81</v>
      </c>
    </row>
    <row r="3716" spans="1:7" hidden="1" x14ac:dyDescent="0.25">
      <c r="A3716" t="s">
        <v>660</v>
      </c>
      <c r="B3716">
        <v>6036</v>
      </c>
      <c r="C3716" t="s">
        <v>4385</v>
      </c>
      <c r="D3716" t="s">
        <v>226</v>
      </c>
      <c r="E3716" t="s">
        <v>659</v>
      </c>
      <c r="F3716">
        <v>10.63</v>
      </c>
      <c r="G3716">
        <v>18.809999999999999</v>
      </c>
    </row>
    <row r="3717" spans="1:7" hidden="1" x14ac:dyDescent="0.25">
      <c r="A3717" t="s">
        <v>660</v>
      </c>
      <c r="B3717">
        <v>6031</v>
      </c>
      <c r="C3717" t="s">
        <v>4386</v>
      </c>
      <c r="D3717" t="s">
        <v>226</v>
      </c>
      <c r="E3717" t="s">
        <v>172</v>
      </c>
      <c r="F3717">
        <v>12.5</v>
      </c>
      <c r="G3717">
        <v>22.11</v>
      </c>
    </row>
    <row r="3718" spans="1:7" hidden="1" x14ac:dyDescent="0.25">
      <c r="A3718" t="s">
        <v>660</v>
      </c>
      <c r="B3718">
        <v>6029</v>
      </c>
      <c r="C3718" t="s">
        <v>4387</v>
      </c>
      <c r="D3718" t="s">
        <v>226</v>
      </c>
      <c r="E3718" t="s">
        <v>659</v>
      </c>
      <c r="F3718">
        <v>12.63</v>
      </c>
      <c r="G3718">
        <v>22.34</v>
      </c>
    </row>
    <row r="3719" spans="1:7" hidden="1" x14ac:dyDescent="0.25">
      <c r="A3719" t="s">
        <v>660</v>
      </c>
      <c r="B3719">
        <v>6033</v>
      </c>
      <c r="C3719" t="s">
        <v>4388</v>
      </c>
      <c r="D3719" t="s">
        <v>226</v>
      </c>
      <c r="E3719" t="s">
        <v>659</v>
      </c>
      <c r="F3719">
        <v>16.649999999999999</v>
      </c>
      <c r="G3719">
        <v>29.45</v>
      </c>
    </row>
    <row r="3720" spans="1:7" hidden="1" x14ac:dyDescent="0.25">
      <c r="A3720" t="s">
        <v>660</v>
      </c>
      <c r="B3720">
        <v>11672</v>
      </c>
      <c r="C3720" t="s">
        <v>4389</v>
      </c>
      <c r="D3720" t="s">
        <v>226</v>
      </c>
      <c r="E3720" t="s">
        <v>659</v>
      </c>
      <c r="F3720">
        <v>36.22</v>
      </c>
      <c r="G3720">
        <v>64.06</v>
      </c>
    </row>
    <row r="3721" spans="1:7" hidden="1" x14ac:dyDescent="0.25">
      <c r="A3721" t="s">
        <v>660</v>
      </c>
      <c r="B3721">
        <v>11669</v>
      </c>
      <c r="C3721" t="s">
        <v>4390</v>
      </c>
      <c r="D3721" t="s">
        <v>226</v>
      </c>
      <c r="E3721" t="s">
        <v>659</v>
      </c>
      <c r="F3721">
        <v>34.49</v>
      </c>
      <c r="G3721">
        <v>61.01</v>
      </c>
    </row>
    <row r="3722" spans="1:7" hidden="1" x14ac:dyDescent="0.25">
      <c r="A3722" t="s">
        <v>660</v>
      </c>
      <c r="B3722">
        <v>20055</v>
      </c>
      <c r="C3722" t="s">
        <v>4391</v>
      </c>
      <c r="D3722" t="s">
        <v>226</v>
      </c>
      <c r="E3722" t="s">
        <v>659</v>
      </c>
      <c r="F3722">
        <v>25.83</v>
      </c>
      <c r="G3722">
        <v>45.69</v>
      </c>
    </row>
    <row r="3723" spans="1:7" hidden="1" x14ac:dyDescent="0.25">
      <c r="A3723" t="s">
        <v>660</v>
      </c>
      <c r="B3723">
        <v>11670</v>
      </c>
      <c r="C3723" t="s">
        <v>4392</v>
      </c>
      <c r="D3723" t="s">
        <v>226</v>
      </c>
      <c r="E3723" t="s">
        <v>659</v>
      </c>
      <c r="F3723">
        <v>13.21</v>
      </c>
      <c r="G3723">
        <v>23.37</v>
      </c>
    </row>
    <row r="3724" spans="1:7" hidden="1" x14ac:dyDescent="0.25">
      <c r="A3724" t="s">
        <v>660</v>
      </c>
      <c r="B3724">
        <v>11671</v>
      </c>
      <c r="C3724" t="s">
        <v>4393</v>
      </c>
      <c r="D3724" t="s">
        <v>226</v>
      </c>
      <c r="E3724" t="s">
        <v>659</v>
      </c>
      <c r="F3724">
        <v>55.43</v>
      </c>
      <c r="G3724">
        <v>98.04</v>
      </c>
    </row>
    <row r="3725" spans="1:7" hidden="1" x14ac:dyDescent="0.25">
      <c r="A3725" t="s">
        <v>660</v>
      </c>
      <c r="B3725">
        <v>6032</v>
      </c>
      <c r="C3725" t="s">
        <v>4394</v>
      </c>
      <c r="D3725" t="s">
        <v>226</v>
      </c>
      <c r="E3725" t="s">
        <v>659</v>
      </c>
      <c r="F3725">
        <v>15.83</v>
      </c>
      <c r="G3725">
        <v>28</v>
      </c>
    </row>
    <row r="3726" spans="1:7" hidden="1" x14ac:dyDescent="0.25">
      <c r="A3726" t="s">
        <v>660</v>
      </c>
      <c r="B3726">
        <v>11673</v>
      </c>
      <c r="C3726" t="s">
        <v>4395</v>
      </c>
      <c r="D3726" t="s">
        <v>226</v>
      </c>
      <c r="E3726" t="s">
        <v>659</v>
      </c>
      <c r="F3726">
        <v>12.47</v>
      </c>
      <c r="G3726">
        <v>22.05</v>
      </c>
    </row>
    <row r="3727" spans="1:7" hidden="1" x14ac:dyDescent="0.25">
      <c r="A3727" t="s">
        <v>660</v>
      </c>
      <c r="B3727">
        <v>11674</v>
      </c>
      <c r="C3727" t="s">
        <v>4396</v>
      </c>
      <c r="D3727" t="s">
        <v>226</v>
      </c>
      <c r="E3727" t="s">
        <v>659</v>
      </c>
      <c r="F3727">
        <v>16.05</v>
      </c>
      <c r="G3727">
        <v>28.4</v>
      </c>
    </row>
    <row r="3728" spans="1:7" hidden="1" x14ac:dyDescent="0.25">
      <c r="A3728" t="s">
        <v>660</v>
      </c>
      <c r="B3728">
        <v>11675</v>
      </c>
      <c r="C3728" t="s">
        <v>4397</v>
      </c>
      <c r="D3728" t="s">
        <v>226</v>
      </c>
      <c r="E3728" t="s">
        <v>659</v>
      </c>
      <c r="F3728">
        <v>25.49</v>
      </c>
      <c r="G3728">
        <v>45.08</v>
      </c>
    </row>
    <row r="3729" spans="1:7" hidden="1" x14ac:dyDescent="0.25">
      <c r="A3729" t="s">
        <v>660</v>
      </c>
      <c r="B3729">
        <v>11676</v>
      </c>
      <c r="C3729" t="s">
        <v>4398</v>
      </c>
      <c r="D3729" t="s">
        <v>226</v>
      </c>
      <c r="E3729" t="s">
        <v>659</v>
      </c>
      <c r="F3729">
        <v>34.090000000000003</v>
      </c>
      <c r="G3729">
        <v>60.3</v>
      </c>
    </row>
    <row r="3730" spans="1:7" hidden="1" x14ac:dyDescent="0.25">
      <c r="A3730" t="s">
        <v>660</v>
      </c>
      <c r="B3730">
        <v>11677</v>
      </c>
      <c r="C3730" t="s">
        <v>4399</v>
      </c>
      <c r="D3730" t="s">
        <v>226</v>
      </c>
      <c r="E3730" t="s">
        <v>659</v>
      </c>
      <c r="F3730">
        <v>35.200000000000003</v>
      </c>
      <c r="G3730">
        <v>62.27</v>
      </c>
    </row>
    <row r="3731" spans="1:7" hidden="1" x14ac:dyDescent="0.25">
      <c r="A3731" t="s">
        <v>660</v>
      </c>
      <c r="B3731">
        <v>11678</v>
      </c>
      <c r="C3731" t="s">
        <v>4400</v>
      </c>
      <c r="D3731" t="s">
        <v>226</v>
      </c>
      <c r="E3731" t="s">
        <v>659</v>
      </c>
      <c r="F3731">
        <v>64.47</v>
      </c>
      <c r="G3731">
        <v>114.05</v>
      </c>
    </row>
    <row r="3732" spans="1:7" hidden="1" x14ac:dyDescent="0.25">
      <c r="A3732" t="s">
        <v>660</v>
      </c>
      <c r="B3732">
        <v>6038</v>
      </c>
      <c r="C3732" t="s">
        <v>4401</v>
      </c>
      <c r="D3732" t="s">
        <v>226</v>
      </c>
      <c r="E3732" t="s">
        <v>659</v>
      </c>
      <c r="F3732">
        <v>4.09</v>
      </c>
      <c r="G3732">
        <v>7.23</v>
      </c>
    </row>
    <row r="3733" spans="1:7" hidden="1" x14ac:dyDescent="0.25">
      <c r="A3733" t="s">
        <v>660</v>
      </c>
      <c r="B3733">
        <v>11718</v>
      </c>
      <c r="C3733" t="s">
        <v>4402</v>
      </c>
      <c r="D3733" t="s">
        <v>226</v>
      </c>
      <c r="E3733" t="s">
        <v>659</v>
      </c>
      <c r="F3733">
        <v>11.66</v>
      </c>
      <c r="G3733">
        <v>20.63</v>
      </c>
    </row>
    <row r="3734" spans="1:7" hidden="1" x14ac:dyDescent="0.25">
      <c r="A3734" t="s">
        <v>660</v>
      </c>
      <c r="B3734">
        <v>6037</v>
      </c>
      <c r="C3734" t="s">
        <v>4403</v>
      </c>
      <c r="D3734" t="s">
        <v>226</v>
      </c>
      <c r="E3734" t="s">
        <v>659</v>
      </c>
      <c r="F3734">
        <v>8.51</v>
      </c>
      <c r="G3734">
        <v>15.05</v>
      </c>
    </row>
    <row r="3735" spans="1:7" hidden="1" x14ac:dyDescent="0.25">
      <c r="A3735" t="s">
        <v>660</v>
      </c>
      <c r="B3735">
        <v>11719</v>
      </c>
      <c r="C3735" t="s">
        <v>4404</v>
      </c>
      <c r="D3735" t="s">
        <v>226</v>
      </c>
      <c r="E3735" t="s">
        <v>659</v>
      </c>
      <c r="F3735">
        <v>9.4600000000000009</v>
      </c>
      <c r="G3735">
        <v>16.739999999999998</v>
      </c>
    </row>
    <row r="3736" spans="1:7" hidden="1" x14ac:dyDescent="0.25">
      <c r="A3736" t="s">
        <v>660</v>
      </c>
      <c r="B3736">
        <v>6010</v>
      </c>
      <c r="C3736" t="s">
        <v>4405</v>
      </c>
      <c r="D3736" t="s">
        <v>226</v>
      </c>
      <c r="E3736" t="s">
        <v>659</v>
      </c>
      <c r="F3736">
        <v>153.07</v>
      </c>
      <c r="G3736">
        <v>67.13</v>
      </c>
    </row>
    <row r="3737" spans="1:7" hidden="1" x14ac:dyDescent="0.25">
      <c r="A3737" t="s">
        <v>660</v>
      </c>
      <c r="B3737">
        <v>6017</v>
      </c>
      <c r="C3737" t="s">
        <v>4406</v>
      </c>
      <c r="D3737" t="s">
        <v>226</v>
      </c>
      <c r="E3737" t="s">
        <v>659</v>
      </c>
      <c r="F3737">
        <v>121.25</v>
      </c>
      <c r="G3737">
        <v>53.17</v>
      </c>
    </row>
    <row r="3738" spans="1:7" hidden="1" x14ac:dyDescent="0.25">
      <c r="A3738" t="s">
        <v>660</v>
      </c>
      <c r="B3738">
        <v>6019</v>
      </c>
      <c r="C3738" t="s">
        <v>4407</v>
      </c>
      <c r="D3738" t="s">
        <v>226</v>
      </c>
      <c r="E3738" t="s">
        <v>659</v>
      </c>
      <c r="F3738">
        <v>88.96</v>
      </c>
      <c r="G3738">
        <v>39.01</v>
      </c>
    </row>
    <row r="3739" spans="1:7" hidden="1" x14ac:dyDescent="0.25">
      <c r="A3739" t="s">
        <v>660</v>
      </c>
      <c r="B3739">
        <v>6020</v>
      </c>
      <c r="C3739" t="s">
        <v>4408</v>
      </c>
      <c r="D3739" t="s">
        <v>226</v>
      </c>
      <c r="E3739" t="s">
        <v>659</v>
      </c>
      <c r="F3739">
        <v>53.43</v>
      </c>
      <c r="G3739">
        <v>23.43</v>
      </c>
    </row>
    <row r="3740" spans="1:7" hidden="1" x14ac:dyDescent="0.25">
      <c r="A3740" t="s">
        <v>660</v>
      </c>
      <c r="B3740">
        <v>6011</v>
      </c>
      <c r="C3740" t="s">
        <v>4409</v>
      </c>
      <c r="D3740" t="s">
        <v>226</v>
      </c>
      <c r="E3740" t="s">
        <v>659</v>
      </c>
      <c r="F3740">
        <v>442.18</v>
      </c>
      <c r="G3740">
        <v>193.91</v>
      </c>
    </row>
    <row r="3741" spans="1:7" hidden="1" x14ac:dyDescent="0.25">
      <c r="A3741" t="s">
        <v>660</v>
      </c>
      <c r="B3741">
        <v>6028</v>
      </c>
      <c r="C3741" t="s">
        <v>4410</v>
      </c>
      <c r="D3741" t="s">
        <v>226</v>
      </c>
      <c r="E3741" t="s">
        <v>659</v>
      </c>
      <c r="F3741">
        <v>213.21</v>
      </c>
      <c r="G3741">
        <v>93.5</v>
      </c>
    </row>
    <row r="3742" spans="1:7" hidden="1" x14ac:dyDescent="0.25">
      <c r="A3742" t="s">
        <v>660</v>
      </c>
      <c r="B3742">
        <v>6012</v>
      </c>
      <c r="C3742" t="s">
        <v>4411</v>
      </c>
      <c r="D3742" t="s">
        <v>226</v>
      </c>
      <c r="E3742" t="s">
        <v>659</v>
      </c>
      <c r="F3742">
        <v>535.34</v>
      </c>
      <c r="G3742">
        <v>234.77</v>
      </c>
    </row>
    <row r="3743" spans="1:7" hidden="1" x14ac:dyDescent="0.25">
      <c r="A3743" t="s">
        <v>660</v>
      </c>
      <c r="B3743">
        <v>6016</v>
      </c>
      <c r="C3743" t="s">
        <v>4412</v>
      </c>
      <c r="D3743" t="s">
        <v>226</v>
      </c>
      <c r="E3743" t="s">
        <v>659</v>
      </c>
      <c r="F3743">
        <v>56.36</v>
      </c>
      <c r="G3743">
        <v>24.71</v>
      </c>
    </row>
    <row r="3744" spans="1:7" hidden="1" x14ac:dyDescent="0.25">
      <c r="A3744" t="s">
        <v>660</v>
      </c>
      <c r="B3744">
        <v>6027</v>
      </c>
      <c r="C3744" t="s">
        <v>4413</v>
      </c>
      <c r="D3744" t="s">
        <v>226</v>
      </c>
      <c r="E3744" t="s">
        <v>659</v>
      </c>
      <c r="F3744" s="538">
        <v>1115.45</v>
      </c>
      <c r="G3744">
        <v>489.17</v>
      </c>
    </row>
    <row r="3745" spans="1:7" hidden="1" x14ac:dyDescent="0.25">
      <c r="A3745" t="s">
        <v>660</v>
      </c>
      <c r="B3745">
        <v>6015</v>
      </c>
      <c r="C3745" t="s">
        <v>4414</v>
      </c>
      <c r="D3745" t="s">
        <v>226</v>
      </c>
      <c r="E3745" t="s">
        <v>659</v>
      </c>
      <c r="F3745">
        <v>244.77</v>
      </c>
      <c r="G3745">
        <v>107.34</v>
      </c>
    </row>
    <row r="3746" spans="1:7" hidden="1" x14ac:dyDescent="0.25">
      <c r="A3746" t="s">
        <v>660</v>
      </c>
      <c r="B3746">
        <v>6014</v>
      </c>
      <c r="C3746" t="s">
        <v>4415</v>
      </c>
      <c r="D3746" t="s">
        <v>226</v>
      </c>
      <c r="E3746" t="s">
        <v>659</v>
      </c>
      <c r="F3746">
        <v>234.02</v>
      </c>
      <c r="G3746">
        <v>102.63</v>
      </c>
    </row>
    <row r="3747" spans="1:7" hidden="1" x14ac:dyDescent="0.25">
      <c r="A3747" t="s">
        <v>660</v>
      </c>
      <c r="B3747">
        <v>6013</v>
      </c>
      <c r="C3747" t="s">
        <v>4416</v>
      </c>
      <c r="D3747" t="s">
        <v>226</v>
      </c>
      <c r="E3747" t="s">
        <v>659</v>
      </c>
      <c r="F3747">
        <v>168.32</v>
      </c>
      <c r="G3747">
        <v>73.81</v>
      </c>
    </row>
    <row r="3748" spans="1:7" hidden="1" x14ac:dyDescent="0.25">
      <c r="A3748" t="s">
        <v>660</v>
      </c>
      <c r="B3748">
        <v>6006</v>
      </c>
      <c r="C3748" t="s">
        <v>4417</v>
      </c>
      <c r="D3748" t="s">
        <v>226</v>
      </c>
      <c r="E3748" t="s">
        <v>659</v>
      </c>
      <c r="F3748">
        <v>121.89</v>
      </c>
      <c r="G3748">
        <v>53.45</v>
      </c>
    </row>
    <row r="3749" spans="1:7" hidden="1" x14ac:dyDescent="0.25">
      <c r="A3749" t="s">
        <v>660</v>
      </c>
      <c r="B3749">
        <v>6005</v>
      </c>
      <c r="C3749" t="s">
        <v>4418</v>
      </c>
      <c r="D3749" t="s">
        <v>226</v>
      </c>
      <c r="E3749" t="s">
        <v>172</v>
      </c>
      <c r="F3749">
        <v>137.5</v>
      </c>
      <c r="G3749">
        <v>60.3</v>
      </c>
    </row>
    <row r="3750" spans="1:7" hidden="1" x14ac:dyDescent="0.25">
      <c r="A3750" t="s">
        <v>660</v>
      </c>
      <c r="B3750">
        <v>11756</v>
      </c>
      <c r="C3750" t="s">
        <v>4419</v>
      </c>
      <c r="D3750" t="s">
        <v>226</v>
      </c>
      <c r="E3750" t="s">
        <v>659</v>
      </c>
      <c r="F3750">
        <v>65.67</v>
      </c>
      <c r="G3750">
        <v>28.8</v>
      </c>
    </row>
    <row r="3751" spans="1:7" hidden="1" x14ac:dyDescent="0.25">
      <c r="A3751" t="s">
        <v>660</v>
      </c>
      <c r="B3751">
        <v>10904</v>
      </c>
      <c r="C3751" t="s">
        <v>4420</v>
      </c>
      <c r="D3751" t="s">
        <v>226</v>
      </c>
      <c r="E3751" t="s">
        <v>172</v>
      </c>
      <c r="F3751">
        <v>155</v>
      </c>
      <c r="G3751">
        <v>330</v>
      </c>
    </row>
    <row r="3752" spans="1:7" hidden="1" x14ac:dyDescent="0.25">
      <c r="A3752" t="s">
        <v>660</v>
      </c>
      <c r="B3752">
        <v>11752</v>
      </c>
      <c r="C3752" t="s">
        <v>4421</v>
      </c>
      <c r="D3752" t="s">
        <v>226</v>
      </c>
      <c r="E3752" t="s">
        <v>659</v>
      </c>
      <c r="F3752">
        <v>37.869999999999997</v>
      </c>
      <c r="G3752">
        <v>16.600000000000001</v>
      </c>
    </row>
    <row r="3753" spans="1:7" hidden="1" x14ac:dyDescent="0.25">
      <c r="A3753" t="s">
        <v>660</v>
      </c>
      <c r="B3753">
        <v>11753</v>
      </c>
      <c r="C3753" t="s">
        <v>4422</v>
      </c>
      <c r="D3753" t="s">
        <v>226</v>
      </c>
      <c r="E3753" t="s">
        <v>659</v>
      </c>
      <c r="F3753">
        <v>45.21</v>
      </c>
      <c r="G3753">
        <v>19.82</v>
      </c>
    </row>
    <row r="3754" spans="1:7" hidden="1" x14ac:dyDescent="0.25">
      <c r="A3754" t="s">
        <v>660</v>
      </c>
      <c r="B3754">
        <v>6021</v>
      </c>
      <c r="C3754" t="s">
        <v>4423</v>
      </c>
      <c r="D3754" t="s">
        <v>226</v>
      </c>
      <c r="E3754" t="s">
        <v>659</v>
      </c>
      <c r="F3754">
        <v>125.46</v>
      </c>
      <c r="G3754">
        <v>55.02</v>
      </c>
    </row>
    <row r="3755" spans="1:7" hidden="1" x14ac:dyDescent="0.25">
      <c r="A3755" t="s">
        <v>660</v>
      </c>
      <c r="B3755">
        <v>6024</v>
      </c>
      <c r="C3755" t="s">
        <v>4424</v>
      </c>
      <c r="D3755" t="s">
        <v>226</v>
      </c>
      <c r="E3755" t="s">
        <v>659</v>
      </c>
      <c r="F3755">
        <v>129.69</v>
      </c>
      <c r="G3755">
        <v>56.87</v>
      </c>
    </row>
    <row r="3756" spans="1:7" hidden="1" x14ac:dyDescent="0.25">
      <c r="A3756" t="s">
        <v>660</v>
      </c>
      <c r="B3756">
        <v>45394</v>
      </c>
      <c r="C3756" t="s">
        <v>4425</v>
      </c>
      <c r="D3756" t="s">
        <v>226</v>
      </c>
      <c r="E3756" t="s">
        <v>659</v>
      </c>
      <c r="F3756">
        <v>43.88</v>
      </c>
      <c r="G3756">
        <v>37.93</v>
      </c>
    </row>
    <row r="3757" spans="1:7" hidden="1" x14ac:dyDescent="0.25">
      <c r="A3757" t="s">
        <v>842</v>
      </c>
      <c r="B3757">
        <v>13897</v>
      </c>
      <c r="C3757" t="s">
        <v>4426</v>
      </c>
      <c r="D3757" t="s">
        <v>226</v>
      </c>
      <c r="E3757" t="s">
        <v>659</v>
      </c>
      <c r="F3757">
        <f>G3757</f>
        <v>8731.56</v>
      </c>
      <c r="G3757" s="538">
        <v>8731.56</v>
      </c>
    </row>
    <row r="3758" spans="1:7" hidden="1" x14ac:dyDescent="0.25">
      <c r="A3758" t="s">
        <v>842</v>
      </c>
      <c r="B3758">
        <v>10640</v>
      </c>
      <c r="C3758" t="s">
        <v>4427</v>
      </c>
      <c r="D3758" t="s">
        <v>226</v>
      </c>
      <c r="E3758" t="s">
        <v>659</v>
      </c>
      <c r="F3758">
        <f>G3758</f>
        <v>18910.740000000002</v>
      </c>
      <c r="G3758" s="538">
        <v>18910.740000000002</v>
      </c>
    </row>
    <row r="3759" spans="1:7" hidden="1" x14ac:dyDescent="0.25">
      <c r="A3759" t="s">
        <v>660</v>
      </c>
      <c r="B3759">
        <v>34357</v>
      </c>
      <c r="C3759" t="s">
        <v>4428</v>
      </c>
      <c r="D3759" t="s">
        <v>708</v>
      </c>
      <c r="E3759" t="s">
        <v>659</v>
      </c>
      <c r="F3759">
        <v>3.99</v>
      </c>
      <c r="G3759">
        <v>4.6900000000000004</v>
      </c>
    </row>
    <row r="3760" spans="1:7" hidden="1" x14ac:dyDescent="0.25">
      <c r="A3760" t="s">
        <v>660</v>
      </c>
      <c r="B3760">
        <v>37329</v>
      </c>
      <c r="C3760" t="s">
        <v>4429</v>
      </c>
      <c r="D3760" t="s">
        <v>708</v>
      </c>
      <c r="E3760" t="s">
        <v>659</v>
      </c>
      <c r="F3760">
        <v>84.09</v>
      </c>
      <c r="G3760">
        <v>98.93</v>
      </c>
    </row>
    <row r="3761" spans="1:7" hidden="1" x14ac:dyDescent="0.25">
      <c r="A3761" t="s">
        <v>660</v>
      </c>
      <c r="B3761">
        <v>2510</v>
      </c>
      <c r="C3761" t="s">
        <v>4430</v>
      </c>
      <c r="D3761" t="s">
        <v>226</v>
      </c>
      <c r="E3761" t="s">
        <v>659</v>
      </c>
      <c r="F3761">
        <f>G3761</f>
        <v>35.46</v>
      </c>
      <c r="G3761">
        <v>35.46</v>
      </c>
    </row>
    <row r="3762" spans="1:7" hidden="1" x14ac:dyDescent="0.25">
      <c r="A3762" t="s">
        <v>660</v>
      </c>
      <c r="B3762">
        <v>12359</v>
      </c>
      <c r="C3762" t="s">
        <v>4431</v>
      </c>
      <c r="D3762" t="s">
        <v>226</v>
      </c>
      <c r="E3762" t="s">
        <v>659</v>
      </c>
      <c r="F3762">
        <v>192.38</v>
      </c>
      <c r="G3762">
        <v>154.46</v>
      </c>
    </row>
    <row r="3763" spans="1:7" hidden="1" x14ac:dyDescent="0.25">
      <c r="A3763" t="s">
        <v>660</v>
      </c>
      <c r="B3763">
        <v>7353</v>
      </c>
      <c r="C3763" t="s">
        <v>4432</v>
      </c>
      <c r="D3763" t="s">
        <v>710</v>
      </c>
      <c r="E3763" t="s">
        <v>659</v>
      </c>
      <c r="F3763">
        <v>32.880000000000003</v>
      </c>
      <c r="G3763">
        <v>35.76</v>
      </c>
    </row>
    <row r="3764" spans="1:7" hidden="1" x14ac:dyDescent="0.25">
      <c r="A3764" t="s">
        <v>660</v>
      </c>
      <c r="B3764">
        <v>45264</v>
      </c>
      <c r="C3764" t="s">
        <v>4433</v>
      </c>
      <c r="D3764" t="s">
        <v>226</v>
      </c>
      <c r="E3764" t="s">
        <v>659</v>
      </c>
      <c r="F3764">
        <v>26.03</v>
      </c>
      <c r="G3764">
        <v>29.15</v>
      </c>
    </row>
    <row r="3765" spans="1:7" hidden="1" x14ac:dyDescent="0.25">
      <c r="A3765" t="s">
        <v>660</v>
      </c>
      <c r="B3765">
        <v>36144</v>
      </c>
      <c r="C3765" t="s">
        <v>4434</v>
      </c>
      <c r="D3765" t="s">
        <v>226</v>
      </c>
      <c r="E3765" t="s">
        <v>659</v>
      </c>
      <c r="F3765">
        <v>1.62</v>
      </c>
      <c r="G3765">
        <v>1.81</v>
      </c>
    </row>
    <row r="3766" spans="1:7" hidden="1" x14ac:dyDescent="0.25">
      <c r="A3766" t="s">
        <v>660</v>
      </c>
      <c r="B3766">
        <v>10518</v>
      </c>
      <c r="C3766" t="s">
        <v>4435</v>
      </c>
      <c r="D3766" t="s">
        <v>226</v>
      </c>
      <c r="E3766" t="s">
        <v>659</v>
      </c>
      <c r="F3766">
        <f>G3766</f>
        <v>116.96</v>
      </c>
      <c r="G3766">
        <v>116.96</v>
      </c>
    </row>
    <row r="3767" spans="1:7" hidden="1" x14ac:dyDescent="0.25">
      <c r="A3767" t="s">
        <v>842</v>
      </c>
      <c r="B3767">
        <v>36530</v>
      </c>
      <c r="C3767" t="s">
        <v>4436</v>
      </c>
      <c r="D3767" t="s">
        <v>226</v>
      </c>
      <c r="E3767" t="s">
        <v>659</v>
      </c>
      <c r="F3767" s="538">
        <v>425019.5</v>
      </c>
      <c r="G3767" s="538">
        <v>414878.04</v>
      </c>
    </row>
    <row r="3768" spans="1:7" hidden="1" x14ac:dyDescent="0.25">
      <c r="A3768" t="s">
        <v>842</v>
      </c>
      <c r="B3768">
        <v>6046</v>
      </c>
      <c r="C3768" t="s">
        <v>4437</v>
      </c>
      <c r="D3768" t="s">
        <v>226</v>
      </c>
      <c r="E3768" t="s">
        <v>172</v>
      </c>
      <c r="F3768" s="538">
        <v>461000</v>
      </c>
      <c r="G3768" s="538">
        <v>450000</v>
      </c>
    </row>
    <row r="3769" spans="1:7" hidden="1" x14ac:dyDescent="0.25">
      <c r="A3769" t="s">
        <v>842</v>
      </c>
      <c r="B3769">
        <v>36531</v>
      </c>
      <c r="C3769" t="s">
        <v>4438</v>
      </c>
      <c r="D3769" t="s">
        <v>226</v>
      </c>
      <c r="E3769" t="s">
        <v>659</v>
      </c>
      <c r="F3769" s="538">
        <v>477865.82</v>
      </c>
      <c r="G3769" s="538">
        <v>466463.38</v>
      </c>
    </row>
    <row r="3770" spans="1:7" hidden="1" x14ac:dyDescent="0.25">
      <c r="A3770" t="s">
        <v>448</v>
      </c>
      <c r="B3770">
        <v>34684</v>
      </c>
      <c r="C3770" t="s">
        <v>4439</v>
      </c>
      <c r="D3770" t="s">
        <v>498</v>
      </c>
      <c r="E3770" t="s">
        <v>659</v>
      </c>
      <c r="F3770">
        <v>354.54</v>
      </c>
      <c r="G3770">
        <v>280.27</v>
      </c>
    </row>
    <row r="3771" spans="1:7" hidden="1" x14ac:dyDescent="0.25">
      <c r="A3771" t="s">
        <v>448</v>
      </c>
      <c r="B3771">
        <v>34683</v>
      </c>
      <c r="C3771" t="s">
        <v>4440</v>
      </c>
      <c r="D3771" t="s">
        <v>498</v>
      </c>
      <c r="E3771" t="s">
        <v>659</v>
      </c>
      <c r="F3771">
        <v>221.59</v>
      </c>
      <c r="G3771">
        <v>175.17</v>
      </c>
    </row>
    <row r="3772" spans="1:7" hidden="1" x14ac:dyDescent="0.25">
      <c r="A3772" t="s">
        <v>660</v>
      </c>
      <c r="B3772">
        <v>44954</v>
      </c>
      <c r="C3772" t="s">
        <v>4441</v>
      </c>
      <c r="D3772" t="s">
        <v>498</v>
      </c>
      <c r="E3772" t="s">
        <v>659</v>
      </c>
      <c r="F3772">
        <v>111.84</v>
      </c>
      <c r="G3772">
        <v>86.93</v>
      </c>
    </row>
    <row r="3773" spans="1:7" hidden="1" x14ac:dyDescent="0.25">
      <c r="A3773" t="s">
        <v>660</v>
      </c>
      <c r="B3773">
        <v>44955</v>
      </c>
      <c r="C3773" t="s">
        <v>4442</v>
      </c>
      <c r="D3773" t="s">
        <v>498</v>
      </c>
      <c r="E3773" t="s">
        <v>659</v>
      </c>
      <c r="F3773">
        <v>163.43</v>
      </c>
      <c r="G3773">
        <v>127.04</v>
      </c>
    </row>
    <row r="3774" spans="1:7" hidden="1" x14ac:dyDescent="0.25">
      <c r="A3774" t="s">
        <v>660</v>
      </c>
      <c r="B3774">
        <v>10515</v>
      </c>
      <c r="C3774" t="s">
        <v>4443</v>
      </c>
      <c r="D3774" t="s">
        <v>498</v>
      </c>
      <c r="E3774" t="s">
        <v>659</v>
      </c>
      <c r="F3774">
        <v>55.52</v>
      </c>
      <c r="G3774">
        <v>43.15</v>
      </c>
    </row>
    <row r="3775" spans="1:7" hidden="1" x14ac:dyDescent="0.25">
      <c r="A3775" t="s">
        <v>660</v>
      </c>
      <c r="B3775">
        <v>153</v>
      </c>
      <c r="C3775" t="s">
        <v>4444</v>
      </c>
      <c r="D3775" t="s">
        <v>710</v>
      </c>
      <c r="E3775" t="s">
        <v>659</v>
      </c>
      <c r="F3775">
        <v>86.86</v>
      </c>
      <c r="G3775">
        <v>98.87</v>
      </c>
    </row>
    <row r="3776" spans="1:7" hidden="1" x14ac:dyDescent="0.25">
      <c r="A3776" t="s">
        <v>448</v>
      </c>
      <c r="B3776">
        <v>34682</v>
      </c>
      <c r="C3776" t="s">
        <v>4445</v>
      </c>
      <c r="D3776" t="s">
        <v>498</v>
      </c>
      <c r="E3776" t="s">
        <v>659</v>
      </c>
      <c r="F3776">
        <v>169.45</v>
      </c>
      <c r="G3776">
        <v>133.94999999999999</v>
      </c>
    </row>
    <row r="3777" spans="1:7" hidden="1" x14ac:dyDescent="0.25">
      <c r="A3777" t="s">
        <v>660</v>
      </c>
      <c r="B3777">
        <v>536</v>
      </c>
      <c r="C3777" t="s">
        <v>4446</v>
      </c>
      <c r="D3777" t="s">
        <v>498</v>
      </c>
      <c r="E3777" t="s">
        <v>659</v>
      </c>
      <c r="F3777">
        <v>31.27</v>
      </c>
      <c r="G3777">
        <v>24.31</v>
      </c>
    </row>
    <row r="3778" spans="1:7" hidden="1" x14ac:dyDescent="0.25">
      <c r="A3778" t="s">
        <v>660</v>
      </c>
      <c r="B3778">
        <v>20205</v>
      </c>
      <c r="C3778" t="s">
        <v>4447</v>
      </c>
      <c r="D3778" t="s">
        <v>704</v>
      </c>
      <c r="E3778" t="s">
        <v>659</v>
      </c>
      <c r="F3778">
        <v>4.58</v>
      </c>
      <c r="G3778">
        <v>4.1399999999999997</v>
      </c>
    </row>
    <row r="3779" spans="1:7" hidden="1" x14ac:dyDescent="0.25">
      <c r="A3779" t="s">
        <v>660</v>
      </c>
      <c r="B3779">
        <v>4412</v>
      </c>
      <c r="C3779" t="s">
        <v>4448</v>
      </c>
      <c r="D3779" t="s">
        <v>704</v>
      </c>
      <c r="E3779" t="s">
        <v>659</v>
      </c>
      <c r="F3779">
        <v>2.75</v>
      </c>
      <c r="G3779">
        <v>2.48</v>
      </c>
    </row>
    <row r="3780" spans="1:7" hidden="1" x14ac:dyDescent="0.25">
      <c r="A3780" t="s">
        <v>660</v>
      </c>
      <c r="B3780">
        <v>4408</v>
      </c>
      <c r="C3780" t="s">
        <v>4449</v>
      </c>
      <c r="D3780" t="s">
        <v>704</v>
      </c>
      <c r="E3780" t="s">
        <v>659</v>
      </c>
      <c r="F3780">
        <v>3.43</v>
      </c>
      <c r="G3780">
        <v>3.1</v>
      </c>
    </row>
    <row r="3781" spans="1:7" hidden="1" x14ac:dyDescent="0.25">
      <c r="A3781" t="s">
        <v>660</v>
      </c>
      <c r="B3781">
        <v>45213</v>
      </c>
      <c r="C3781" t="s">
        <v>4450</v>
      </c>
      <c r="D3781" t="s">
        <v>226</v>
      </c>
      <c r="E3781" t="s">
        <v>659</v>
      </c>
      <c r="F3781">
        <v>40.39</v>
      </c>
      <c r="G3781">
        <v>34.92</v>
      </c>
    </row>
    <row r="3782" spans="1:7" hidden="1" x14ac:dyDescent="0.25">
      <c r="A3782" t="s">
        <v>660</v>
      </c>
      <c r="B3782">
        <v>36250</v>
      </c>
      <c r="C3782" t="s">
        <v>4451</v>
      </c>
      <c r="D3782" t="s">
        <v>704</v>
      </c>
      <c r="E3782" t="s">
        <v>659</v>
      </c>
      <c r="F3782">
        <v>4.46</v>
      </c>
      <c r="G3782">
        <v>4.83</v>
      </c>
    </row>
    <row r="3783" spans="1:7" hidden="1" x14ac:dyDescent="0.25">
      <c r="A3783" t="s">
        <v>660</v>
      </c>
      <c r="B3783">
        <v>10857</v>
      </c>
      <c r="C3783" t="s">
        <v>4452</v>
      </c>
      <c r="D3783" t="s">
        <v>704</v>
      </c>
      <c r="E3783" t="s">
        <v>659</v>
      </c>
      <c r="F3783">
        <f>G3783</f>
        <v>17.53</v>
      </c>
      <c r="G3783">
        <v>17.53</v>
      </c>
    </row>
    <row r="3784" spans="1:7" hidden="1" x14ac:dyDescent="0.25">
      <c r="A3784" t="s">
        <v>660</v>
      </c>
      <c r="B3784">
        <v>4803</v>
      </c>
      <c r="C3784" t="s">
        <v>4453</v>
      </c>
      <c r="D3784" t="s">
        <v>704</v>
      </c>
      <c r="E3784" t="s">
        <v>659</v>
      </c>
      <c r="F3784">
        <v>32.68</v>
      </c>
      <c r="G3784">
        <v>31.77</v>
      </c>
    </row>
    <row r="3785" spans="1:7" hidden="1" x14ac:dyDescent="0.25">
      <c r="A3785" t="s">
        <v>660</v>
      </c>
      <c r="B3785">
        <v>6186</v>
      </c>
      <c r="C3785" t="s">
        <v>4454</v>
      </c>
      <c r="D3785" t="s">
        <v>704</v>
      </c>
      <c r="E3785" t="s">
        <v>659</v>
      </c>
      <c r="F3785">
        <f>G3785</f>
        <v>27</v>
      </c>
      <c r="G3785">
        <v>27</v>
      </c>
    </row>
    <row r="3786" spans="1:7" hidden="1" x14ac:dyDescent="0.25">
      <c r="A3786" t="s">
        <v>660</v>
      </c>
      <c r="B3786">
        <v>4829</v>
      </c>
      <c r="C3786" t="s">
        <v>4455</v>
      </c>
      <c r="D3786" t="s">
        <v>704</v>
      </c>
      <c r="E3786" t="s">
        <v>659</v>
      </c>
      <c r="F3786">
        <v>38.69</v>
      </c>
      <c r="G3786">
        <v>63.61</v>
      </c>
    </row>
    <row r="3787" spans="1:7" hidden="1" x14ac:dyDescent="0.25">
      <c r="A3787" t="s">
        <v>660</v>
      </c>
      <c r="B3787">
        <v>39829</v>
      </c>
      <c r="C3787" t="s">
        <v>4456</v>
      </c>
      <c r="D3787" t="s">
        <v>704</v>
      </c>
      <c r="E3787" t="s">
        <v>172</v>
      </c>
      <c r="F3787">
        <v>42.55</v>
      </c>
      <c r="G3787">
        <v>39.54</v>
      </c>
    </row>
    <row r="3788" spans="1:7" hidden="1" x14ac:dyDescent="0.25">
      <c r="A3788" t="s">
        <v>660</v>
      </c>
      <c r="B3788">
        <v>20231</v>
      </c>
      <c r="C3788" t="s">
        <v>4457</v>
      </c>
      <c r="D3788" t="s">
        <v>704</v>
      </c>
      <c r="E3788" t="s">
        <v>659</v>
      </c>
      <c r="F3788">
        <v>46.39</v>
      </c>
      <c r="G3788">
        <v>66.98</v>
      </c>
    </row>
    <row r="3789" spans="1:7" hidden="1" x14ac:dyDescent="0.25">
      <c r="A3789" t="s">
        <v>660</v>
      </c>
      <c r="B3789">
        <v>4804</v>
      </c>
      <c r="C3789" t="s">
        <v>4458</v>
      </c>
      <c r="D3789" t="s">
        <v>704</v>
      </c>
      <c r="E3789" t="s">
        <v>659</v>
      </c>
      <c r="F3789">
        <v>25.09</v>
      </c>
      <c r="G3789">
        <v>24.39</v>
      </c>
    </row>
    <row r="3790" spans="1:7" hidden="1" x14ac:dyDescent="0.25">
      <c r="A3790" t="s">
        <v>660</v>
      </c>
      <c r="B3790">
        <v>34680</v>
      </c>
      <c r="C3790" t="s">
        <v>4459</v>
      </c>
      <c r="D3790" t="s">
        <v>704</v>
      </c>
      <c r="E3790" t="s">
        <v>659</v>
      </c>
      <c r="F3790">
        <v>52.13</v>
      </c>
      <c r="G3790">
        <v>41.21</v>
      </c>
    </row>
    <row r="3791" spans="1:7" hidden="1" x14ac:dyDescent="0.25">
      <c r="A3791" t="s">
        <v>660</v>
      </c>
      <c r="B3791">
        <v>11573</v>
      </c>
      <c r="C3791" t="s">
        <v>4460</v>
      </c>
      <c r="D3791" t="s">
        <v>226</v>
      </c>
      <c r="E3791" t="s">
        <v>659</v>
      </c>
      <c r="F3791">
        <v>6.5</v>
      </c>
      <c r="G3791">
        <v>5.81</v>
      </c>
    </row>
    <row r="3792" spans="1:7" hidden="1" x14ac:dyDescent="0.25">
      <c r="A3792" t="s">
        <v>660</v>
      </c>
      <c r="B3792">
        <v>38401</v>
      </c>
      <c r="C3792" t="s">
        <v>4461</v>
      </c>
      <c r="D3792" t="s">
        <v>226</v>
      </c>
      <c r="E3792" t="s">
        <v>659</v>
      </c>
      <c r="F3792">
        <v>62.63</v>
      </c>
      <c r="G3792">
        <v>59.75</v>
      </c>
    </row>
    <row r="3793" spans="1:7" hidden="1" x14ac:dyDescent="0.25">
      <c r="A3793" t="s">
        <v>660</v>
      </c>
      <c r="B3793">
        <v>11575</v>
      </c>
      <c r="C3793" t="s">
        <v>4462</v>
      </c>
      <c r="D3793" t="s">
        <v>226</v>
      </c>
      <c r="E3793" t="s">
        <v>659</v>
      </c>
      <c r="F3793">
        <v>62.74</v>
      </c>
      <c r="G3793">
        <v>56.02</v>
      </c>
    </row>
    <row r="3794" spans="1:7" hidden="1" x14ac:dyDescent="0.25">
      <c r="A3794" t="s">
        <v>660</v>
      </c>
      <c r="B3794">
        <v>38179</v>
      </c>
      <c r="C3794" t="s">
        <v>4463</v>
      </c>
      <c r="D3794" t="s">
        <v>226</v>
      </c>
      <c r="E3794" t="s">
        <v>659</v>
      </c>
      <c r="F3794">
        <v>51.88</v>
      </c>
      <c r="G3794">
        <v>46.32</v>
      </c>
    </row>
    <row r="3795" spans="1:7" hidden="1" x14ac:dyDescent="0.25">
      <c r="A3795" t="s">
        <v>660</v>
      </c>
      <c r="B3795">
        <v>20256</v>
      </c>
      <c r="C3795" t="s">
        <v>4464</v>
      </c>
      <c r="D3795" t="s">
        <v>226</v>
      </c>
      <c r="E3795" t="s">
        <v>659</v>
      </c>
      <c r="F3795">
        <v>0.34</v>
      </c>
      <c r="G3795">
        <v>0.33</v>
      </c>
    </row>
    <row r="3796" spans="1:7" hidden="1" x14ac:dyDescent="0.25">
      <c r="A3796" t="s">
        <v>842</v>
      </c>
      <c r="B3796">
        <v>14511</v>
      </c>
      <c r="C3796" t="s">
        <v>4465</v>
      </c>
      <c r="D3796" t="s">
        <v>226</v>
      </c>
      <c r="E3796" t="s">
        <v>659</v>
      </c>
      <c r="F3796">
        <f t="shared" ref="F3796:F3805" si="32">G3796</f>
        <v>997825.41</v>
      </c>
      <c r="G3796" s="538">
        <v>997825.41</v>
      </c>
    </row>
    <row r="3797" spans="1:7" hidden="1" x14ac:dyDescent="0.25">
      <c r="A3797" t="s">
        <v>842</v>
      </c>
      <c r="B3797">
        <v>10642</v>
      </c>
      <c r="C3797" t="s">
        <v>4466</v>
      </c>
      <c r="D3797" t="s">
        <v>226</v>
      </c>
      <c r="E3797" t="s">
        <v>172</v>
      </c>
      <c r="F3797">
        <f t="shared" si="32"/>
        <v>940000</v>
      </c>
      <c r="G3797" s="538">
        <v>940000</v>
      </c>
    </row>
    <row r="3798" spans="1:7" hidden="1" x14ac:dyDescent="0.25">
      <c r="A3798" t="s">
        <v>842</v>
      </c>
      <c r="B3798">
        <v>14489</v>
      </c>
      <c r="C3798" t="s">
        <v>4467</v>
      </c>
      <c r="D3798" t="s">
        <v>226</v>
      </c>
      <c r="E3798" t="s">
        <v>659</v>
      </c>
      <c r="F3798">
        <f t="shared" si="32"/>
        <v>833762.51</v>
      </c>
      <c r="G3798" s="538">
        <v>833762.51</v>
      </c>
    </row>
    <row r="3799" spans="1:7" hidden="1" x14ac:dyDescent="0.25">
      <c r="A3799" t="s">
        <v>842</v>
      </c>
      <c r="B3799">
        <v>14513</v>
      </c>
      <c r="C3799" t="s">
        <v>4468</v>
      </c>
      <c r="D3799" t="s">
        <v>226</v>
      </c>
      <c r="E3799" t="s">
        <v>659</v>
      </c>
      <c r="F3799">
        <f t="shared" si="32"/>
        <v>625341.67000000004</v>
      </c>
      <c r="G3799" s="538">
        <v>625341.67000000004</v>
      </c>
    </row>
    <row r="3800" spans="1:7" hidden="1" x14ac:dyDescent="0.25">
      <c r="A3800" t="s">
        <v>842</v>
      </c>
      <c r="B3800">
        <v>13600</v>
      </c>
      <c r="C3800" t="s">
        <v>4469</v>
      </c>
      <c r="D3800" t="s">
        <v>226</v>
      </c>
      <c r="E3800" t="s">
        <v>659</v>
      </c>
      <c r="F3800">
        <f t="shared" si="32"/>
        <v>806866.86</v>
      </c>
      <c r="G3800" s="538">
        <v>806866.86</v>
      </c>
    </row>
    <row r="3801" spans="1:7" hidden="1" x14ac:dyDescent="0.25">
      <c r="A3801" t="s">
        <v>842</v>
      </c>
      <c r="B3801">
        <v>10646</v>
      </c>
      <c r="C3801" t="s">
        <v>4470</v>
      </c>
      <c r="D3801" t="s">
        <v>226</v>
      </c>
      <c r="E3801" t="s">
        <v>659</v>
      </c>
      <c r="F3801">
        <f t="shared" si="32"/>
        <v>601465.48</v>
      </c>
      <c r="G3801" s="538">
        <v>601465.48</v>
      </c>
    </row>
    <row r="3802" spans="1:7" hidden="1" x14ac:dyDescent="0.25">
      <c r="A3802" t="s">
        <v>842</v>
      </c>
      <c r="B3802">
        <v>6070</v>
      </c>
      <c r="C3802" t="s">
        <v>4471</v>
      </c>
      <c r="D3802" t="s">
        <v>226</v>
      </c>
      <c r="E3802" t="s">
        <v>659</v>
      </c>
      <c r="F3802">
        <f t="shared" si="32"/>
        <v>821828.55</v>
      </c>
      <c r="G3802" s="538">
        <v>821828.55</v>
      </c>
    </row>
    <row r="3803" spans="1:7" hidden="1" x14ac:dyDescent="0.25">
      <c r="A3803" t="s">
        <v>842</v>
      </c>
      <c r="B3803">
        <v>6069</v>
      </c>
      <c r="C3803" t="s">
        <v>4472</v>
      </c>
      <c r="D3803" t="s">
        <v>226</v>
      </c>
      <c r="E3803" t="s">
        <v>659</v>
      </c>
      <c r="F3803">
        <f t="shared" si="32"/>
        <v>181554.32</v>
      </c>
      <c r="G3803" s="538">
        <v>181554.32</v>
      </c>
    </row>
    <row r="3804" spans="1:7" hidden="1" x14ac:dyDescent="0.25">
      <c r="A3804" t="s">
        <v>842</v>
      </c>
      <c r="B3804">
        <v>14626</v>
      </c>
      <c r="C3804" t="s">
        <v>4473</v>
      </c>
      <c r="D3804" t="s">
        <v>226</v>
      </c>
      <c r="E3804" t="s">
        <v>659</v>
      </c>
      <c r="F3804">
        <f t="shared" si="32"/>
        <v>899714.32</v>
      </c>
      <c r="G3804" s="538">
        <v>899714.32</v>
      </c>
    </row>
    <row r="3805" spans="1:7" hidden="1" x14ac:dyDescent="0.25">
      <c r="A3805" t="s">
        <v>842</v>
      </c>
      <c r="B3805">
        <v>6067</v>
      </c>
      <c r="C3805" t="s">
        <v>4474</v>
      </c>
      <c r="D3805" t="s">
        <v>226</v>
      </c>
      <c r="E3805" t="s">
        <v>659</v>
      </c>
      <c r="F3805">
        <f t="shared" si="32"/>
        <v>738571.44</v>
      </c>
      <c r="G3805" s="538">
        <v>738571.44</v>
      </c>
    </row>
    <row r="3806" spans="1:7" hidden="1" x14ac:dyDescent="0.25">
      <c r="A3806" t="s">
        <v>660</v>
      </c>
      <c r="B3806">
        <v>38393</v>
      </c>
      <c r="C3806" t="s">
        <v>4475</v>
      </c>
      <c r="D3806" t="s">
        <v>226</v>
      </c>
      <c r="E3806" t="s">
        <v>172</v>
      </c>
      <c r="F3806">
        <v>22</v>
      </c>
      <c r="G3806">
        <v>20.99</v>
      </c>
    </row>
    <row r="3807" spans="1:7" hidden="1" x14ac:dyDescent="0.25">
      <c r="A3807" t="s">
        <v>660</v>
      </c>
      <c r="B3807">
        <v>45233</v>
      </c>
      <c r="C3807" t="s">
        <v>4476</v>
      </c>
      <c r="D3807" t="s">
        <v>226</v>
      </c>
      <c r="E3807" t="s">
        <v>659</v>
      </c>
      <c r="F3807">
        <v>9.44</v>
      </c>
      <c r="G3807">
        <v>9</v>
      </c>
    </row>
    <row r="3808" spans="1:7" hidden="1" x14ac:dyDescent="0.25">
      <c r="A3808" t="s">
        <v>660</v>
      </c>
      <c r="B3808">
        <v>38390</v>
      </c>
      <c r="C3808" t="s">
        <v>4477</v>
      </c>
      <c r="D3808" t="s">
        <v>226</v>
      </c>
      <c r="E3808" t="s">
        <v>659</v>
      </c>
      <c r="F3808">
        <v>54.05</v>
      </c>
      <c r="G3808">
        <v>51.57</v>
      </c>
    </row>
    <row r="3809" spans="1:7" hidden="1" x14ac:dyDescent="0.25">
      <c r="A3809" t="s">
        <v>660</v>
      </c>
      <c r="B3809">
        <v>11578</v>
      </c>
      <c r="C3809" t="s">
        <v>4478</v>
      </c>
      <c r="D3809" t="s">
        <v>226</v>
      </c>
      <c r="E3809" t="s">
        <v>659</v>
      </c>
      <c r="F3809">
        <v>13.54</v>
      </c>
      <c r="G3809">
        <v>12.09</v>
      </c>
    </row>
    <row r="3810" spans="1:7" hidden="1" x14ac:dyDescent="0.25">
      <c r="A3810" t="s">
        <v>660</v>
      </c>
      <c r="B3810">
        <v>11577</v>
      </c>
      <c r="C3810" t="s">
        <v>4479</v>
      </c>
      <c r="D3810" t="s">
        <v>226</v>
      </c>
      <c r="E3810" t="s">
        <v>659</v>
      </c>
      <c r="F3810">
        <v>12.93</v>
      </c>
      <c r="G3810">
        <v>11.54</v>
      </c>
    </row>
    <row r="3811" spans="1:7" hidden="1" x14ac:dyDescent="0.25">
      <c r="A3811" t="s">
        <v>660</v>
      </c>
      <c r="B3811">
        <v>42432</v>
      </c>
      <c r="C3811" t="s">
        <v>4480</v>
      </c>
      <c r="D3811" t="s">
        <v>226</v>
      </c>
      <c r="E3811" t="s">
        <v>659</v>
      </c>
      <c r="F3811">
        <f>G3811</f>
        <v>2424.64</v>
      </c>
      <c r="G3811" s="538">
        <v>2424.64</v>
      </c>
    </row>
    <row r="3812" spans="1:7" x14ac:dyDescent="0.25">
      <c r="A3812" t="s">
        <v>660</v>
      </c>
      <c r="B3812">
        <v>42437</v>
      </c>
      <c r="C3812" t="s">
        <v>4481</v>
      </c>
      <c r="D3812" t="s">
        <v>226</v>
      </c>
      <c r="E3812" t="s">
        <v>659</v>
      </c>
      <c r="F3812">
        <f>G3812</f>
        <v>1843.37</v>
      </c>
      <c r="G3812" s="538">
        <v>1843.37</v>
      </c>
    </row>
    <row r="3813" spans="1:7" hidden="1" x14ac:dyDescent="0.25">
      <c r="A3813" t="s">
        <v>660</v>
      </c>
      <c r="B3813">
        <v>1116</v>
      </c>
      <c r="C3813" t="s">
        <v>4482</v>
      </c>
      <c r="D3813" t="s">
        <v>704</v>
      </c>
      <c r="E3813" t="s">
        <v>659</v>
      </c>
      <c r="F3813">
        <v>19.309999999999999</v>
      </c>
      <c r="G3813">
        <v>16.84</v>
      </c>
    </row>
    <row r="3814" spans="1:7" hidden="1" x14ac:dyDescent="0.25">
      <c r="A3814" t="s">
        <v>660</v>
      </c>
      <c r="B3814">
        <v>1115</v>
      </c>
      <c r="C3814" t="s">
        <v>4483</v>
      </c>
      <c r="D3814" t="s">
        <v>704</v>
      </c>
      <c r="E3814" t="s">
        <v>659</v>
      </c>
      <c r="F3814">
        <v>23.14</v>
      </c>
      <c r="G3814">
        <v>20.18</v>
      </c>
    </row>
    <row r="3815" spans="1:7" hidden="1" x14ac:dyDescent="0.25">
      <c r="A3815" t="s">
        <v>660</v>
      </c>
      <c r="B3815">
        <v>1113</v>
      </c>
      <c r="C3815" t="s">
        <v>4484</v>
      </c>
      <c r="D3815" t="s">
        <v>704</v>
      </c>
      <c r="E3815" t="s">
        <v>659</v>
      </c>
      <c r="F3815">
        <v>27.05</v>
      </c>
      <c r="G3815">
        <v>23.59</v>
      </c>
    </row>
    <row r="3816" spans="1:7" hidden="1" x14ac:dyDescent="0.25">
      <c r="A3816" t="s">
        <v>660</v>
      </c>
      <c r="B3816">
        <v>1114</v>
      </c>
      <c r="C3816" t="s">
        <v>4485</v>
      </c>
      <c r="D3816" t="s">
        <v>704</v>
      </c>
      <c r="E3816" t="s">
        <v>659</v>
      </c>
      <c r="F3816">
        <v>32.229999999999997</v>
      </c>
      <c r="G3816">
        <v>28.1</v>
      </c>
    </row>
    <row r="3817" spans="1:7" hidden="1" x14ac:dyDescent="0.25">
      <c r="A3817" t="s">
        <v>660</v>
      </c>
      <c r="B3817">
        <v>40873</v>
      </c>
      <c r="C3817" t="s">
        <v>4486</v>
      </c>
      <c r="D3817" t="s">
        <v>704</v>
      </c>
      <c r="E3817" t="s">
        <v>659</v>
      </c>
      <c r="F3817">
        <v>25.22</v>
      </c>
      <c r="G3817">
        <v>21.99</v>
      </c>
    </row>
    <row r="3818" spans="1:7" hidden="1" x14ac:dyDescent="0.25">
      <c r="A3818" t="s">
        <v>660</v>
      </c>
      <c r="B3818">
        <v>20214</v>
      </c>
      <c r="C3818" t="s">
        <v>4487</v>
      </c>
      <c r="D3818" t="s">
        <v>226</v>
      </c>
      <c r="E3818" t="s">
        <v>659</v>
      </c>
      <c r="F3818">
        <v>49.15</v>
      </c>
      <c r="G3818">
        <v>50.55</v>
      </c>
    </row>
    <row r="3819" spans="1:7" hidden="1" x14ac:dyDescent="0.25">
      <c r="A3819" t="s">
        <v>660</v>
      </c>
      <c r="B3819">
        <v>7237</v>
      </c>
      <c r="C3819" t="s">
        <v>4488</v>
      </c>
      <c r="D3819" t="s">
        <v>226</v>
      </c>
      <c r="E3819" t="s">
        <v>659</v>
      </c>
      <c r="F3819">
        <v>48.12</v>
      </c>
      <c r="G3819">
        <v>49.48</v>
      </c>
    </row>
    <row r="3820" spans="1:7" hidden="1" x14ac:dyDescent="0.25">
      <c r="A3820" t="s">
        <v>660</v>
      </c>
      <c r="B3820">
        <v>11757</v>
      </c>
      <c r="C3820" t="s">
        <v>4489</v>
      </c>
      <c r="D3820" t="s">
        <v>226</v>
      </c>
      <c r="E3820" t="s">
        <v>172</v>
      </c>
      <c r="F3820">
        <v>30</v>
      </c>
      <c r="G3820">
        <v>46</v>
      </c>
    </row>
    <row r="3821" spans="1:7" hidden="1" x14ac:dyDescent="0.25">
      <c r="A3821" t="s">
        <v>660</v>
      </c>
      <c r="B3821">
        <v>11758</v>
      </c>
      <c r="C3821" t="s">
        <v>4490</v>
      </c>
      <c r="D3821" t="s">
        <v>226</v>
      </c>
      <c r="E3821" t="s">
        <v>172</v>
      </c>
      <c r="F3821">
        <v>41.22</v>
      </c>
      <c r="G3821">
        <v>57.76</v>
      </c>
    </row>
    <row r="3822" spans="1:7" hidden="1" x14ac:dyDescent="0.25">
      <c r="A3822" t="s">
        <v>660</v>
      </c>
      <c r="B3822">
        <v>37526</v>
      </c>
      <c r="C3822" t="s">
        <v>4491</v>
      </c>
      <c r="D3822" t="s">
        <v>226</v>
      </c>
      <c r="E3822" t="s">
        <v>659</v>
      </c>
      <c r="F3822">
        <v>3.22</v>
      </c>
      <c r="G3822">
        <v>5.74</v>
      </c>
    </row>
    <row r="3823" spans="1:7" hidden="1" x14ac:dyDescent="0.25">
      <c r="A3823" t="s">
        <v>660</v>
      </c>
      <c r="B3823">
        <v>6076</v>
      </c>
      <c r="C3823" t="s">
        <v>4492</v>
      </c>
      <c r="D3823" t="s">
        <v>806</v>
      </c>
      <c r="E3823" t="s">
        <v>172</v>
      </c>
      <c r="F3823">
        <f>G3823</f>
        <v>69</v>
      </c>
      <c r="G3823">
        <v>69</v>
      </c>
    </row>
    <row r="3824" spans="1:7" hidden="1" x14ac:dyDescent="0.25">
      <c r="A3824" t="s">
        <v>660</v>
      </c>
      <c r="B3824">
        <v>13109</v>
      </c>
      <c r="C3824" t="s">
        <v>4493</v>
      </c>
      <c r="D3824" t="s">
        <v>226</v>
      </c>
      <c r="E3824" t="s">
        <v>659</v>
      </c>
      <c r="F3824">
        <f>G3824</f>
        <v>270.93</v>
      </c>
      <c r="G3824">
        <v>270.93</v>
      </c>
    </row>
    <row r="3825" spans="1:7" hidden="1" x14ac:dyDescent="0.25">
      <c r="A3825" t="s">
        <v>660</v>
      </c>
      <c r="B3825">
        <v>13110</v>
      </c>
      <c r="C3825" t="s">
        <v>4494</v>
      </c>
      <c r="D3825" t="s">
        <v>226</v>
      </c>
      <c r="E3825" t="s">
        <v>659</v>
      </c>
      <c r="F3825">
        <f>G3825</f>
        <v>356.56</v>
      </c>
      <c r="G3825">
        <v>356.56</v>
      </c>
    </row>
    <row r="3826" spans="1:7" hidden="1" x14ac:dyDescent="0.25">
      <c r="A3826" t="s">
        <v>660</v>
      </c>
      <c r="B3826">
        <v>7581</v>
      </c>
      <c r="C3826" t="s">
        <v>4495</v>
      </c>
      <c r="D3826" t="s">
        <v>226</v>
      </c>
      <c r="E3826" t="s">
        <v>659</v>
      </c>
      <c r="F3826">
        <f>G3826</f>
        <v>3.44</v>
      </c>
      <c r="G3826">
        <v>3.44</v>
      </c>
    </row>
    <row r="3827" spans="1:7" hidden="1" x14ac:dyDescent="0.25">
      <c r="A3827" t="s">
        <v>660</v>
      </c>
      <c r="B3827">
        <v>4509</v>
      </c>
      <c r="C3827" t="s">
        <v>4496</v>
      </c>
      <c r="D3827" t="s">
        <v>704</v>
      </c>
      <c r="E3827" t="s">
        <v>659</v>
      </c>
      <c r="F3827">
        <v>4</v>
      </c>
      <c r="G3827">
        <v>4.13</v>
      </c>
    </row>
    <row r="3828" spans="1:7" hidden="1" x14ac:dyDescent="0.25">
      <c r="A3828" t="s">
        <v>660</v>
      </c>
      <c r="B3828">
        <v>4512</v>
      </c>
      <c r="C3828" t="s">
        <v>4497</v>
      </c>
      <c r="D3828" t="s">
        <v>704</v>
      </c>
      <c r="E3828" t="s">
        <v>659</v>
      </c>
      <c r="F3828">
        <v>1.91</v>
      </c>
      <c r="G3828">
        <v>1.97</v>
      </c>
    </row>
    <row r="3829" spans="1:7" hidden="1" x14ac:dyDescent="0.25">
      <c r="A3829" t="s">
        <v>660</v>
      </c>
      <c r="B3829">
        <v>4517</v>
      </c>
      <c r="C3829" t="s">
        <v>4498</v>
      </c>
      <c r="D3829" t="s">
        <v>704</v>
      </c>
      <c r="E3829" t="s">
        <v>659</v>
      </c>
      <c r="F3829">
        <v>2.75</v>
      </c>
      <c r="G3829">
        <v>2.85</v>
      </c>
    </row>
    <row r="3830" spans="1:7" hidden="1" x14ac:dyDescent="0.25">
      <c r="A3830" t="s">
        <v>660</v>
      </c>
      <c r="B3830">
        <v>20206</v>
      </c>
      <c r="C3830" t="s">
        <v>4499</v>
      </c>
      <c r="D3830" t="s">
        <v>704</v>
      </c>
      <c r="E3830" t="s">
        <v>659</v>
      </c>
      <c r="F3830">
        <v>12.37</v>
      </c>
      <c r="G3830">
        <v>11.18</v>
      </c>
    </row>
    <row r="3831" spans="1:7" hidden="1" x14ac:dyDescent="0.25">
      <c r="A3831" t="s">
        <v>660</v>
      </c>
      <c r="B3831">
        <v>4460</v>
      </c>
      <c r="C3831" t="s">
        <v>4500</v>
      </c>
      <c r="D3831" t="s">
        <v>704</v>
      </c>
      <c r="E3831" t="s">
        <v>659</v>
      </c>
      <c r="F3831">
        <v>12.7</v>
      </c>
      <c r="G3831">
        <v>11.48</v>
      </c>
    </row>
    <row r="3832" spans="1:7" hidden="1" x14ac:dyDescent="0.25">
      <c r="A3832" t="s">
        <v>660</v>
      </c>
      <c r="B3832">
        <v>4415</v>
      </c>
      <c r="C3832" t="s">
        <v>4501</v>
      </c>
      <c r="D3832" t="s">
        <v>704</v>
      </c>
      <c r="E3832" t="s">
        <v>659</v>
      </c>
      <c r="F3832">
        <v>6.8</v>
      </c>
      <c r="G3832">
        <v>6.15</v>
      </c>
    </row>
    <row r="3833" spans="1:7" hidden="1" x14ac:dyDescent="0.25">
      <c r="A3833" t="s">
        <v>660</v>
      </c>
      <c r="B3833">
        <v>4417</v>
      </c>
      <c r="C3833" t="s">
        <v>4502</v>
      </c>
      <c r="D3833" t="s">
        <v>704</v>
      </c>
      <c r="E3833" t="s">
        <v>659</v>
      </c>
      <c r="F3833">
        <v>9.7899999999999991</v>
      </c>
      <c r="G3833">
        <v>8.85</v>
      </c>
    </row>
    <row r="3834" spans="1:7" hidden="1" x14ac:dyDescent="0.25">
      <c r="A3834" t="s">
        <v>660</v>
      </c>
      <c r="B3834">
        <v>37373</v>
      </c>
      <c r="C3834" t="s">
        <v>4503</v>
      </c>
      <c r="D3834" t="s">
        <v>809</v>
      </c>
      <c r="E3834" t="s">
        <v>172</v>
      </c>
      <c r="F3834">
        <v>0.08</v>
      </c>
      <c r="G3834">
        <v>0.08</v>
      </c>
    </row>
    <row r="3835" spans="1:7" hidden="1" x14ac:dyDescent="0.25">
      <c r="A3835" t="s">
        <v>660</v>
      </c>
      <c r="B3835">
        <v>40864</v>
      </c>
      <c r="C3835" t="s">
        <v>4504</v>
      </c>
      <c r="D3835" t="s">
        <v>811</v>
      </c>
      <c r="E3835" t="s">
        <v>172</v>
      </c>
      <c r="F3835">
        <v>15.46</v>
      </c>
      <c r="G3835">
        <v>15.46</v>
      </c>
    </row>
    <row r="3836" spans="1:7" hidden="1" x14ac:dyDescent="0.25">
      <c r="A3836" t="s">
        <v>660</v>
      </c>
      <c r="B3836">
        <v>4734</v>
      </c>
      <c r="C3836" t="s">
        <v>4505</v>
      </c>
      <c r="D3836" t="s">
        <v>806</v>
      </c>
      <c r="E3836" t="s">
        <v>659</v>
      </c>
      <c r="F3836">
        <v>417.22</v>
      </c>
      <c r="G3836">
        <v>255.68</v>
      </c>
    </row>
    <row r="3837" spans="1:7" hidden="1" x14ac:dyDescent="0.25">
      <c r="A3837" t="s">
        <v>660</v>
      </c>
      <c r="B3837">
        <v>6085</v>
      </c>
      <c r="C3837" t="s">
        <v>4506</v>
      </c>
      <c r="D3837" t="s">
        <v>710</v>
      </c>
      <c r="E3837" t="s">
        <v>172</v>
      </c>
      <c r="F3837">
        <v>12.42</v>
      </c>
      <c r="G3837">
        <v>12.06</v>
      </c>
    </row>
    <row r="3838" spans="1:7" hidden="1" x14ac:dyDescent="0.25">
      <c r="A3838" t="s">
        <v>660</v>
      </c>
      <c r="B3838">
        <v>38396</v>
      </c>
      <c r="C3838" t="s">
        <v>4507</v>
      </c>
      <c r="D3838" t="s">
        <v>226</v>
      </c>
      <c r="E3838" t="s">
        <v>659</v>
      </c>
      <c r="F3838">
        <v>990.23</v>
      </c>
      <c r="G3838">
        <v>856</v>
      </c>
    </row>
    <row r="3839" spans="1:7" hidden="1" x14ac:dyDescent="0.25">
      <c r="A3839" t="s">
        <v>660</v>
      </c>
      <c r="B3839">
        <v>11622</v>
      </c>
      <c r="C3839" t="s">
        <v>4508</v>
      </c>
      <c r="D3839" t="s">
        <v>708</v>
      </c>
      <c r="E3839" t="s">
        <v>659</v>
      </c>
      <c r="F3839">
        <v>65.45</v>
      </c>
      <c r="G3839">
        <v>74.5</v>
      </c>
    </row>
    <row r="3840" spans="1:7" hidden="1" x14ac:dyDescent="0.25">
      <c r="A3840" t="s">
        <v>660</v>
      </c>
      <c r="B3840">
        <v>43143</v>
      </c>
      <c r="C3840" t="s">
        <v>4509</v>
      </c>
      <c r="D3840" t="s">
        <v>710</v>
      </c>
      <c r="E3840" t="s">
        <v>659</v>
      </c>
      <c r="F3840">
        <v>24.72</v>
      </c>
      <c r="G3840">
        <v>28.14</v>
      </c>
    </row>
    <row r="3841" spans="1:7" hidden="1" x14ac:dyDescent="0.25">
      <c r="A3841" t="s">
        <v>660</v>
      </c>
      <c r="B3841">
        <v>7317</v>
      </c>
      <c r="C3841" t="s">
        <v>4510</v>
      </c>
      <c r="D3841" t="s">
        <v>708</v>
      </c>
      <c r="E3841" t="s">
        <v>659</v>
      </c>
      <c r="F3841">
        <v>35.11</v>
      </c>
      <c r="G3841">
        <v>37.450000000000003</v>
      </c>
    </row>
    <row r="3842" spans="1:7" hidden="1" x14ac:dyDescent="0.25">
      <c r="A3842" t="s">
        <v>660</v>
      </c>
      <c r="B3842">
        <v>142</v>
      </c>
      <c r="C3842" t="s">
        <v>4511</v>
      </c>
      <c r="D3842" t="s">
        <v>4512</v>
      </c>
      <c r="E3842" t="s">
        <v>659</v>
      </c>
      <c r="F3842">
        <v>30.88</v>
      </c>
      <c r="G3842">
        <v>35.15</v>
      </c>
    </row>
    <row r="3843" spans="1:7" hidden="1" x14ac:dyDescent="0.25">
      <c r="A3843" t="s">
        <v>660</v>
      </c>
      <c r="B3843">
        <v>43142</v>
      </c>
      <c r="C3843" t="s">
        <v>4513</v>
      </c>
      <c r="D3843" t="s">
        <v>710</v>
      </c>
      <c r="E3843" t="s">
        <v>659</v>
      </c>
      <c r="F3843">
        <v>140.29</v>
      </c>
      <c r="G3843">
        <v>159.68</v>
      </c>
    </row>
    <row r="3844" spans="1:7" x14ac:dyDescent="0.25">
      <c r="A3844" t="s">
        <v>660</v>
      </c>
      <c r="B3844">
        <v>38123</v>
      </c>
      <c r="C3844" t="s">
        <v>4514</v>
      </c>
      <c r="D3844" t="s">
        <v>708</v>
      </c>
      <c r="E3844" t="s">
        <v>659</v>
      </c>
      <c r="F3844">
        <v>78.52</v>
      </c>
      <c r="G3844">
        <v>76.239999999999995</v>
      </c>
    </row>
    <row r="3845" spans="1:7" hidden="1" x14ac:dyDescent="0.25">
      <c r="A3845" t="s">
        <v>660</v>
      </c>
      <c r="B3845">
        <v>42699</v>
      </c>
      <c r="C3845" t="s">
        <v>4515</v>
      </c>
      <c r="D3845" t="s">
        <v>226</v>
      </c>
      <c r="E3845" t="s">
        <v>659</v>
      </c>
      <c r="F3845">
        <v>33.9</v>
      </c>
      <c r="G3845">
        <v>35.049999999999997</v>
      </c>
    </row>
    <row r="3846" spans="1:7" hidden="1" x14ac:dyDescent="0.25">
      <c r="A3846" t="s">
        <v>842</v>
      </c>
      <c r="B3846">
        <v>37743</v>
      </c>
      <c r="C3846" t="s">
        <v>4516</v>
      </c>
      <c r="D3846" t="s">
        <v>226</v>
      </c>
      <c r="E3846" t="s">
        <v>659</v>
      </c>
      <c r="F3846" s="538">
        <v>246667.83</v>
      </c>
      <c r="G3846" s="538">
        <v>237841.37</v>
      </c>
    </row>
    <row r="3847" spans="1:7" hidden="1" x14ac:dyDescent="0.25">
      <c r="A3847" t="s">
        <v>842</v>
      </c>
      <c r="B3847">
        <v>37744</v>
      </c>
      <c r="C3847" t="s">
        <v>4517</v>
      </c>
      <c r="D3847" t="s">
        <v>226</v>
      </c>
      <c r="E3847" t="s">
        <v>659</v>
      </c>
      <c r="F3847" s="538">
        <v>290034.96000000002</v>
      </c>
      <c r="G3847" s="538">
        <v>279656.7</v>
      </c>
    </row>
    <row r="3848" spans="1:7" hidden="1" x14ac:dyDescent="0.25">
      <c r="A3848" t="s">
        <v>842</v>
      </c>
      <c r="B3848">
        <v>37741</v>
      </c>
      <c r="C3848" t="s">
        <v>4518</v>
      </c>
      <c r="D3848" t="s">
        <v>226</v>
      </c>
      <c r="E3848" t="s">
        <v>659</v>
      </c>
      <c r="F3848" s="538">
        <v>224293.7</v>
      </c>
      <c r="G3848" s="538">
        <v>216267.85</v>
      </c>
    </row>
    <row r="3849" spans="1:7" hidden="1" x14ac:dyDescent="0.25">
      <c r="A3849" t="s">
        <v>660</v>
      </c>
      <c r="B3849">
        <v>39396</v>
      </c>
      <c r="C3849" t="s">
        <v>4519</v>
      </c>
      <c r="D3849" t="s">
        <v>226</v>
      </c>
      <c r="E3849" t="s">
        <v>659</v>
      </c>
      <c r="F3849">
        <f>G3849</f>
        <v>69.44</v>
      </c>
      <c r="G3849">
        <v>69.44</v>
      </c>
    </row>
    <row r="3850" spans="1:7" hidden="1" x14ac:dyDescent="0.25">
      <c r="A3850" t="s">
        <v>660</v>
      </c>
      <c r="B3850">
        <v>39392</v>
      </c>
      <c r="C3850" t="s">
        <v>4520</v>
      </c>
      <c r="D3850" t="s">
        <v>226</v>
      </c>
      <c r="E3850" t="s">
        <v>659</v>
      </c>
      <c r="F3850">
        <f>G3850</f>
        <v>78.33</v>
      </c>
      <c r="G3850">
        <v>78.33</v>
      </c>
    </row>
    <row r="3851" spans="1:7" hidden="1" x14ac:dyDescent="0.25">
      <c r="A3851" t="s">
        <v>660</v>
      </c>
      <c r="B3851">
        <v>39393</v>
      </c>
      <c r="C3851" t="s">
        <v>4521</v>
      </c>
      <c r="D3851" t="s">
        <v>226</v>
      </c>
      <c r="E3851" t="s">
        <v>659</v>
      </c>
      <c r="F3851">
        <f>G3851</f>
        <v>48.44</v>
      </c>
      <c r="G3851">
        <v>48.44</v>
      </c>
    </row>
    <row r="3852" spans="1:7" hidden="1" x14ac:dyDescent="0.25">
      <c r="A3852" t="s">
        <v>660</v>
      </c>
      <c r="B3852">
        <v>39394</v>
      </c>
      <c r="C3852" t="s">
        <v>4522</v>
      </c>
      <c r="D3852" t="s">
        <v>226</v>
      </c>
      <c r="E3852" t="s">
        <v>659</v>
      </c>
      <c r="F3852">
        <f>G3852</f>
        <v>54.52</v>
      </c>
      <c r="G3852">
        <v>54.52</v>
      </c>
    </row>
    <row r="3853" spans="1:7" hidden="1" x14ac:dyDescent="0.25">
      <c r="A3853" t="s">
        <v>660</v>
      </c>
      <c r="B3853">
        <v>39395</v>
      </c>
      <c r="C3853" t="s">
        <v>4523</v>
      </c>
      <c r="D3853" t="s">
        <v>226</v>
      </c>
      <c r="E3853" t="s">
        <v>659</v>
      </c>
      <c r="F3853">
        <f>G3853</f>
        <v>50.7</v>
      </c>
      <c r="G3853">
        <v>50.7</v>
      </c>
    </row>
    <row r="3854" spans="1:7" hidden="1" x14ac:dyDescent="0.25">
      <c r="A3854" t="s">
        <v>842</v>
      </c>
      <c r="B3854">
        <v>14618</v>
      </c>
      <c r="C3854" t="s">
        <v>4524</v>
      </c>
      <c r="D3854" t="s">
        <v>226</v>
      </c>
      <c r="E3854" t="s">
        <v>659</v>
      </c>
      <c r="F3854" s="538">
        <v>1438.43</v>
      </c>
      <c r="G3854" s="538">
        <v>1203.3</v>
      </c>
    </row>
    <row r="3855" spans="1:7" hidden="1" x14ac:dyDescent="0.25">
      <c r="A3855" t="s">
        <v>842</v>
      </c>
      <c r="B3855">
        <v>45298</v>
      </c>
      <c r="C3855" t="s">
        <v>4525</v>
      </c>
      <c r="D3855" t="s">
        <v>226</v>
      </c>
      <c r="E3855" t="s">
        <v>659</v>
      </c>
      <c r="F3855">
        <v>475.49</v>
      </c>
      <c r="G3855">
        <v>397.76</v>
      </c>
    </row>
    <row r="3856" spans="1:7" hidden="1" x14ac:dyDescent="0.25">
      <c r="A3856" t="s">
        <v>807</v>
      </c>
      <c r="B3856">
        <v>6110</v>
      </c>
      <c r="C3856" t="s">
        <v>4526</v>
      </c>
      <c r="D3856" t="s">
        <v>809</v>
      </c>
      <c r="E3856" t="s">
        <v>659</v>
      </c>
      <c r="F3856">
        <v>11.13</v>
      </c>
      <c r="G3856">
        <v>12.43</v>
      </c>
    </row>
    <row r="3857" spans="1:7" hidden="1" x14ac:dyDescent="0.25">
      <c r="A3857" t="s">
        <v>807</v>
      </c>
      <c r="B3857">
        <v>40910</v>
      </c>
      <c r="C3857" t="s">
        <v>4527</v>
      </c>
      <c r="D3857" t="s">
        <v>811</v>
      </c>
      <c r="E3857" t="s">
        <v>659</v>
      </c>
      <c r="F3857" s="538">
        <v>2448.6</v>
      </c>
      <c r="G3857" s="538">
        <v>2735.93</v>
      </c>
    </row>
    <row r="3858" spans="1:7" hidden="1" x14ac:dyDescent="0.25">
      <c r="A3858" t="s">
        <v>660</v>
      </c>
      <c r="B3858">
        <v>45255</v>
      </c>
      <c r="C3858" t="s">
        <v>4528</v>
      </c>
      <c r="D3858" t="s">
        <v>226</v>
      </c>
      <c r="E3858" t="s">
        <v>659</v>
      </c>
      <c r="F3858">
        <v>46.01</v>
      </c>
      <c r="G3858">
        <v>39.770000000000003</v>
      </c>
    </row>
    <row r="3859" spans="1:7" hidden="1" x14ac:dyDescent="0.25">
      <c r="A3859" t="s">
        <v>807</v>
      </c>
      <c r="B3859">
        <v>6111</v>
      </c>
      <c r="C3859" t="s">
        <v>4529</v>
      </c>
      <c r="D3859" t="s">
        <v>809</v>
      </c>
      <c r="E3859" t="s">
        <v>172</v>
      </c>
      <c r="F3859">
        <v>7.3</v>
      </c>
      <c r="G3859">
        <v>9.9499999999999993</v>
      </c>
    </row>
    <row r="3860" spans="1:7" hidden="1" x14ac:dyDescent="0.25">
      <c r="A3860" t="s">
        <v>807</v>
      </c>
      <c r="B3860">
        <v>41084</v>
      </c>
      <c r="C3860" t="s">
        <v>4530</v>
      </c>
      <c r="D3860" t="s">
        <v>811</v>
      </c>
      <c r="E3860" t="s">
        <v>659</v>
      </c>
      <c r="F3860" s="538">
        <v>1606</v>
      </c>
      <c r="G3860" s="538">
        <v>2189</v>
      </c>
    </row>
    <row r="3861" spans="1:7" hidden="1" x14ac:dyDescent="0.25">
      <c r="A3861" t="s">
        <v>448</v>
      </c>
      <c r="B3861">
        <v>44535</v>
      </c>
      <c r="C3861" t="s">
        <v>4531</v>
      </c>
      <c r="D3861" t="s">
        <v>806</v>
      </c>
      <c r="E3861" t="s">
        <v>659</v>
      </c>
      <c r="F3861">
        <v>53.46</v>
      </c>
      <c r="G3861">
        <v>45.24</v>
      </c>
    </row>
    <row r="3862" spans="1:7" hidden="1" x14ac:dyDescent="0.25">
      <c r="A3862" t="s">
        <v>660</v>
      </c>
      <c r="B3862">
        <v>44945</v>
      </c>
      <c r="C3862" t="s">
        <v>4532</v>
      </c>
      <c r="D3862" t="s">
        <v>226</v>
      </c>
      <c r="E3862" t="s">
        <v>172</v>
      </c>
      <c r="F3862">
        <v>10.199999999999999</v>
      </c>
      <c r="G3862">
        <v>10.9</v>
      </c>
    </row>
    <row r="3863" spans="1:7" hidden="1" x14ac:dyDescent="0.25">
      <c r="A3863" t="s">
        <v>660</v>
      </c>
      <c r="B3863">
        <v>38637</v>
      </c>
      <c r="C3863" t="s">
        <v>4533</v>
      </c>
      <c r="D3863" t="s">
        <v>226</v>
      </c>
      <c r="E3863" t="s">
        <v>659</v>
      </c>
      <c r="F3863">
        <v>306.49</v>
      </c>
      <c r="G3863">
        <v>243.63</v>
      </c>
    </row>
    <row r="3864" spans="1:7" hidden="1" x14ac:dyDescent="0.25">
      <c r="A3864" t="s">
        <v>660</v>
      </c>
      <c r="B3864">
        <v>6150</v>
      </c>
      <c r="C3864" t="s">
        <v>4534</v>
      </c>
      <c r="D3864" t="s">
        <v>226</v>
      </c>
      <c r="E3864" t="s">
        <v>659</v>
      </c>
      <c r="F3864">
        <v>310.23</v>
      </c>
      <c r="G3864">
        <v>246.61</v>
      </c>
    </row>
    <row r="3865" spans="1:7" hidden="1" x14ac:dyDescent="0.25">
      <c r="A3865" t="s">
        <v>660</v>
      </c>
      <c r="B3865">
        <v>6136</v>
      </c>
      <c r="C3865" t="s">
        <v>4535</v>
      </c>
      <c r="D3865" t="s">
        <v>226</v>
      </c>
      <c r="E3865" t="s">
        <v>172</v>
      </c>
      <c r="F3865">
        <v>243.86</v>
      </c>
      <c r="G3865">
        <v>193.85</v>
      </c>
    </row>
    <row r="3866" spans="1:7" hidden="1" x14ac:dyDescent="0.25">
      <c r="A3866" t="s">
        <v>660</v>
      </c>
      <c r="B3866">
        <v>38638</v>
      </c>
      <c r="C3866" t="s">
        <v>4536</v>
      </c>
      <c r="D3866" t="s">
        <v>226</v>
      </c>
      <c r="E3866" t="s">
        <v>659</v>
      </c>
      <c r="F3866">
        <v>258.26</v>
      </c>
      <c r="G3866">
        <v>205.3</v>
      </c>
    </row>
    <row r="3867" spans="1:7" hidden="1" x14ac:dyDescent="0.25">
      <c r="A3867" t="s">
        <v>660</v>
      </c>
      <c r="B3867">
        <v>20262</v>
      </c>
      <c r="C3867" t="s">
        <v>4537</v>
      </c>
      <c r="D3867" t="s">
        <v>226</v>
      </c>
      <c r="E3867" t="s">
        <v>659</v>
      </c>
      <c r="F3867">
        <v>18.68</v>
      </c>
      <c r="G3867">
        <v>19.96</v>
      </c>
    </row>
    <row r="3868" spans="1:7" hidden="1" x14ac:dyDescent="0.25">
      <c r="A3868" t="s">
        <v>660</v>
      </c>
      <c r="B3868">
        <v>6145</v>
      </c>
      <c r="C3868" t="s">
        <v>4538</v>
      </c>
      <c r="D3868" t="s">
        <v>226</v>
      </c>
      <c r="E3868" t="s">
        <v>659</v>
      </c>
      <c r="F3868">
        <v>20.64</v>
      </c>
      <c r="G3868">
        <v>22.05</v>
      </c>
    </row>
    <row r="3869" spans="1:7" hidden="1" x14ac:dyDescent="0.25">
      <c r="A3869" t="s">
        <v>660</v>
      </c>
      <c r="B3869">
        <v>6149</v>
      </c>
      <c r="C3869" t="s">
        <v>4539</v>
      </c>
      <c r="D3869" t="s">
        <v>226</v>
      </c>
      <c r="E3869" t="s">
        <v>659</v>
      </c>
      <c r="F3869">
        <v>13.64</v>
      </c>
      <c r="G3869">
        <v>14.58</v>
      </c>
    </row>
    <row r="3870" spans="1:7" hidden="1" x14ac:dyDescent="0.25">
      <c r="A3870" t="s">
        <v>660</v>
      </c>
      <c r="B3870">
        <v>6146</v>
      </c>
      <c r="C3870" t="s">
        <v>4540</v>
      </c>
      <c r="D3870" t="s">
        <v>226</v>
      </c>
      <c r="E3870" t="s">
        <v>659</v>
      </c>
      <c r="F3870">
        <v>19.61</v>
      </c>
      <c r="G3870">
        <v>20.95</v>
      </c>
    </row>
    <row r="3871" spans="1:7" hidden="1" x14ac:dyDescent="0.25">
      <c r="A3871" t="s">
        <v>660</v>
      </c>
      <c r="B3871">
        <v>44536</v>
      </c>
      <c r="C3871" t="s">
        <v>4541</v>
      </c>
      <c r="D3871" t="s">
        <v>708</v>
      </c>
      <c r="E3871" t="s">
        <v>659</v>
      </c>
      <c r="F3871">
        <v>2.59</v>
      </c>
      <c r="G3871">
        <v>2.95</v>
      </c>
    </row>
    <row r="3872" spans="1:7" hidden="1" x14ac:dyDescent="0.25">
      <c r="A3872" t="s">
        <v>660</v>
      </c>
      <c r="B3872">
        <v>39961</v>
      </c>
      <c r="C3872" t="s">
        <v>4542</v>
      </c>
      <c r="D3872" t="s">
        <v>226</v>
      </c>
      <c r="E3872" t="s">
        <v>659</v>
      </c>
      <c r="F3872">
        <v>20.41</v>
      </c>
      <c r="G3872">
        <v>23.23</v>
      </c>
    </row>
    <row r="3873" spans="1:7" hidden="1" x14ac:dyDescent="0.25">
      <c r="A3873" t="s">
        <v>660</v>
      </c>
      <c r="B3873">
        <v>42433</v>
      </c>
      <c r="C3873" t="s">
        <v>4543</v>
      </c>
      <c r="D3873" t="s">
        <v>226</v>
      </c>
      <c r="E3873" t="s">
        <v>659</v>
      </c>
      <c r="F3873">
        <f>G3873</f>
        <v>4789.18</v>
      </c>
      <c r="G3873" s="538">
        <v>4789.18</v>
      </c>
    </row>
    <row r="3874" spans="1:7" hidden="1" x14ac:dyDescent="0.25">
      <c r="A3874" t="s">
        <v>660</v>
      </c>
      <c r="B3874">
        <v>42434</v>
      </c>
      <c r="C3874" t="s">
        <v>4544</v>
      </c>
      <c r="D3874" t="s">
        <v>226</v>
      </c>
      <c r="E3874" t="s">
        <v>659</v>
      </c>
      <c r="F3874">
        <f>G3874</f>
        <v>5175.3999999999996</v>
      </c>
      <c r="G3874" s="538">
        <v>5175.3999999999996</v>
      </c>
    </row>
    <row r="3875" spans="1:7" hidden="1" x14ac:dyDescent="0.25">
      <c r="A3875" t="s">
        <v>660</v>
      </c>
      <c r="B3875">
        <v>42435</v>
      </c>
      <c r="C3875" t="s">
        <v>4545</v>
      </c>
      <c r="D3875" t="s">
        <v>226</v>
      </c>
      <c r="E3875" t="s">
        <v>659</v>
      </c>
      <c r="F3875">
        <f>G3875</f>
        <v>2580.7800000000002</v>
      </c>
      <c r="G3875" s="538">
        <v>2580.7800000000002</v>
      </c>
    </row>
    <row r="3876" spans="1:7" hidden="1" x14ac:dyDescent="0.25">
      <c r="A3876" t="s">
        <v>660</v>
      </c>
      <c r="B3876">
        <v>38061</v>
      </c>
      <c r="C3876" t="s">
        <v>4546</v>
      </c>
      <c r="D3876" t="s">
        <v>226</v>
      </c>
      <c r="E3876" t="s">
        <v>659</v>
      </c>
      <c r="F3876">
        <v>43.11</v>
      </c>
      <c r="G3876">
        <v>51.17</v>
      </c>
    </row>
    <row r="3877" spans="1:7" hidden="1" x14ac:dyDescent="0.25">
      <c r="A3877" t="s">
        <v>660</v>
      </c>
      <c r="B3877">
        <v>20250</v>
      </c>
      <c r="C3877" t="s">
        <v>4547</v>
      </c>
      <c r="D3877" t="s">
        <v>708</v>
      </c>
      <c r="E3877" t="s">
        <v>172</v>
      </c>
      <c r="F3877">
        <v>14.5</v>
      </c>
      <c r="G3877">
        <v>25.86</v>
      </c>
    </row>
    <row r="3878" spans="1:7" hidden="1" x14ac:dyDescent="0.25">
      <c r="A3878" t="s">
        <v>660</v>
      </c>
      <c r="B3878">
        <v>13388</v>
      </c>
      <c r="C3878" t="s">
        <v>4548</v>
      </c>
      <c r="D3878" t="s">
        <v>708</v>
      </c>
      <c r="E3878" t="s">
        <v>659</v>
      </c>
      <c r="F3878">
        <v>305.66000000000003</v>
      </c>
      <c r="G3878">
        <v>252.27</v>
      </c>
    </row>
    <row r="3879" spans="1:7" hidden="1" x14ac:dyDescent="0.25">
      <c r="A3879" t="s">
        <v>660</v>
      </c>
      <c r="B3879">
        <v>39914</v>
      </c>
      <c r="C3879" t="s">
        <v>4549</v>
      </c>
      <c r="D3879" t="s">
        <v>708</v>
      </c>
      <c r="E3879" t="s">
        <v>659</v>
      </c>
      <c r="F3879">
        <f>G3879</f>
        <v>267.45</v>
      </c>
      <c r="G3879">
        <v>267.45</v>
      </c>
    </row>
    <row r="3880" spans="1:7" hidden="1" x14ac:dyDescent="0.25">
      <c r="A3880" t="s">
        <v>660</v>
      </c>
      <c r="B3880">
        <v>12732</v>
      </c>
      <c r="C3880" t="s">
        <v>4550</v>
      </c>
      <c r="D3880" t="s">
        <v>226</v>
      </c>
      <c r="E3880" t="s">
        <v>659</v>
      </c>
      <c r="F3880">
        <f>G3880</f>
        <v>308.60000000000002</v>
      </c>
      <c r="G3880">
        <v>308.60000000000002</v>
      </c>
    </row>
    <row r="3881" spans="1:7" hidden="1" x14ac:dyDescent="0.25">
      <c r="A3881" t="s">
        <v>807</v>
      </c>
      <c r="B3881">
        <v>6160</v>
      </c>
      <c r="C3881" t="s">
        <v>4551</v>
      </c>
      <c r="D3881" t="s">
        <v>809</v>
      </c>
      <c r="E3881" t="s">
        <v>172</v>
      </c>
      <c r="F3881">
        <v>12.65</v>
      </c>
      <c r="G3881">
        <v>13.56</v>
      </c>
    </row>
    <row r="3882" spans="1:7" hidden="1" x14ac:dyDescent="0.25">
      <c r="A3882" t="s">
        <v>807</v>
      </c>
      <c r="B3882">
        <v>41087</v>
      </c>
      <c r="C3882" t="s">
        <v>4552</v>
      </c>
      <c r="D3882" t="s">
        <v>811</v>
      </c>
      <c r="E3882" t="s">
        <v>659</v>
      </c>
      <c r="F3882" s="538">
        <v>2783</v>
      </c>
      <c r="G3882" s="538">
        <v>2983.2</v>
      </c>
    </row>
    <row r="3883" spans="1:7" hidden="1" x14ac:dyDescent="0.25">
      <c r="A3883" t="s">
        <v>807</v>
      </c>
      <c r="B3883">
        <v>6166</v>
      </c>
      <c r="C3883" t="s">
        <v>4553</v>
      </c>
      <c r="D3883" t="s">
        <v>809</v>
      </c>
      <c r="E3883" t="s">
        <v>659</v>
      </c>
      <c r="F3883">
        <v>17.239999999999998</v>
      </c>
      <c r="G3883">
        <v>14.61</v>
      </c>
    </row>
    <row r="3884" spans="1:7" hidden="1" x14ac:dyDescent="0.25">
      <c r="A3884" t="s">
        <v>807</v>
      </c>
      <c r="B3884">
        <v>41088</v>
      </c>
      <c r="C3884" t="s">
        <v>4554</v>
      </c>
      <c r="D3884" t="s">
        <v>811</v>
      </c>
      <c r="E3884" t="s">
        <v>659</v>
      </c>
      <c r="F3884" s="538">
        <v>3794.62</v>
      </c>
      <c r="G3884" s="538">
        <v>3214.91</v>
      </c>
    </row>
    <row r="3885" spans="1:7" hidden="1" x14ac:dyDescent="0.25">
      <c r="A3885" t="s">
        <v>660</v>
      </c>
      <c r="B3885">
        <v>20232</v>
      </c>
      <c r="C3885" t="s">
        <v>4555</v>
      </c>
      <c r="D3885" t="s">
        <v>704</v>
      </c>
      <c r="E3885" t="s">
        <v>659</v>
      </c>
      <c r="F3885">
        <v>65.66</v>
      </c>
      <c r="G3885">
        <v>94.81</v>
      </c>
    </row>
    <row r="3886" spans="1:7" hidden="1" x14ac:dyDescent="0.25">
      <c r="A3886" t="s">
        <v>660</v>
      </c>
      <c r="B3886">
        <v>10856</v>
      </c>
      <c r="C3886" t="s">
        <v>4556</v>
      </c>
      <c r="D3886" t="s">
        <v>704</v>
      </c>
      <c r="E3886" t="s">
        <v>659</v>
      </c>
      <c r="F3886">
        <v>143.38</v>
      </c>
      <c r="G3886">
        <v>113.34</v>
      </c>
    </row>
    <row r="3887" spans="1:7" hidden="1" x14ac:dyDescent="0.25">
      <c r="A3887" t="s">
        <v>660</v>
      </c>
      <c r="B3887">
        <v>4828</v>
      </c>
      <c r="C3887" t="s">
        <v>4557</v>
      </c>
      <c r="D3887" t="s">
        <v>704</v>
      </c>
      <c r="E3887" t="s">
        <v>659</v>
      </c>
      <c r="F3887">
        <v>57.74</v>
      </c>
      <c r="G3887">
        <v>94.94</v>
      </c>
    </row>
    <row r="3888" spans="1:7" hidden="1" x14ac:dyDescent="0.25">
      <c r="A3888" t="s">
        <v>660</v>
      </c>
      <c r="B3888">
        <v>20249</v>
      </c>
      <c r="C3888" t="s">
        <v>4558</v>
      </c>
      <c r="D3888" t="s">
        <v>704</v>
      </c>
      <c r="E3888" t="s">
        <v>659</v>
      </c>
      <c r="F3888">
        <v>31.62</v>
      </c>
      <c r="G3888">
        <v>51.99</v>
      </c>
    </row>
    <row r="3889" spans="1:7" hidden="1" x14ac:dyDescent="0.25">
      <c r="A3889" t="s">
        <v>660</v>
      </c>
      <c r="B3889">
        <v>11609</v>
      </c>
      <c r="C3889" t="s">
        <v>4559</v>
      </c>
      <c r="D3889" t="s">
        <v>710</v>
      </c>
      <c r="E3889" t="s">
        <v>659</v>
      </c>
      <c r="F3889">
        <v>10.87</v>
      </c>
      <c r="G3889">
        <v>12.38</v>
      </c>
    </row>
    <row r="3890" spans="1:7" hidden="1" x14ac:dyDescent="0.25">
      <c r="A3890" t="s">
        <v>660</v>
      </c>
      <c r="B3890">
        <v>20083</v>
      </c>
      <c r="C3890" t="s">
        <v>4560</v>
      </c>
      <c r="D3890" t="s">
        <v>226</v>
      </c>
      <c r="E3890" t="s">
        <v>659</v>
      </c>
      <c r="F3890">
        <v>83.51</v>
      </c>
      <c r="G3890">
        <v>68.86</v>
      </c>
    </row>
    <row r="3891" spans="1:7" hidden="1" x14ac:dyDescent="0.25">
      <c r="A3891" t="s">
        <v>660</v>
      </c>
      <c r="B3891">
        <v>10691</v>
      </c>
      <c r="C3891" t="s">
        <v>4561</v>
      </c>
      <c r="D3891" t="s">
        <v>710</v>
      </c>
      <c r="E3891" t="s">
        <v>659</v>
      </c>
      <c r="F3891">
        <f>G3891</f>
        <v>51.85</v>
      </c>
      <c r="G3891">
        <v>51.85</v>
      </c>
    </row>
    <row r="3892" spans="1:7" hidden="1" x14ac:dyDescent="0.25">
      <c r="A3892" t="s">
        <v>660</v>
      </c>
      <c r="B3892">
        <v>12295</v>
      </c>
      <c r="C3892" t="s">
        <v>4562</v>
      </c>
      <c r="D3892" t="s">
        <v>226</v>
      </c>
      <c r="E3892" t="s">
        <v>659</v>
      </c>
      <c r="F3892">
        <v>2.92</v>
      </c>
      <c r="G3892">
        <v>2.84</v>
      </c>
    </row>
    <row r="3893" spans="1:7" hidden="1" x14ac:dyDescent="0.25">
      <c r="A3893" t="s">
        <v>660</v>
      </c>
      <c r="B3893">
        <v>12296</v>
      </c>
      <c r="C3893" t="s">
        <v>4563</v>
      </c>
      <c r="D3893" t="s">
        <v>226</v>
      </c>
      <c r="E3893" t="s">
        <v>659</v>
      </c>
      <c r="F3893">
        <v>3.77</v>
      </c>
      <c r="G3893">
        <v>3.68</v>
      </c>
    </row>
    <row r="3894" spans="1:7" hidden="1" x14ac:dyDescent="0.25">
      <c r="A3894" t="s">
        <v>660</v>
      </c>
      <c r="B3894">
        <v>12294</v>
      </c>
      <c r="C3894" t="s">
        <v>4564</v>
      </c>
      <c r="D3894" t="s">
        <v>226</v>
      </c>
      <c r="E3894" t="s">
        <v>659</v>
      </c>
      <c r="F3894">
        <v>9.07</v>
      </c>
      <c r="G3894">
        <v>8.83</v>
      </c>
    </row>
    <row r="3895" spans="1:7" hidden="1" x14ac:dyDescent="0.25">
      <c r="A3895" t="s">
        <v>660</v>
      </c>
      <c r="B3895">
        <v>14543</v>
      </c>
      <c r="C3895" t="s">
        <v>4565</v>
      </c>
      <c r="D3895" t="s">
        <v>226</v>
      </c>
      <c r="E3895" t="s">
        <v>659</v>
      </c>
      <c r="F3895">
        <v>6.47</v>
      </c>
      <c r="G3895">
        <v>6.3</v>
      </c>
    </row>
    <row r="3896" spans="1:7" hidden="1" x14ac:dyDescent="0.25">
      <c r="A3896" t="s">
        <v>660</v>
      </c>
      <c r="B3896">
        <v>13329</v>
      </c>
      <c r="C3896" t="s">
        <v>4566</v>
      </c>
      <c r="D3896" t="s">
        <v>226</v>
      </c>
      <c r="E3896" t="s">
        <v>172</v>
      </c>
      <c r="F3896">
        <v>3.8</v>
      </c>
      <c r="G3896">
        <v>3.7</v>
      </c>
    </row>
    <row r="3897" spans="1:7" hidden="1" x14ac:dyDescent="0.25">
      <c r="A3897" t="s">
        <v>660</v>
      </c>
      <c r="B3897">
        <v>21047</v>
      </c>
      <c r="C3897" t="s">
        <v>4567</v>
      </c>
      <c r="D3897" t="s">
        <v>226</v>
      </c>
      <c r="E3897" t="s">
        <v>659</v>
      </c>
      <c r="F3897">
        <v>57.25</v>
      </c>
      <c r="G3897">
        <v>55.29</v>
      </c>
    </row>
    <row r="3898" spans="1:7" hidden="1" x14ac:dyDescent="0.25">
      <c r="A3898" t="s">
        <v>660</v>
      </c>
      <c r="B3898">
        <v>21042</v>
      </c>
      <c r="C3898" t="s">
        <v>4568</v>
      </c>
      <c r="D3898" t="s">
        <v>226</v>
      </c>
      <c r="E3898" t="s">
        <v>659</v>
      </c>
      <c r="F3898">
        <v>44.13</v>
      </c>
      <c r="G3898">
        <v>42.62</v>
      </c>
    </row>
    <row r="3899" spans="1:7" hidden="1" x14ac:dyDescent="0.25">
      <c r="A3899" t="s">
        <v>660</v>
      </c>
      <c r="B3899">
        <v>21043</v>
      </c>
      <c r="C3899" t="s">
        <v>4569</v>
      </c>
      <c r="D3899" t="s">
        <v>226</v>
      </c>
      <c r="E3899" t="s">
        <v>659</v>
      </c>
      <c r="F3899">
        <v>55.74</v>
      </c>
      <c r="G3899">
        <v>53.83</v>
      </c>
    </row>
    <row r="3900" spans="1:7" hidden="1" x14ac:dyDescent="0.25">
      <c r="A3900" t="s">
        <v>660</v>
      </c>
      <c r="B3900">
        <v>21044</v>
      </c>
      <c r="C3900" t="s">
        <v>4570</v>
      </c>
      <c r="D3900" t="s">
        <v>226</v>
      </c>
      <c r="E3900" t="s">
        <v>659</v>
      </c>
      <c r="F3900">
        <v>38.83</v>
      </c>
      <c r="G3900">
        <v>37.5</v>
      </c>
    </row>
    <row r="3901" spans="1:7" hidden="1" x14ac:dyDescent="0.25">
      <c r="A3901" t="s">
        <v>660</v>
      </c>
      <c r="B3901">
        <v>21045</v>
      </c>
      <c r="C3901" t="s">
        <v>4571</v>
      </c>
      <c r="D3901" t="s">
        <v>226</v>
      </c>
      <c r="E3901" t="s">
        <v>659</v>
      </c>
      <c r="F3901">
        <v>53.19</v>
      </c>
      <c r="G3901">
        <v>51.37</v>
      </c>
    </row>
    <row r="3902" spans="1:7" hidden="1" x14ac:dyDescent="0.25">
      <c r="A3902" t="s">
        <v>660</v>
      </c>
      <c r="B3902">
        <v>21041</v>
      </c>
      <c r="C3902" t="s">
        <v>4572</v>
      </c>
      <c r="D3902" t="s">
        <v>226</v>
      </c>
      <c r="E3902" t="s">
        <v>659</v>
      </c>
      <c r="F3902">
        <v>45.87</v>
      </c>
      <c r="G3902">
        <v>44.3</v>
      </c>
    </row>
    <row r="3903" spans="1:7" hidden="1" x14ac:dyDescent="0.25">
      <c r="A3903" t="s">
        <v>660</v>
      </c>
      <c r="B3903">
        <v>21040</v>
      </c>
      <c r="C3903" t="s">
        <v>4573</v>
      </c>
      <c r="D3903" t="s">
        <v>226</v>
      </c>
      <c r="E3903" t="s">
        <v>172</v>
      </c>
      <c r="F3903">
        <v>38</v>
      </c>
      <c r="G3903">
        <v>36.700000000000003</v>
      </c>
    </row>
    <row r="3904" spans="1:7" hidden="1" x14ac:dyDescent="0.25">
      <c r="A3904" t="s">
        <v>660</v>
      </c>
      <c r="B3904">
        <v>14149</v>
      </c>
      <c r="C3904" t="s">
        <v>4574</v>
      </c>
      <c r="D3904" t="s">
        <v>2748</v>
      </c>
      <c r="E3904" t="s">
        <v>659</v>
      </c>
      <c r="F3904">
        <v>418.17</v>
      </c>
      <c r="G3904">
        <v>197.93</v>
      </c>
    </row>
    <row r="3905" spans="1:7" hidden="1" x14ac:dyDescent="0.25">
      <c r="A3905" t="s">
        <v>660</v>
      </c>
      <c r="B3905">
        <v>38099</v>
      </c>
      <c r="C3905" t="s">
        <v>4575</v>
      </c>
      <c r="D3905" t="s">
        <v>226</v>
      </c>
      <c r="E3905" t="s">
        <v>659</v>
      </c>
      <c r="F3905">
        <v>1.4</v>
      </c>
      <c r="G3905">
        <v>1.54</v>
      </c>
    </row>
    <row r="3906" spans="1:7" hidden="1" x14ac:dyDescent="0.25">
      <c r="A3906" t="s">
        <v>660</v>
      </c>
      <c r="B3906">
        <v>38100</v>
      </c>
      <c r="C3906" t="s">
        <v>4576</v>
      </c>
      <c r="D3906" t="s">
        <v>226</v>
      </c>
      <c r="E3906" t="s">
        <v>659</v>
      </c>
      <c r="F3906">
        <v>2.29</v>
      </c>
      <c r="G3906">
        <v>2.52</v>
      </c>
    </row>
    <row r="3907" spans="1:7" hidden="1" x14ac:dyDescent="0.25">
      <c r="A3907" t="s">
        <v>660</v>
      </c>
      <c r="B3907">
        <v>7576</v>
      </c>
      <c r="C3907" t="s">
        <v>4577</v>
      </c>
      <c r="D3907" t="s">
        <v>226</v>
      </c>
      <c r="E3907" t="s">
        <v>659</v>
      </c>
      <c r="F3907">
        <f>G3907</f>
        <v>141.30000000000001</v>
      </c>
      <c r="G3907">
        <v>141.30000000000001</v>
      </c>
    </row>
    <row r="3908" spans="1:7" hidden="1" x14ac:dyDescent="0.25">
      <c r="A3908" t="s">
        <v>660</v>
      </c>
      <c r="B3908">
        <v>3384</v>
      </c>
      <c r="C3908" t="s">
        <v>4578</v>
      </c>
      <c r="D3908" t="s">
        <v>226</v>
      </c>
      <c r="E3908" t="s">
        <v>659</v>
      </c>
      <c r="F3908">
        <v>11.35</v>
      </c>
      <c r="G3908">
        <v>8.36</v>
      </c>
    </row>
    <row r="3909" spans="1:7" hidden="1" x14ac:dyDescent="0.25">
      <c r="A3909" t="s">
        <v>660</v>
      </c>
      <c r="B3909">
        <v>7572</v>
      </c>
      <c r="C3909" t="s">
        <v>4579</v>
      </c>
      <c r="D3909" t="s">
        <v>226</v>
      </c>
      <c r="E3909" t="s">
        <v>659</v>
      </c>
      <c r="F3909">
        <v>7.05</v>
      </c>
      <c r="G3909">
        <v>8.36</v>
      </c>
    </row>
    <row r="3910" spans="1:7" hidden="1" x14ac:dyDescent="0.25">
      <c r="A3910" t="s">
        <v>660</v>
      </c>
      <c r="B3910">
        <v>3396</v>
      </c>
      <c r="C3910" t="s">
        <v>4580</v>
      </c>
      <c r="D3910" t="s">
        <v>226</v>
      </c>
      <c r="E3910" t="s">
        <v>659</v>
      </c>
      <c r="F3910">
        <v>4.76</v>
      </c>
      <c r="G3910">
        <v>5.65</v>
      </c>
    </row>
    <row r="3911" spans="1:7" hidden="1" x14ac:dyDescent="0.25">
      <c r="A3911" t="s">
        <v>660</v>
      </c>
      <c r="B3911">
        <v>45230</v>
      </c>
      <c r="C3911" t="s">
        <v>4581</v>
      </c>
      <c r="D3911" t="s">
        <v>226</v>
      </c>
      <c r="E3911" t="s">
        <v>659</v>
      </c>
      <c r="F3911">
        <v>44.59</v>
      </c>
      <c r="G3911">
        <v>42.54</v>
      </c>
    </row>
    <row r="3912" spans="1:7" hidden="1" x14ac:dyDescent="0.25">
      <c r="A3912" t="s">
        <v>660</v>
      </c>
      <c r="B3912">
        <v>37590</v>
      </c>
      <c r="C3912" t="s">
        <v>4582</v>
      </c>
      <c r="D3912" t="s">
        <v>226</v>
      </c>
      <c r="E3912" t="s">
        <v>659</v>
      </c>
      <c r="F3912">
        <f>G3912</f>
        <v>16.86</v>
      </c>
      <c r="G3912">
        <v>16.86</v>
      </c>
    </row>
    <row r="3913" spans="1:7" hidden="1" x14ac:dyDescent="0.25">
      <c r="A3913" t="s">
        <v>660</v>
      </c>
      <c r="B3913">
        <v>37591</v>
      </c>
      <c r="C3913" t="s">
        <v>4583</v>
      </c>
      <c r="D3913" t="s">
        <v>226</v>
      </c>
      <c r="E3913" t="s">
        <v>659</v>
      </c>
      <c r="F3913">
        <f>G3913</f>
        <v>20.27</v>
      </c>
      <c r="G3913">
        <v>20.27</v>
      </c>
    </row>
    <row r="3914" spans="1:7" x14ac:dyDescent="0.25">
      <c r="A3914" t="s">
        <v>660</v>
      </c>
      <c r="B3914">
        <v>12626</v>
      </c>
      <c r="C3914" t="s">
        <v>4584</v>
      </c>
      <c r="D3914" t="s">
        <v>226</v>
      </c>
      <c r="E3914" t="s">
        <v>659</v>
      </c>
      <c r="F3914">
        <v>42.88</v>
      </c>
      <c r="G3914">
        <v>44.34</v>
      </c>
    </row>
    <row r="3915" spans="1:7" x14ac:dyDescent="0.25">
      <c r="A3915" t="s">
        <v>660</v>
      </c>
      <c r="B3915">
        <v>11033</v>
      </c>
      <c r="C3915" t="s">
        <v>4585</v>
      </c>
      <c r="D3915" t="s">
        <v>226</v>
      </c>
      <c r="E3915" t="s">
        <v>659</v>
      </c>
      <c r="F3915">
        <v>7.12</v>
      </c>
      <c r="G3915">
        <v>7.75</v>
      </c>
    </row>
    <row r="3916" spans="1:7" hidden="1" x14ac:dyDescent="0.25">
      <c r="A3916" t="s">
        <v>660</v>
      </c>
      <c r="B3916">
        <v>390</v>
      </c>
      <c r="C3916" t="s">
        <v>4586</v>
      </c>
      <c r="D3916" t="s">
        <v>226</v>
      </c>
      <c r="E3916" t="s">
        <v>659</v>
      </c>
      <c r="F3916">
        <v>8.6199999999999992</v>
      </c>
      <c r="G3916">
        <v>10.23</v>
      </c>
    </row>
    <row r="3917" spans="1:7" hidden="1" x14ac:dyDescent="0.25">
      <c r="A3917" t="s">
        <v>660</v>
      </c>
      <c r="B3917">
        <v>42436</v>
      </c>
      <c r="C3917" t="s">
        <v>4587</v>
      </c>
      <c r="D3917" t="s">
        <v>226</v>
      </c>
      <c r="E3917" t="s">
        <v>659</v>
      </c>
      <c r="F3917">
        <f>G3917</f>
        <v>2701.34</v>
      </c>
      <c r="G3917" s="538">
        <v>2701.34</v>
      </c>
    </row>
    <row r="3918" spans="1:7" hidden="1" x14ac:dyDescent="0.25">
      <c r="A3918" t="s">
        <v>660</v>
      </c>
      <c r="B3918">
        <v>6194</v>
      </c>
      <c r="C3918" t="s">
        <v>4588</v>
      </c>
      <c r="D3918" t="s">
        <v>704</v>
      </c>
      <c r="E3918" t="s">
        <v>659</v>
      </c>
      <c r="F3918">
        <v>5.62</v>
      </c>
      <c r="G3918">
        <v>5.81</v>
      </c>
    </row>
    <row r="3919" spans="1:7" hidden="1" x14ac:dyDescent="0.25">
      <c r="A3919" t="s">
        <v>660</v>
      </c>
      <c r="B3919">
        <v>10567</v>
      </c>
      <c r="C3919" t="s">
        <v>4589</v>
      </c>
      <c r="D3919" t="s">
        <v>704</v>
      </c>
      <c r="E3919" t="s">
        <v>659</v>
      </c>
      <c r="F3919">
        <v>8.91</v>
      </c>
      <c r="G3919">
        <v>9.1999999999999993</v>
      </c>
    </row>
    <row r="3920" spans="1:7" hidden="1" x14ac:dyDescent="0.25">
      <c r="A3920" t="s">
        <v>660</v>
      </c>
      <c r="B3920">
        <v>6212</v>
      </c>
      <c r="C3920" t="s">
        <v>4590</v>
      </c>
      <c r="D3920" t="s">
        <v>704</v>
      </c>
      <c r="E3920" t="s">
        <v>172</v>
      </c>
      <c r="F3920">
        <v>13.07</v>
      </c>
      <c r="G3920">
        <v>13.5</v>
      </c>
    </row>
    <row r="3921" spans="1:7" hidden="1" x14ac:dyDescent="0.25">
      <c r="A3921" t="s">
        <v>660</v>
      </c>
      <c r="B3921">
        <v>3993</v>
      </c>
      <c r="C3921" t="s">
        <v>4591</v>
      </c>
      <c r="D3921" t="s">
        <v>498</v>
      </c>
      <c r="E3921" t="s">
        <v>659</v>
      </c>
      <c r="F3921">
        <v>164.41</v>
      </c>
      <c r="G3921">
        <v>148.61000000000001</v>
      </c>
    </row>
    <row r="3922" spans="1:7" hidden="1" x14ac:dyDescent="0.25">
      <c r="A3922" t="s">
        <v>660</v>
      </c>
      <c r="B3922">
        <v>3990</v>
      </c>
      <c r="C3922" t="s">
        <v>4592</v>
      </c>
      <c r="D3922" t="s">
        <v>704</v>
      </c>
      <c r="E3922" t="s">
        <v>659</v>
      </c>
      <c r="F3922">
        <v>30.93</v>
      </c>
      <c r="G3922">
        <v>27.96</v>
      </c>
    </row>
    <row r="3923" spans="1:7" hidden="1" x14ac:dyDescent="0.25">
      <c r="A3923" t="s">
        <v>660</v>
      </c>
      <c r="B3923">
        <v>3992</v>
      </c>
      <c r="C3923" t="s">
        <v>4593</v>
      </c>
      <c r="D3923" t="s">
        <v>704</v>
      </c>
      <c r="E3923" t="s">
        <v>659</v>
      </c>
      <c r="F3923">
        <v>41.76</v>
      </c>
      <c r="G3923">
        <v>37.75</v>
      </c>
    </row>
    <row r="3924" spans="1:7" hidden="1" x14ac:dyDescent="0.25">
      <c r="A3924" t="s">
        <v>660</v>
      </c>
      <c r="B3924">
        <v>6178</v>
      </c>
      <c r="C3924" t="s">
        <v>4594</v>
      </c>
      <c r="D3924" t="s">
        <v>498</v>
      </c>
      <c r="E3924" t="s">
        <v>659</v>
      </c>
      <c r="F3924">
        <f>G3924</f>
        <v>450.31</v>
      </c>
      <c r="G3924">
        <v>450.31</v>
      </c>
    </row>
    <row r="3925" spans="1:7" hidden="1" x14ac:dyDescent="0.25">
      <c r="A3925" t="s">
        <v>660</v>
      </c>
      <c r="B3925">
        <v>6180</v>
      </c>
      <c r="C3925" t="s">
        <v>4595</v>
      </c>
      <c r="D3925" t="s">
        <v>498</v>
      </c>
      <c r="E3925" t="s">
        <v>172</v>
      </c>
      <c r="F3925">
        <f>G3925</f>
        <v>486</v>
      </c>
      <c r="G3925">
        <v>486</v>
      </c>
    </row>
    <row r="3926" spans="1:7" hidden="1" x14ac:dyDescent="0.25">
      <c r="A3926" t="s">
        <v>660</v>
      </c>
      <c r="B3926">
        <v>6182</v>
      </c>
      <c r="C3926" t="s">
        <v>4596</v>
      </c>
      <c r="D3926" t="s">
        <v>498</v>
      </c>
      <c r="E3926" t="s">
        <v>659</v>
      </c>
      <c r="F3926">
        <f>G3926</f>
        <v>603.25</v>
      </c>
      <c r="G3926">
        <v>603.25</v>
      </c>
    </row>
    <row r="3927" spans="1:7" hidden="1" x14ac:dyDescent="0.25">
      <c r="A3927" t="s">
        <v>660</v>
      </c>
      <c r="B3927">
        <v>43614</v>
      </c>
      <c r="C3927" t="s">
        <v>4597</v>
      </c>
      <c r="D3927" t="s">
        <v>704</v>
      </c>
      <c r="E3927" t="s">
        <v>659</v>
      </c>
      <c r="F3927">
        <v>20.9</v>
      </c>
      <c r="G3927">
        <v>18.89</v>
      </c>
    </row>
    <row r="3928" spans="1:7" hidden="1" x14ac:dyDescent="0.25">
      <c r="A3928" t="s">
        <v>660</v>
      </c>
      <c r="B3928">
        <v>6193</v>
      </c>
      <c r="C3928" t="s">
        <v>4598</v>
      </c>
      <c r="D3928" t="s">
        <v>704</v>
      </c>
      <c r="E3928" t="s">
        <v>659</v>
      </c>
      <c r="F3928">
        <v>25.43</v>
      </c>
      <c r="G3928">
        <v>22.99</v>
      </c>
    </row>
    <row r="3929" spans="1:7" hidden="1" x14ac:dyDescent="0.25">
      <c r="A3929" t="s">
        <v>660</v>
      </c>
      <c r="B3929">
        <v>6189</v>
      </c>
      <c r="C3929" t="s">
        <v>4599</v>
      </c>
      <c r="D3929" t="s">
        <v>704</v>
      </c>
      <c r="E3929" t="s">
        <v>659</v>
      </c>
      <c r="F3929">
        <v>37.119999999999997</v>
      </c>
      <c r="G3929">
        <v>33.549999999999997</v>
      </c>
    </row>
    <row r="3930" spans="1:7" hidden="1" x14ac:dyDescent="0.25">
      <c r="A3930" t="s">
        <v>660</v>
      </c>
      <c r="B3930">
        <v>6214</v>
      </c>
      <c r="C3930" t="s">
        <v>4600</v>
      </c>
      <c r="D3930" t="s">
        <v>498</v>
      </c>
      <c r="E3930" t="s">
        <v>659</v>
      </c>
      <c r="F3930">
        <f>G3930</f>
        <v>282.08</v>
      </c>
      <c r="G3930">
        <v>282.08</v>
      </c>
    </row>
    <row r="3931" spans="1:7" hidden="1" x14ac:dyDescent="0.25">
      <c r="A3931" t="s">
        <v>660</v>
      </c>
      <c r="B3931">
        <v>36153</v>
      </c>
      <c r="C3931" t="s">
        <v>4601</v>
      </c>
      <c r="D3931" t="s">
        <v>226</v>
      </c>
      <c r="E3931" t="s">
        <v>659</v>
      </c>
      <c r="F3931">
        <v>195.68</v>
      </c>
      <c r="G3931">
        <v>219.15</v>
      </c>
    </row>
    <row r="3932" spans="1:7" hidden="1" x14ac:dyDescent="0.25">
      <c r="A3932" t="s">
        <v>842</v>
      </c>
      <c r="B3932">
        <v>10740</v>
      </c>
      <c r="C3932" t="s">
        <v>4602</v>
      </c>
      <c r="D3932" t="s">
        <v>226</v>
      </c>
      <c r="E3932" t="s">
        <v>659</v>
      </c>
      <c r="F3932" s="538">
        <v>8035.71</v>
      </c>
      <c r="G3932" s="538">
        <v>10352.32</v>
      </c>
    </row>
    <row r="3933" spans="1:7" hidden="1" x14ac:dyDescent="0.25">
      <c r="A3933" t="s">
        <v>842</v>
      </c>
      <c r="B3933">
        <v>13914</v>
      </c>
      <c r="C3933" t="s">
        <v>4603</v>
      </c>
      <c r="D3933" t="s">
        <v>226</v>
      </c>
      <c r="E3933" t="s">
        <v>659</v>
      </c>
      <c r="F3933">
        <v>581.41</v>
      </c>
      <c r="G3933">
        <v>749.03</v>
      </c>
    </row>
    <row r="3934" spans="1:7" hidden="1" x14ac:dyDescent="0.25">
      <c r="A3934" t="s">
        <v>842</v>
      </c>
      <c r="B3934">
        <v>10742</v>
      </c>
      <c r="C3934" t="s">
        <v>4604</v>
      </c>
      <c r="D3934" t="s">
        <v>226</v>
      </c>
      <c r="E3934" t="s">
        <v>172</v>
      </c>
      <c r="F3934">
        <v>848</v>
      </c>
      <c r="G3934" s="538">
        <v>1092.47</v>
      </c>
    </row>
    <row r="3935" spans="1:7" hidden="1" x14ac:dyDescent="0.25">
      <c r="A3935" t="s">
        <v>660</v>
      </c>
      <c r="B3935">
        <v>45239</v>
      </c>
      <c r="C3935" t="s">
        <v>4605</v>
      </c>
      <c r="D3935" t="s">
        <v>226</v>
      </c>
      <c r="E3935" t="s">
        <v>659</v>
      </c>
      <c r="F3935">
        <v>30.08</v>
      </c>
      <c r="G3935">
        <v>26</v>
      </c>
    </row>
    <row r="3936" spans="1:7" hidden="1" x14ac:dyDescent="0.25">
      <c r="A3936" t="s">
        <v>660</v>
      </c>
      <c r="B3936">
        <v>38465</v>
      </c>
      <c r="C3936" t="s">
        <v>4606</v>
      </c>
      <c r="D3936" t="s">
        <v>226</v>
      </c>
      <c r="E3936" t="s">
        <v>659</v>
      </c>
      <c r="F3936">
        <v>83.11</v>
      </c>
      <c r="G3936">
        <v>71.849999999999994</v>
      </c>
    </row>
    <row r="3937" spans="1:7" hidden="1" x14ac:dyDescent="0.25">
      <c r="A3937" t="s">
        <v>660</v>
      </c>
      <c r="B3937">
        <v>7543</v>
      </c>
      <c r="C3937" t="s">
        <v>4607</v>
      </c>
      <c r="D3937" t="s">
        <v>226</v>
      </c>
      <c r="E3937" t="s">
        <v>659</v>
      </c>
      <c r="F3937">
        <v>6.52</v>
      </c>
      <c r="G3937">
        <v>4.2300000000000004</v>
      </c>
    </row>
    <row r="3938" spans="1:7" hidden="1" x14ac:dyDescent="0.25">
      <c r="A3938" t="s">
        <v>660</v>
      </c>
      <c r="B3938">
        <v>43427</v>
      </c>
      <c r="C3938" t="s">
        <v>4608</v>
      </c>
      <c r="D3938" t="s">
        <v>226</v>
      </c>
      <c r="E3938" t="s">
        <v>659</v>
      </c>
      <c r="F3938" s="538">
        <v>1904.68</v>
      </c>
      <c r="G3938" s="538">
        <v>2463.9299999999998</v>
      </c>
    </row>
    <row r="3939" spans="1:7" hidden="1" x14ac:dyDescent="0.25">
      <c r="A3939" t="s">
        <v>660</v>
      </c>
      <c r="B3939">
        <v>41613</v>
      </c>
      <c r="C3939" t="s">
        <v>4609</v>
      </c>
      <c r="D3939" t="s">
        <v>226</v>
      </c>
      <c r="E3939" t="s">
        <v>659</v>
      </c>
      <c r="F3939">
        <v>122.43</v>
      </c>
      <c r="G3939">
        <v>158.38</v>
      </c>
    </row>
    <row r="3940" spans="1:7" hidden="1" x14ac:dyDescent="0.25">
      <c r="A3940" t="s">
        <v>660</v>
      </c>
      <c r="B3940">
        <v>41614</v>
      </c>
      <c r="C3940" t="s">
        <v>4610</v>
      </c>
      <c r="D3940" t="s">
        <v>226</v>
      </c>
      <c r="E3940" t="s">
        <v>659</v>
      </c>
      <c r="F3940">
        <v>156</v>
      </c>
      <c r="G3940">
        <v>201.81</v>
      </c>
    </row>
    <row r="3941" spans="1:7" hidden="1" x14ac:dyDescent="0.25">
      <c r="A3941" t="s">
        <v>660</v>
      </c>
      <c r="B3941">
        <v>41615</v>
      </c>
      <c r="C3941" t="s">
        <v>4611</v>
      </c>
      <c r="D3941" t="s">
        <v>226</v>
      </c>
      <c r="E3941" t="s">
        <v>659</v>
      </c>
      <c r="F3941">
        <v>241.12</v>
      </c>
      <c r="G3941">
        <v>311.91000000000003</v>
      </c>
    </row>
    <row r="3942" spans="1:7" hidden="1" x14ac:dyDescent="0.25">
      <c r="A3942" t="s">
        <v>660</v>
      </c>
      <c r="B3942">
        <v>41616</v>
      </c>
      <c r="C3942" t="s">
        <v>4612</v>
      </c>
      <c r="D3942" t="s">
        <v>226</v>
      </c>
      <c r="E3942" t="s">
        <v>659</v>
      </c>
      <c r="F3942">
        <v>360.27</v>
      </c>
      <c r="G3942">
        <v>466.05</v>
      </c>
    </row>
    <row r="3943" spans="1:7" hidden="1" x14ac:dyDescent="0.25">
      <c r="A3943" t="s">
        <v>660</v>
      </c>
      <c r="B3943">
        <v>41617</v>
      </c>
      <c r="C3943" t="s">
        <v>4613</v>
      </c>
      <c r="D3943" t="s">
        <v>226</v>
      </c>
      <c r="E3943" t="s">
        <v>659</v>
      </c>
      <c r="F3943">
        <v>716.35</v>
      </c>
      <c r="G3943">
        <v>926.68</v>
      </c>
    </row>
    <row r="3944" spans="1:7" hidden="1" x14ac:dyDescent="0.25">
      <c r="A3944" t="s">
        <v>660</v>
      </c>
      <c r="B3944">
        <v>41618</v>
      </c>
      <c r="C3944" t="s">
        <v>4614</v>
      </c>
      <c r="D3944" t="s">
        <v>226</v>
      </c>
      <c r="E3944" t="s">
        <v>659</v>
      </c>
      <c r="F3944" s="538">
        <v>1318.76</v>
      </c>
      <c r="G3944" s="538">
        <v>1705.97</v>
      </c>
    </row>
    <row r="3945" spans="1:7" hidden="1" x14ac:dyDescent="0.25">
      <c r="A3945" t="s">
        <v>660</v>
      </c>
      <c r="B3945">
        <v>43428</v>
      </c>
      <c r="C3945" t="s">
        <v>4615</v>
      </c>
      <c r="D3945" t="s">
        <v>226</v>
      </c>
      <c r="E3945" t="s">
        <v>659</v>
      </c>
      <c r="F3945" s="538">
        <v>2316.42</v>
      </c>
      <c r="G3945" s="538">
        <v>2996.57</v>
      </c>
    </row>
    <row r="3946" spans="1:7" hidden="1" x14ac:dyDescent="0.25">
      <c r="A3946" t="s">
        <v>660</v>
      </c>
      <c r="B3946">
        <v>41619</v>
      </c>
      <c r="C3946" t="s">
        <v>4616</v>
      </c>
      <c r="D3946" t="s">
        <v>226</v>
      </c>
      <c r="E3946" t="s">
        <v>659</v>
      </c>
      <c r="F3946">
        <v>150.08000000000001</v>
      </c>
      <c r="G3946">
        <v>194.15</v>
      </c>
    </row>
    <row r="3947" spans="1:7" hidden="1" x14ac:dyDescent="0.25">
      <c r="A3947" t="s">
        <v>660</v>
      </c>
      <c r="B3947">
        <v>41620</v>
      </c>
      <c r="C3947" t="s">
        <v>4617</v>
      </c>
      <c r="D3947" t="s">
        <v>226</v>
      </c>
      <c r="E3947" t="s">
        <v>659</v>
      </c>
      <c r="F3947">
        <v>189.57</v>
      </c>
      <c r="G3947">
        <v>245.24</v>
      </c>
    </row>
    <row r="3948" spans="1:7" hidden="1" x14ac:dyDescent="0.25">
      <c r="A3948" t="s">
        <v>660</v>
      </c>
      <c r="B3948">
        <v>41622</v>
      </c>
      <c r="C3948" t="s">
        <v>4618</v>
      </c>
      <c r="D3948" t="s">
        <v>226</v>
      </c>
      <c r="E3948" t="s">
        <v>659</v>
      </c>
      <c r="F3948">
        <v>328.8</v>
      </c>
      <c r="G3948">
        <v>425.34</v>
      </c>
    </row>
    <row r="3949" spans="1:7" hidden="1" x14ac:dyDescent="0.25">
      <c r="A3949" t="s">
        <v>660</v>
      </c>
      <c r="B3949">
        <v>41623</v>
      </c>
      <c r="C3949" t="s">
        <v>4619</v>
      </c>
      <c r="D3949" t="s">
        <v>226</v>
      </c>
      <c r="E3949" t="s">
        <v>659</v>
      </c>
      <c r="F3949">
        <v>505.54</v>
      </c>
      <c r="G3949">
        <v>653.98</v>
      </c>
    </row>
    <row r="3950" spans="1:7" hidden="1" x14ac:dyDescent="0.25">
      <c r="A3950" t="s">
        <v>660</v>
      </c>
      <c r="B3950">
        <v>41624</v>
      </c>
      <c r="C3950" t="s">
        <v>4620</v>
      </c>
      <c r="D3950" t="s">
        <v>226</v>
      </c>
      <c r="E3950" t="s">
        <v>659</v>
      </c>
      <c r="F3950">
        <v>947.89</v>
      </c>
      <c r="G3950" s="538">
        <v>1226.21</v>
      </c>
    </row>
    <row r="3951" spans="1:7" hidden="1" x14ac:dyDescent="0.25">
      <c r="A3951" t="s">
        <v>660</v>
      </c>
      <c r="B3951">
        <v>41625</v>
      </c>
      <c r="C3951" t="s">
        <v>4621</v>
      </c>
      <c r="D3951" t="s">
        <v>226</v>
      </c>
      <c r="E3951" t="s">
        <v>659</v>
      </c>
      <c r="F3951" s="538">
        <v>1458.38</v>
      </c>
      <c r="G3951" s="538">
        <v>1886.58</v>
      </c>
    </row>
    <row r="3952" spans="1:7" hidden="1" x14ac:dyDescent="0.25">
      <c r="A3952" t="s">
        <v>660</v>
      </c>
      <c r="B3952">
        <v>39346</v>
      </c>
      <c r="C3952" t="s">
        <v>4622</v>
      </c>
      <c r="D3952" t="s">
        <v>226</v>
      </c>
      <c r="E3952" t="s">
        <v>659</v>
      </c>
      <c r="F3952">
        <v>4.0199999999999996</v>
      </c>
      <c r="G3952">
        <v>2.61</v>
      </c>
    </row>
    <row r="3953" spans="1:7" hidden="1" x14ac:dyDescent="0.25">
      <c r="A3953" t="s">
        <v>660</v>
      </c>
      <c r="B3953">
        <v>39350</v>
      </c>
      <c r="C3953" t="s">
        <v>4623</v>
      </c>
      <c r="D3953" t="s">
        <v>226</v>
      </c>
      <c r="E3953" t="s">
        <v>659</v>
      </c>
      <c r="F3953">
        <v>4.33</v>
      </c>
      <c r="G3953">
        <v>2.81</v>
      </c>
    </row>
    <row r="3954" spans="1:7" hidden="1" x14ac:dyDescent="0.25">
      <c r="A3954" t="s">
        <v>660</v>
      </c>
      <c r="B3954">
        <v>39351</v>
      </c>
      <c r="C3954" t="s">
        <v>4624</v>
      </c>
      <c r="D3954" t="s">
        <v>226</v>
      </c>
      <c r="E3954" t="s">
        <v>659</v>
      </c>
      <c r="F3954">
        <v>5.01</v>
      </c>
      <c r="G3954">
        <v>3.25</v>
      </c>
    </row>
    <row r="3955" spans="1:7" hidden="1" x14ac:dyDescent="0.25">
      <c r="A3955" t="s">
        <v>660</v>
      </c>
      <c r="B3955">
        <v>39352</v>
      </c>
      <c r="C3955" t="s">
        <v>4625</v>
      </c>
      <c r="D3955" t="s">
        <v>226</v>
      </c>
      <c r="E3955" t="s">
        <v>659</v>
      </c>
      <c r="F3955">
        <v>4.0199999999999996</v>
      </c>
      <c r="G3955">
        <v>2.61</v>
      </c>
    </row>
    <row r="3956" spans="1:7" hidden="1" x14ac:dyDescent="0.25">
      <c r="A3956" t="s">
        <v>660</v>
      </c>
      <c r="B3956">
        <v>38837</v>
      </c>
      <c r="C3956" t="s">
        <v>4626</v>
      </c>
      <c r="D3956" t="s">
        <v>226</v>
      </c>
      <c r="E3956" t="s">
        <v>659</v>
      </c>
      <c r="F3956">
        <f>G3956</f>
        <v>8.81</v>
      </c>
      <c r="G3956">
        <v>8.81</v>
      </c>
    </row>
    <row r="3957" spans="1:7" hidden="1" x14ac:dyDescent="0.25">
      <c r="A3957" t="s">
        <v>660</v>
      </c>
      <c r="B3957">
        <v>38836</v>
      </c>
      <c r="C3957" t="s">
        <v>4627</v>
      </c>
      <c r="D3957" t="s">
        <v>226</v>
      </c>
      <c r="E3957" t="s">
        <v>659</v>
      </c>
      <c r="F3957">
        <f>G3957</f>
        <v>6.15</v>
      </c>
      <c r="G3957">
        <v>6.15</v>
      </c>
    </row>
    <row r="3958" spans="1:7" hidden="1" x14ac:dyDescent="0.25">
      <c r="A3958" t="s">
        <v>660</v>
      </c>
      <c r="B3958">
        <v>2666</v>
      </c>
      <c r="C3958" t="s">
        <v>4628</v>
      </c>
      <c r="D3958" t="s">
        <v>226</v>
      </c>
      <c r="E3958" t="s">
        <v>659</v>
      </c>
      <c r="F3958">
        <v>5.1100000000000003</v>
      </c>
      <c r="G3958">
        <v>6.44</v>
      </c>
    </row>
    <row r="3959" spans="1:7" hidden="1" x14ac:dyDescent="0.25">
      <c r="A3959" t="s">
        <v>660</v>
      </c>
      <c r="B3959">
        <v>2668</v>
      </c>
      <c r="C3959" t="s">
        <v>4629</v>
      </c>
      <c r="D3959" t="s">
        <v>226</v>
      </c>
      <c r="E3959" t="s">
        <v>659</v>
      </c>
      <c r="F3959">
        <v>5.84</v>
      </c>
      <c r="G3959">
        <v>7.35</v>
      </c>
    </row>
    <row r="3960" spans="1:7" hidden="1" x14ac:dyDescent="0.25">
      <c r="A3960" t="s">
        <v>660</v>
      </c>
      <c r="B3960">
        <v>2664</v>
      </c>
      <c r="C3960" t="s">
        <v>4630</v>
      </c>
      <c r="D3960" t="s">
        <v>226</v>
      </c>
      <c r="E3960" t="s">
        <v>659</v>
      </c>
      <c r="F3960">
        <v>8.6199999999999992</v>
      </c>
      <c r="G3960">
        <v>10.84</v>
      </c>
    </row>
    <row r="3961" spans="1:7" hidden="1" x14ac:dyDescent="0.25">
      <c r="A3961" t="s">
        <v>660</v>
      </c>
      <c r="B3961">
        <v>2662</v>
      </c>
      <c r="C3961" t="s">
        <v>4631</v>
      </c>
      <c r="D3961" t="s">
        <v>226</v>
      </c>
      <c r="E3961" t="s">
        <v>659</v>
      </c>
      <c r="F3961">
        <v>10.57</v>
      </c>
      <c r="G3961">
        <v>13.3</v>
      </c>
    </row>
    <row r="3962" spans="1:7" hidden="1" x14ac:dyDescent="0.25">
      <c r="A3962" t="s">
        <v>660</v>
      </c>
      <c r="B3962">
        <v>20964</v>
      </c>
      <c r="C3962" t="s">
        <v>4632</v>
      </c>
      <c r="D3962" t="s">
        <v>226</v>
      </c>
      <c r="E3962" t="s">
        <v>659</v>
      </c>
      <c r="F3962">
        <v>60.52</v>
      </c>
      <c r="G3962">
        <v>128.85</v>
      </c>
    </row>
    <row r="3963" spans="1:7" hidden="1" x14ac:dyDescent="0.25">
      <c r="A3963" t="s">
        <v>660</v>
      </c>
      <c r="B3963">
        <v>10905</v>
      </c>
      <c r="C3963" t="s">
        <v>4633</v>
      </c>
      <c r="D3963" t="s">
        <v>226</v>
      </c>
      <c r="E3963" t="s">
        <v>659</v>
      </c>
      <c r="F3963">
        <v>81.19</v>
      </c>
      <c r="G3963">
        <v>172.85</v>
      </c>
    </row>
    <row r="3964" spans="1:7" hidden="1" x14ac:dyDescent="0.25">
      <c r="A3964" t="s">
        <v>660</v>
      </c>
      <c r="B3964">
        <v>11289</v>
      </c>
      <c r="C3964" t="s">
        <v>4634</v>
      </c>
      <c r="D3964" t="s">
        <v>226</v>
      </c>
      <c r="E3964" t="s">
        <v>659</v>
      </c>
      <c r="F3964">
        <v>72.12</v>
      </c>
      <c r="G3964">
        <v>85.08</v>
      </c>
    </row>
    <row r="3965" spans="1:7" hidden="1" x14ac:dyDescent="0.25">
      <c r="A3965" t="s">
        <v>660</v>
      </c>
      <c r="B3965">
        <v>11241</v>
      </c>
      <c r="C3965" t="s">
        <v>4635</v>
      </c>
      <c r="D3965" t="s">
        <v>226</v>
      </c>
      <c r="E3965" t="s">
        <v>659</v>
      </c>
      <c r="F3965">
        <v>180.3</v>
      </c>
      <c r="G3965">
        <v>212.71</v>
      </c>
    </row>
    <row r="3966" spans="1:7" hidden="1" x14ac:dyDescent="0.25">
      <c r="A3966" t="s">
        <v>660</v>
      </c>
      <c r="B3966">
        <v>11301</v>
      </c>
      <c r="C3966" t="s">
        <v>4636</v>
      </c>
      <c r="D3966" t="s">
        <v>226</v>
      </c>
      <c r="E3966" t="s">
        <v>659</v>
      </c>
      <c r="F3966">
        <v>457.2</v>
      </c>
      <c r="G3966">
        <v>539.37</v>
      </c>
    </row>
    <row r="3967" spans="1:7" hidden="1" x14ac:dyDescent="0.25">
      <c r="A3967" t="s">
        <v>660</v>
      </c>
      <c r="B3967">
        <v>21090</v>
      </c>
      <c r="C3967" t="s">
        <v>4637</v>
      </c>
      <c r="D3967" t="s">
        <v>226</v>
      </c>
      <c r="E3967" t="s">
        <v>659</v>
      </c>
      <c r="F3967">
        <v>560.23</v>
      </c>
      <c r="G3967">
        <v>660.93</v>
      </c>
    </row>
    <row r="3968" spans="1:7" hidden="1" x14ac:dyDescent="0.25">
      <c r="A3968" t="s">
        <v>660</v>
      </c>
      <c r="B3968">
        <v>11315</v>
      </c>
      <c r="C3968" t="s">
        <v>4638</v>
      </c>
      <c r="D3968" t="s">
        <v>226</v>
      </c>
      <c r="E3968" t="s">
        <v>659</v>
      </c>
      <c r="F3968">
        <v>109.47</v>
      </c>
      <c r="G3968">
        <v>129.13999999999999</v>
      </c>
    </row>
    <row r="3969" spans="1:7" hidden="1" x14ac:dyDescent="0.25">
      <c r="A3969" t="s">
        <v>660</v>
      </c>
      <c r="B3969">
        <v>21071</v>
      </c>
      <c r="C3969" t="s">
        <v>4639</v>
      </c>
      <c r="D3969" t="s">
        <v>226</v>
      </c>
      <c r="E3969" t="s">
        <v>659</v>
      </c>
      <c r="F3969">
        <v>167.42</v>
      </c>
      <c r="G3969">
        <v>197.51</v>
      </c>
    </row>
    <row r="3970" spans="1:7" hidden="1" x14ac:dyDescent="0.25">
      <c r="A3970" t="s">
        <v>660</v>
      </c>
      <c r="B3970">
        <v>14112</v>
      </c>
      <c r="C3970" t="s">
        <v>4640</v>
      </c>
      <c r="D3970" t="s">
        <v>226</v>
      </c>
      <c r="E3970" t="s">
        <v>659</v>
      </c>
      <c r="F3970">
        <v>233.75</v>
      </c>
      <c r="G3970">
        <v>275.76</v>
      </c>
    </row>
    <row r="3971" spans="1:7" hidden="1" x14ac:dyDescent="0.25">
      <c r="A3971" t="s">
        <v>660</v>
      </c>
      <c r="B3971">
        <v>11316</v>
      </c>
      <c r="C3971" t="s">
        <v>4641</v>
      </c>
      <c r="D3971" t="s">
        <v>226</v>
      </c>
      <c r="E3971" t="s">
        <v>659</v>
      </c>
      <c r="F3971">
        <v>360.61</v>
      </c>
      <c r="G3971">
        <v>425.42</v>
      </c>
    </row>
    <row r="3972" spans="1:7" hidden="1" x14ac:dyDescent="0.25">
      <c r="A3972" t="s">
        <v>660</v>
      </c>
      <c r="B3972">
        <v>6243</v>
      </c>
      <c r="C3972" t="s">
        <v>4642</v>
      </c>
      <c r="D3972" t="s">
        <v>226</v>
      </c>
      <c r="E3972" t="s">
        <v>172</v>
      </c>
      <c r="F3972">
        <v>415.35</v>
      </c>
      <c r="G3972">
        <v>490</v>
      </c>
    </row>
    <row r="3973" spans="1:7" hidden="1" x14ac:dyDescent="0.25">
      <c r="A3973" t="s">
        <v>660</v>
      </c>
      <c r="B3973">
        <v>6240</v>
      </c>
      <c r="C3973" t="s">
        <v>4643</v>
      </c>
      <c r="D3973" t="s">
        <v>226</v>
      </c>
      <c r="E3973" t="s">
        <v>659</v>
      </c>
      <c r="F3973">
        <v>549.92999999999995</v>
      </c>
      <c r="G3973">
        <v>648.77</v>
      </c>
    </row>
    <row r="3974" spans="1:7" hidden="1" x14ac:dyDescent="0.25">
      <c r="A3974" t="s">
        <v>660</v>
      </c>
      <c r="B3974">
        <v>11296</v>
      </c>
      <c r="C3974" t="s">
        <v>4644</v>
      </c>
      <c r="D3974" t="s">
        <v>226</v>
      </c>
      <c r="E3974" t="s">
        <v>659</v>
      </c>
      <c r="F3974" s="538">
        <v>1752.19</v>
      </c>
      <c r="G3974" s="538">
        <v>2067.11</v>
      </c>
    </row>
    <row r="3975" spans="1:7" hidden="1" x14ac:dyDescent="0.25">
      <c r="A3975" t="s">
        <v>660</v>
      </c>
      <c r="B3975">
        <v>11299</v>
      </c>
      <c r="C3975" t="s">
        <v>4645</v>
      </c>
      <c r="D3975" t="s">
        <v>226</v>
      </c>
      <c r="E3975" t="s">
        <v>659</v>
      </c>
      <c r="F3975">
        <v>593.08000000000004</v>
      </c>
      <c r="G3975">
        <v>699.67</v>
      </c>
    </row>
    <row r="3976" spans="1:7" hidden="1" x14ac:dyDescent="0.25">
      <c r="A3976" t="s">
        <v>660</v>
      </c>
      <c r="B3976">
        <v>11688</v>
      </c>
      <c r="C3976" t="s">
        <v>4646</v>
      </c>
      <c r="D3976" t="s">
        <v>226</v>
      </c>
      <c r="E3976" t="s">
        <v>659</v>
      </c>
      <c r="F3976">
        <v>553.62</v>
      </c>
      <c r="G3976">
        <v>508.57</v>
      </c>
    </row>
    <row r="3977" spans="1:7" hidden="1" x14ac:dyDescent="0.25">
      <c r="A3977" t="s">
        <v>842</v>
      </c>
      <c r="B3977">
        <v>37736</v>
      </c>
      <c r="C3977" t="s">
        <v>4647</v>
      </c>
      <c r="D3977" t="s">
        <v>226</v>
      </c>
      <c r="E3977" t="s">
        <v>172</v>
      </c>
      <c r="F3977">
        <f t="shared" ref="F3977:F3984" si="33">G3977</f>
        <v>85950</v>
      </c>
      <c r="G3977" s="538">
        <v>85950</v>
      </c>
    </row>
    <row r="3978" spans="1:7" hidden="1" x14ac:dyDescent="0.25">
      <c r="A3978" t="s">
        <v>842</v>
      </c>
      <c r="B3978">
        <v>37739</v>
      </c>
      <c r="C3978" t="s">
        <v>4648</v>
      </c>
      <c r="D3978" t="s">
        <v>226</v>
      </c>
      <c r="E3978" t="s">
        <v>659</v>
      </c>
      <c r="F3978">
        <f t="shared" si="33"/>
        <v>105784.61</v>
      </c>
      <c r="G3978" s="538">
        <v>105784.61</v>
      </c>
    </row>
    <row r="3979" spans="1:7" hidden="1" x14ac:dyDescent="0.25">
      <c r="A3979" t="s">
        <v>842</v>
      </c>
      <c r="B3979">
        <v>37740</v>
      </c>
      <c r="C3979" t="s">
        <v>4649</v>
      </c>
      <c r="D3979" t="s">
        <v>226</v>
      </c>
      <c r="E3979" t="s">
        <v>659</v>
      </c>
      <c r="F3979">
        <f t="shared" si="33"/>
        <v>60366.21</v>
      </c>
      <c r="G3979" s="538">
        <v>60366.21</v>
      </c>
    </row>
    <row r="3980" spans="1:7" hidden="1" x14ac:dyDescent="0.25">
      <c r="A3980" t="s">
        <v>842</v>
      </c>
      <c r="B3980">
        <v>37738</v>
      </c>
      <c r="C3980" t="s">
        <v>4650</v>
      </c>
      <c r="D3980" t="s">
        <v>226</v>
      </c>
      <c r="E3980" t="s">
        <v>659</v>
      </c>
      <c r="F3980">
        <f t="shared" si="33"/>
        <v>71720.820000000007</v>
      </c>
      <c r="G3980" s="538">
        <v>71720.820000000007</v>
      </c>
    </row>
    <row r="3981" spans="1:7" hidden="1" x14ac:dyDescent="0.25">
      <c r="A3981" t="s">
        <v>842</v>
      </c>
      <c r="B3981">
        <v>37737</v>
      </c>
      <c r="C3981" t="s">
        <v>4651</v>
      </c>
      <c r="D3981" t="s">
        <v>226</v>
      </c>
      <c r="E3981" t="s">
        <v>659</v>
      </c>
      <c r="F3981">
        <f t="shared" si="33"/>
        <v>57060.45</v>
      </c>
      <c r="G3981" s="538">
        <v>57060.45</v>
      </c>
    </row>
    <row r="3982" spans="1:7" hidden="1" x14ac:dyDescent="0.25">
      <c r="A3982" t="s">
        <v>842</v>
      </c>
      <c r="B3982">
        <v>25014</v>
      </c>
      <c r="C3982" t="s">
        <v>4652</v>
      </c>
      <c r="D3982" t="s">
        <v>226</v>
      </c>
      <c r="E3982" t="s">
        <v>659</v>
      </c>
      <c r="F3982">
        <f t="shared" si="33"/>
        <v>119510.74</v>
      </c>
      <c r="G3982" s="538">
        <v>119510.74</v>
      </c>
    </row>
    <row r="3983" spans="1:7" hidden="1" x14ac:dyDescent="0.25">
      <c r="A3983" t="s">
        <v>842</v>
      </c>
      <c r="B3983">
        <v>25013</v>
      </c>
      <c r="C3983" t="s">
        <v>4653</v>
      </c>
      <c r="D3983" t="s">
        <v>226</v>
      </c>
      <c r="E3983" t="s">
        <v>659</v>
      </c>
      <c r="F3983">
        <f t="shared" si="33"/>
        <v>125259.91</v>
      </c>
      <c r="G3983" s="538">
        <v>125259.91</v>
      </c>
    </row>
    <row r="3984" spans="1:7" hidden="1" x14ac:dyDescent="0.25">
      <c r="A3984" t="s">
        <v>842</v>
      </c>
      <c r="B3984">
        <v>14405</v>
      </c>
      <c r="C3984" t="s">
        <v>4654</v>
      </c>
      <c r="D3984" t="s">
        <v>226</v>
      </c>
      <c r="E3984" t="s">
        <v>659</v>
      </c>
      <c r="F3984">
        <f t="shared" si="33"/>
        <v>147034.85999999999</v>
      </c>
      <c r="G3984" s="538">
        <v>147034.85999999999</v>
      </c>
    </row>
    <row r="3985" spans="1:7" hidden="1" x14ac:dyDescent="0.25">
      <c r="A3985" t="s">
        <v>660</v>
      </c>
      <c r="B3985">
        <v>20271</v>
      </c>
      <c r="C3985" t="s">
        <v>4655</v>
      </c>
      <c r="D3985" t="s">
        <v>226</v>
      </c>
      <c r="E3985" t="s">
        <v>659</v>
      </c>
      <c r="F3985">
        <v>618.24</v>
      </c>
      <c r="G3985">
        <v>519.09</v>
      </c>
    </row>
    <row r="3986" spans="1:7" hidden="1" x14ac:dyDescent="0.25">
      <c r="A3986" t="s">
        <v>660</v>
      </c>
      <c r="B3986">
        <v>10423</v>
      </c>
      <c r="C3986" t="s">
        <v>4656</v>
      </c>
      <c r="D3986" t="s">
        <v>226</v>
      </c>
      <c r="E3986" t="s">
        <v>659</v>
      </c>
      <c r="F3986">
        <v>453.93</v>
      </c>
      <c r="G3986">
        <v>381.13</v>
      </c>
    </row>
    <row r="3987" spans="1:7" hidden="1" x14ac:dyDescent="0.25">
      <c r="A3987" t="s">
        <v>660</v>
      </c>
      <c r="B3987">
        <v>36790</v>
      </c>
      <c r="C3987" t="s">
        <v>4657</v>
      </c>
      <c r="D3987" t="s">
        <v>226</v>
      </c>
      <c r="E3987" t="s">
        <v>659</v>
      </c>
      <c r="F3987">
        <v>338.76</v>
      </c>
      <c r="G3987">
        <v>415.4</v>
      </c>
    </row>
    <row r="3988" spans="1:7" hidden="1" x14ac:dyDescent="0.25">
      <c r="A3988" t="s">
        <v>660</v>
      </c>
      <c r="B3988">
        <v>37589</v>
      </c>
      <c r="C3988" t="s">
        <v>4658</v>
      </c>
      <c r="D3988" t="s">
        <v>226</v>
      </c>
      <c r="E3988" t="s">
        <v>659</v>
      </c>
      <c r="F3988">
        <v>415.07</v>
      </c>
      <c r="G3988">
        <v>508.97</v>
      </c>
    </row>
    <row r="3989" spans="1:7" hidden="1" x14ac:dyDescent="0.25">
      <c r="A3989" t="s">
        <v>660</v>
      </c>
      <c r="B3989">
        <v>11690</v>
      </c>
      <c r="C3989" t="s">
        <v>4659</v>
      </c>
      <c r="D3989" t="s">
        <v>226</v>
      </c>
      <c r="E3989" t="s">
        <v>659</v>
      </c>
      <c r="F3989">
        <v>220.5</v>
      </c>
      <c r="G3989">
        <v>270.38</v>
      </c>
    </row>
    <row r="3990" spans="1:7" hidden="1" x14ac:dyDescent="0.25">
      <c r="A3990" t="s">
        <v>660</v>
      </c>
      <c r="B3990">
        <v>20234</v>
      </c>
      <c r="C3990" t="s">
        <v>4660</v>
      </c>
      <c r="D3990" t="s">
        <v>226</v>
      </c>
      <c r="E3990" t="s">
        <v>659</v>
      </c>
      <c r="F3990">
        <v>279.04000000000002</v>
      </c>
      <c r="G3990">
        <v>342.17</v>
      </c>
    </row>
    <row r="3991" spans="1:7" hidden="1" x14ac:dyDescent="0.25">
      <c r="A3991" t="s">
        <v>2555</v>
      </c>
      <c r="B3991">
        <v>44480</v>
      </c>
      <c r="C3991" t="s">
        <v>4661</v>
      </c>
      <c r="D3991" t="s">
        <v>806</v>
      </c>
      <c r="E3991" t="s">
        <v>659</v>
      </c>
      <c r="F3991">
        <v>22.7</v>
      </c>
      <c r="G3991">
        <v>16.84</v>
      </c>
    </row>
    <row r="3992" spans="1:7" hidden="1" x14ac:dyDescent="0.25">
      <c r="A3992" t="s">
        <v>660</v>
      </c>
      <c r="B3992">
        <v>11457</v>
      </c>
      <c r="C3992" t="s">
        <v>4662</v>
      </c>
      <c r="D3992" t="s">
        <v>226</v>
      </c>
      <c r="E3992" t="s">
        <v>659</v>
      </c>
      <c r="F3992">
        <v>51.29</v>
      </c>
      <c r="G3992">
        <v>45.79</v>
      </c>
    </row>
    <row r="3993" spans="1:7" hidden="1" x14ac:dyDescent="0.25">
      <c r="A3993" t="s">
        <v>660</v>
      </c>
      <c r="B3993">
        <v>44073</v>
      </c>
      <c r="C3993" t="s">
        <v>4663</v>
      </c>
      <c r="D3993" t="s">
        <v>704</v>
      </c>
      <c r="E3993" t="s">
        <v>659</v>
      </c>
      <c r="F3993">
        <v>0.97</v>
      </c>
      <c r="G3993">
        <v>0.79</v>
      </c>
    </row>
    <row r="3994" spans="1:7" hidden="1" x14ac:dyDescent="0.25">
      <c r="A3994" t="s">
        <v>660</v>
      </c>
      <c r="B3994">
        <v>3593</v>
      </c>
      <c r="C3994" t="s">
        <v>4664</v>
      </c>
      <c r="D3994" t="s">
        <v>226</v>
      </c>
      <c r="E3994" t="s">
        <v>659</v>
      </c>
      <c r="F3994">
        <v>90.84</v>
      </c>
      <c r="G3994">
        <v>94.75</v>
      </c>
    </row>
    <row r="3995" spans="1:7" hidden="1" x14ac:dyDescent="0.25">
      <c r="A3995" t="s">
        <v>660</v>
      </c>
      <c r="B3995">
        <v>3588</v>
      </c>
      <c r="C3995" t="s">
        <v>4665</v>
      </c>
      <c r="D3995" t="s">
        <v>226</v>
      </c>
      <c r="E3995" t="s">
        <v>659</v>
      </c>
      <c r="F3995">
        <v>70.02</v>
      </c>
      <c r="G3995">
        <v>73.03</v>
      </c>
    </row>
    <row r="3996" spans="1:7" hidden="1" x14ac:dyDescent="0.25">
      <c r="A3996" t="s">
        <v>660</v>
      </c>
      <c r="B3996">
        <v>3587</v>
      </c>
      <c r="C3996" t="s">
        <v>4666</v>
      </c>
      <c r="D3996" t="s">
        <v>226</v>
      </c>
      <c r="E3996" t="s">
        <v>659</v>
      </c>
      <c r="F3996">
        <v>43.45</v>
      </c>
      <c r="G3996">
        <v>45.32</v>
      </c>
    </row>
    <row r="3997" spans="1:7" hidden="1" x14ac:dyDescent="0.25">
      <c r="A3997" t="s">
        <v>660</v>
      </c>
      <c r="B3997">
        <v>3585</v>
      </c>
      <c r="C3997" t="s">
        <v>4667</v>
      </c>
      <c r="D3997" t="s">
        <v>226</v>
      </c>
      <c r="E3997" t="s">
        <v>659</v>
      </c>
      <c r="F3997">
        <v>21.63</v>
      </c>
      <c r="G3997">
        <v>22.56</v>
      </c>
    </row>
    <row r="3998" spans="1:7" hidden="1" x14ac:dyDescent="0.25">
      <c r="A3998" t="s">
        <v>660</v>
      </c>
      <c r="B3998">
        <v>3590</v>
      </c>
      <c r="C3998" t="s">
        <v>4668</v>
      </c>
      <c r="D3998" t="s">
        <v>226</v>
      </c>
      <c r="E3998" t="s">
        <v>659</v>
      </c>
      <c r="F3998">
        <v>257.93</v>
      </c>
      <c r="G3998">
        <v>269.02</v>
      </c>
    </row>
    <row r="3999" spans="1:7" hidden="1" x14ac:dyDescent="0.25">
      <c r="A3999" t="s">
        <v>660</v>
      </c>
      <c r="B3999">
        <v>3589</v>
      </c>
      <c r="C3999" t="s">
        <v>4669</v>
      </c>
      <c r="D3999" t="s">
        <v>226</v>
      </c>
      <c r="E3999" t="s">
        <v>659</v>
      </c>
      <c r="F3999">
        <v>138.44</v>
      </c>
      <c r="G3999">
        <v>144.38999999999999</v>
      </c>
    </row>
    <row r="4000" spans="1:7" hidden="1" x14ac:dyDescent="0.25">
      <c r="A4000" t="s">
        <v>660</v>
      </c>
      <c r="B4000">
        <v>3592</v>
      </c>
      <c r="C4000" t="s">
        <v>4670</v>
      </c>
      <c r="D4000" t="s">
        <v>226</v>
      </c>
      <c r="E4000" t="s">
        <v>659</v>
      </c>
      <c r="F4000">
        <v>407.71</v>
      </c>
      <c r="G4000">
        <v>425.24</v>
      </c>
    </row>
    <row r="4001" spans="1:7" hidden="1" x14ac:dyDescent="0.25">
      <c r="A4001" t="s">
        <v>660</v>
      </c>
      <c r="B4001">
        <v>3586</v>
      </c>
      <c r="C4001" t="s">
        <v>4671</v>
      </c>
      <c r="D4001" t="s">
        <v>226</v>
      </c>
      <c r="E4001" t="s">
        <v>659</v>
      </c>
      <c r="F4001">
        <v>28.33</v>
      </c>
      <c r="G4001">
        <v>29.54</v>
      </c>
    </row>
    <row r="4002" spans="1:7" hidden="1" x14ac:dyDescent="0.25">
      <c r="A4002" t="s">
        <v>660</v>
      </c>
      <c r="B4002">
        <v>3591</v>
      </c>
      <c r="C4002" t="s">
        <v>4672</v>
      </c>
      <c r="D4002" t="s">
        <v>226</v>
      </c>
      <c r="E4002" t="s">
        <v>659</v>
      </c>
      <c r="F4002">
        <v>653.58000000000004</v>
      </c>
      <c r="G4002">
        <v>681.68</v>
      </c>
    </row>
    <row r="4003" spans="1:7" hidden="1" x14ac:dyDescent="0.25">
      <c r="A4003" t="s">
        <v>660</v>
      </c>
      <c r="B4003">
        <v>40396</v>
      </c>
      <c r="C4003" t="s">
        <v>4673</v>
      </c>
      <c r="D4003" t="s">
        <v>226</v>
      </c>
      <c r="E4003" t="s">
        <v>659</v>
      </c>
      <c r="F4003">
        <f t="shared" ref="F4003:F4010" si="34">G4003</f>
        <v>132.28</v>
      </c>
      <c r="G4003">
        <v>132.28</v>
      </c>
    </row>
    <row r="4004" spans="1:7" hidden="1" x14ac:dyDescent="0.25">
      <c r="A4004" t="s">
        <v>660</v>
      </c>
      <c r="B4004">
        <v>40395</v>
      </c>
      <c r="C4004" t="s">
        <v>4674</v>
      </c>
      <c r="D4004" t="s">
        <v>226</v>
      </c>
      <c r="E4004" t="s">
        <v>659</v>
      </c>
      <c r="F4004">
        <f t="shared" si="34"/>
        <v>101.52</v>
      </c>
      <c r="G4004">
        <v>101.52</v>
      </c>
    </row>
    <row r="4005" spans="1:7" hidden="1" x14ac:dyDescent="0.25">
      <c r="A4005" t="s">
        <v>660</v>
      </c>
      <c r="B4005">
        <v>40394</v>
      </c>
      <c r="C4005" t="s">
        <v>4675</v>
      </c>
      <c r="D4005" t="s">
        <v>226</v>
      </c>
      <c r="E4005" t="s">
        <v>659</v>
      </c>
      <c r="F4005">
        <f t="shared" si="34"/>
        <v>66.09</v>
      </c>
      <c r="G4005">
        <v>66.09</v>
      </c>
    </row>
    <row r="4006" spans="1:7" hidden="1" x14ac:dyDescent="0.25">
      <c r="A4006" t="s">
        <v>660</v>
      </c>
      <c r="B4006">
        <v>40392</v>
      </c>
      <c r="C4006" t="s">
        <v>4676</v>
      </c>
      <c r="D4006" t="s">
        <v>226</v>
      </c>
      <c r="E4006" t="s">
        <v>659</v>
      </c>
      <c r="F4006">
        <f t="shared" si="34"/>
        <v>32.659999999999997</v>
      </c>
      <c r="G4006">
        <v>32.659999999999997</v>
      </c>
    </row>
    <row r="4007" spans="1:7" hidden="1" x14ac:dyDescent="0.25">
      <c r="A4007" t="s">
        <v>660</v>
      </c>
      <c r="B4007">
        <v>40398</v>
      </c>
      <c r="C4007" t="s">
        <v>4677</v>
      </c>
      <c r="D4007" t="s">
        <v>226</v>
      </c>
      <c r="E4007" t="s">
        <v>659</v>
      </c>
      <c r="F4007">
        <f t="shared" si="34"/>
        <v>424.39</v>
      </c>
      <c r="G4007">
        <v>424.39</v>
      </c>
    </row>
    <row r="4008" spans="1:7" hidden="1" x14ac:dyDescent="0.25">
      <c r="A4008" t="s">
        <v>660</v>
      </c>
      <c r="B4008">
        <v>40397</v>
      </c>
      <c r="C4008" t="s">
        <v>4678</v>
      </c>
      <c r="D4008" t="s">
        <v>226</v>
      </c>
      <c r="E4008" t="s">
        <v>659</v>
      </c>
      <c r="F4008">
        <f t="shared" si="34"/>
        <v>217.34</v>
      </c>
      <c r="G4008">
        <v>217.34</v>
      </c>
    </row>
    <row r="4009" spans="1:7" hidden="1" x14ac:dyDescent="0.25">
      <c r="A4009" t="s">
        <v>660</v>
      </c>
      <c r="B4009">
        <v>40399</v>
      </c>
      <c r="C4009" t="s">
        <v>4679</v>
      </c>
      <c r="D4009" t="s">
        <v>226</v>
      </c>
      <c r="E4009" t="s">
        <v>659</v>
      </c>
      <c r="F4009">
        <f t="shared" si="34"/>
        <v>694.3</v>
      </c>
      <c r="G4009">
        <v>694.3</v>
      </c>
    </row>
    <row r="4010" spans="1:7" hidden="1" x14ac:dyDescent="0.25">
      <c r="A4010" t="s">
        <v>660</v>
      </c>
      <c r="B4010">
        <v>40393</v>
      </c>
      <c r="C4010" t="s">
        <v>4680</v>
      </c>
      <c r="D4010" t="s">
        <v>226</v>
      </c>
      <c r="E4010" t="s">
        <v>659</v>
      </c>
      <c r="F4010">
        <f t="shared" si="34"/>
        <v>42.07</v>
      </c>
      <c r="G4010">
        <v>42.07</v>
      </c>
    </row>
    <row r="4011" spans="1:7" hidden="1" x14ac:dyDescent="0.25">
      <c r="A4011" t="s">
        <v>660</v>
      </c>
      <c r="B4011">
        <v>44253</v>
      </c>
      <c r="C4011" t="s">
        <v>4681</v>
      </c>
      <c r="D4011" t="s">
        <v>226</v>
      </c>
      <c r="E4011" t="s">
        <v>659</v>
      </c>
      <c r="F4011">
        <v>300.75</v>
      </c>
      <c r="G4011">
        <v>287.12</v>
      </c>
    </row>
    <row r="4012" spans="1:7" hidden="1" x14ac:dyDescent="0.25">
      <c r="A4012" t="s">
        <v>660</v>
      </c>
      <c r="B4012">
        <v>21121</v>
      </c>
      <c r="C4012" t="s">
        <v>4682</v>
      </c>
      <c r="D4012" t="s">
        <v>226</v>
      </c>
      <c r="E4012" t="s">
        <v>659</v>
      </c>
      <c r="F4012">
        <v>4.3099999999999996</v>
      </c>
      <c r="G4012">
        <v>4.12</v>
      </c>
    </row>
    <row r="4013" spans="1:7" hidden="1" x14ac:dyDescent="0.25">
      <c r="A4013" t="s">
        <v>660</v>
      </c>
      <c r="B4013">
        <v>38010</v>
      </c>
      <c r="C4013" t="s">
        <v>4683</v>
      </c>
      <c r="D4013" t="s">
        <v>226</v>
      </c>
      <c r="E4013" t="s">
        <v>659</v>
      </c>
      <c r="F4013">
        <v>5.37</v>
      </c>
      <c r="G4013">
        <v>5.13</v>
      </c>
    </row>
    <row r="4014" spans="1:7" hidden="1" x14ac:dyDescent="0.25">
      <c r="A4014" t="s">
        <v>660</v>
      </c>
      <c r="B4014">
        <v>38011</v>
      </c>
      <c r="C4014" t="s">
        <v>4684</v>
      </c>
      <c r="D4014" t="s">
        <v>226</v>
      </c>
      <c r="E4014" t="s">
        <v>659</v>
      </c>
      <c r="F4014">
        <v>10.77</v>
      </c>
      <c r="G4014">
        <v>10.28</v>
      </c>
    </row>
    <row r="4015" spans="1:7" hidden="1" x14ac:dyDescent="0.25">
      <c r="A4015" t="s">
        <v>660</v>
      </c>
      <c r="B4015">
        <v>38012</v>
      </c>
      <c r="C4015" t="s">
        <v>4685</v>
      </c>
      <c r="D4015" t="s">
        <v>226</v>
      </c>
      <c r="E4015" t="s">
        <v>659</v>
      </c>
      <c r="F4015">
        <v>41.05</v>
      </c>
      <c r="G4015">
        <v>39.19</v>
      </c>
    </row>
    <row r="4016" spans="1:7" hidden="1" x14ac:dyDescent="0.25">
      <c r="A4016" t="s">
        <v>660</v>
      </c>
      <c r="B4016">
        <v>38013</v>
      </c>
      <c r="C4016" t="s">
        <v>4686</v>
      </c>
      <c r="D4016" t="s">
        <v>226</v>
      </c>
      <c r="E4016" t="s">
        <v>659</v>
      </c>
      <c r="F4016">
        <v>52.74</v>
      </c>
      <c r="G4016">
        <v>50.35</v>
      </c>
    </row>
    <row r="4017" spans="1:7" hidden="1" x14ac:dyDescent="0.25">
      <c r="A4017" t="s">
        <v>660</v>
      </c>
      <c r="B4017">
        <v>38014</v>
      </c>
      <c r="C4017" t="s">
        <v>4687</v>
      </c>
      <c r="D4017" t="s">
        <v>226</v>
      </c>
      <c r="E4017" t="s">
        <v>659</v>
      </c>
      <c r="F4017">
        <v>88.08</v>
      </c>
      <c r="G4017">
        <v>84.09</v>
      </c>
    </row>
    <row r="4018" spans="1:7" hidden="1" x14ac:dyDescent="0.25">
      <c r="A4018" t="s">
        <v>660</v>
      </c>
      <c r="B4018">
        <v>38015</v>
      </c>
      <c r="C4018" t="s">
        <v>4688</v>
      </c>
      <c r="D4018" t="s">
        <v>226</v>
      </c>
      <c r="E4018" t="s">
        <v>659</v>
      </c>
      <c r="F4018">
        <v>207.06</v>
      </c>
      <c r="G4018">
        <v>197.68</v>
      </c>
    </row>
    <row r="4019" spans="1:7" hidden="1" x14ac:dyDescent="0.25">
      <c r="A4019" t="s">
        <v>660</v>
      </c>
      <c r="B4019">
        <v>38016</v>
      </c>
      <c r="C4019" t="s">
        <v>4689</v>
      </c>
      <c r="D4019" t="s">
        <v>226</v>
      </c>
      <c r="E4019" t="s">
        <v>659</v>
      </c>
      <c r="F4019">
        <v>240.79</v>
      </c>
      <c r="G4019">
        <v>229.88</v>
      </c>
    </row>
    <row r="4020" spans="1:7" hidden="1" x14ac:dyDescent="0.25">
      <c r="A4020" t="s">
        <v>660</v>
      </c>
      <c r="B4020">
        <v>12741</v>
      </c>
      <c r="C4020" t="s">
        <v>4690</v>
      </c>
      <c r="D4020" t="s">
        <v>226</v>
      </c>
      <c r="E4020" t="s">
        <v>659</v>
      </c>
      <c r="F4020">
        <f t="shared" ref="F4020:F4028" si="35">G4020</f>
        <v>1481.81</v>
      </c>
      <c r="G4020" s="538">
        <v>1481.81</v>
      </c>
    </row>
    <row r="4021" spans="1:7" hidden="1" x14ac:dyDescent="0.25">
      <c r="A4021" t="s">
        <v>660</v>
      </c>
      <c r="B4021">
        <v>12733</v>
      </c>
      <c r="C4021" t="s">
        <v>4691</v>
      </c>
      <c r="D4021" t="s">
        <v>226</v>
      </c>
      <c r="E4021" t="s">
        <v>659</v>
      </c>
      <c r="F4021">
        <f t="shared" si="35"/>
        <v>7.45</v>
      </c>
      <c r="G4021">
        <v>7.45</v>
      </c>
    </row>
    <row r="4022" spans="1:7" hidden="1" x14ac:dyDescent="0.25">
      <c r="A4022" t="s">
        <v>660</v>
      </c>
      <c r="B4022">
        <v>12734</v>
      </c>
      <c r="C4022" t="s">
        <v>4692</v>
      </c>
      <c r="D4022" t="s">
        <v>226</v>
      </c>
      <c r="E4022" t="s">
        <v>659</v>
      </c>
      <c r="F4022">
        <f t="shared" si="35"/>
        <v>15.89</v>
      </c>
      <c r="G4022">
        <v>15.89</v>
      </c>
    </row>
    <row r="4023" spans="1:7" hidden="1" x14ac:dyDescent="0.25">
      <c r="A4023" t="s">
        <v>660</v>
      </c>
      <c r="B4023">
        <v>12735</v>
      </c>
      <c r="C4023" t="s">
        <v>4693</v>
      </c>
      <c r="D4023" t="s">
        <v>226</v>
      </c>
      <c r="E4023" t="s">
        <v>659</v>
      </c>
      <c r="F4023">
        <f t="shared" si="35"/>
        <v>26.14</v>
      </c>
      <c r="G4023">
        <v>26.14</v>
      </c>
    </row>
    <row r="4024" spans="1:7" hidden="1" x14ac:dyDescent="0.25">
      <c r="A4024" t="s">
        <v>660</v>
      </c>
      <c r="B4024">
        <v>12736</v>
      </c>
      <c r="C4024" t="s">
        <v>4694</v>
      </c>
      <c r="D4024" t="s">
        <v>226</v>
      </c>
      <c r="E4024" t="s">
        <v>659</v>
      </c>
      <c r="F4024">
        <f t="shared" si="35"/>
        <v>59.76</v>
      </c>
      <c r="G4024">
        <v>59.76</v>
      </c>
    </row>
    <row r="4025" spans="1:7" hidden="1" x14ac:dyDescent="0.25">
      <c r="A4025" t="s">
        <v>660</v>
      </c>
      <c r="B4025">
        <v>12737</v>
      </c>
      <c r="C4025" t="s">
        <v>4695</v>
      </c>
      <c r="D4025" t="s">
        <v>226</v>
      </c>
      <c r="E4025" t="s">
        <v>659</v>
      </c>
      <c r="F4025">
        <f t="shared" si="35"/>
        <v>76.989999999999995</v>
      </c>
      <c r="G4025">
        <v>76.989999999999995</v>
      </c>
    </row>
    <row r="4026" spans="1:7" hidden="1" x14ac:dyDescent="0.25">
      <c r="A4026" t="s">
        <v>660</v>
      </c>
      <c r="B4026">
        <v>12738</v>
      </c>
      <c r="C4026" t="s">
        <v>4696</v>
      </c>
      <c r="D4026" t="s">
        <v>226</v>
      </c>
      <c r="E4026" t="s">
        <v>659</v>
      </c>
      <c r="F4026">
        <f t="shared" si="35"/>
        <v>152.16999999999999</v>
      </c>
      <c r="G4026">
        <v>152.16999999999999</v>
      </c>
    </row>
    <row r="4027" spans="1:7" hidden="1" x14ac:dyDescent="0.25">
      <c r="A4027" t="s">
        <v>660</v>
      </c>
      <c r="B4027">
        <v>12739</v>
      </c>
      <c r="C4027" t="s">
        <v>4697</v>
      </c>
      <c r="D4027" t="s">
        <v>226</v>
      </c>
      <c r="E4027" t="s">
        <v>659</v>
      </c>
      <c r="F4027">
        <f t="shared" si="35"/>
        <v>433.17</v>
      </c>
      <c r="G4027">
        <v>433.17</v>
      </c>
    </row>
    <row r="4028" spans="1:7" hidden="1" x14ac:dyDescent="0.25">
      <c r="A4028" t="s">
        <v>660</v>
      </c>
      <c r="B4028">
        <v>12740</v>
      </c>
      <c r="C4028" t="s">
        <v>4698</v>
      </c>
      <c r="D4028" t="s">
        <v>226</v>
      </c>
      <c r="E4028" t="s">
        <v>659</v>
      </c>
      <c r="F4028">
        <f t="shared" si="35"/>
        <v>677.72</v>
      </c>
      <c r="G4028">
        <v>677.72</v>
      </c>
    </row>
    <row r="4029" spans="1:7" hidden="1" x14ac:dyDescent="0.25">
      <c r="A4029" t="s">
        <v>660</v>
      </c>
      <c r="B4029">
        <v>6297</v>
      </c>
      <c r="C4029" t="s">
        <v>4699</v>
      </c>
      <c r="D4029" t="s">
        <v>226</v>
      </c>
      <c r="E4029" t="s">
        <v>659</v>
      </c>
      <c r="F4029">
        <v>41.86</v>
      </c>
      <c r="G4029">
        <v>43.66</v>
      </c>
    </row>
    <row r="4030" spans="1:7" hidden="1" x14ac:dyDescent="0.25">
      <c r="A4030" t="s">
        <v>660</v>
      </c>
      <c r="B4030">
        <v>6296</v>
      </c>
      <c r="C4030" t="s">
        <v>4700</v>
      </c>
      <c r="D4030" t="s">
        <v>226</v>
      </c>
      <c r="E4030" t="s">
        <v>659</v>
      </c>
      <c r="F4030">
        <v>33.04</v>
      </c>
      <c r="G4030">
        <v>34.46</v>
      </c>
    </row>
    <row r="4031" spans="1:7" hidden="1" x14ac:dyDescent="0.25">
      <c r="A4031" t="s">
        <v>660</v>
      </c>
      <c r="B4031">
        <v>6323</v>
      </c>
      <c r="C4031" t="s">
        <v>4701</v>
      </c>
      <c r="D4031" t="s">
        <v>226</v>
      </c>
      <c r="E4031" t="s">
        <v>659</v>
      </c>
      <c r="F4031">
        <v>21.59</v>
      </c>
      <c r="G4031">
        <v>22.52</v>
      </c>
    </row>
    <row r="4032" spans="1:7" hidden="1" x14ac:dyDescent="0.25">
      <c r="A4032" t="s">
        <v>660</v>
      </c>
      <c r="B4032">
        <v>6294</v>
      </c>
      <c r="C4032" t="s">
        <v>4702</v>
      </c>
      <c r="D4032" t="s">
        <v>226</v>
      </c>
      <c r="E4032" t="s">
        <v>659</v>
      </c>
      <c r="F4032">
        <v>9.42</v>
      </c>
      <c r="G4032">
        <v>9.82</v>
      </c>
    </row>
    <row r="4033" spans="1:7" hidden="1" x14ac:dyDescent="0.25">
      <c r="A4033" t="s">
        <v>660</v>
      </c>
      <c r="B4033">
        <v>6299</v>
      </c>
      <c r="C4033" t="s">
        <v>4703</v>
      </c>
      <c r="D4033" t="s">
        <v>226</v>
      </c>
      <c r="E4033" t="s">
        <v>659</v>
      </c>
      <c r="F4033">
        <v>125.89</v>
      </c>
      <c r="G4033">
        <v>131.30000000000001</v>
      </c>
    </row>
    <row r="4034" spans="1:7" hidden="1" x14ac:dyDescent="0.25">
      <c r="A4034" t="s">
        <v>660</v>
      </c>
      <c r="B4034">
        <v>6298</v>
      </c>
      <c r="C4034" t="s">
        <v>4704</v>
      </c>
      <c r="D4034" t="s">
        <v>226</v>
      </c>
      <c r="E4034" t="s">
        <v>659</v>
      </c>
      <c r="F4034">
        <v>66.3</v>
      </c>
      <c r="G4034">
        <v>69.150000000000006</v>
      </c>
    </row>
    <row r="4035" spans="1:7" hidden="1" x14ac:dyDescent="0.25">
      <c r="A4035" t="s">
        <v>660</v>
      </c>
      <c r="B4035">
        <v>6322</v>
      </c>
      <c r="C4035" t="s">
        <v>4705</v>
      </c>
      <c r="D4035" t="s">
        <v>226</v>
      </c>
      <c r="E4035" t="s">
        <v>659</v>
      </c>
      <c r="F4035">
        <v>168.61</v>
      </c>
      <c r="G4035">
        <v>175.86</v>
      </c>
    </row>
    <row r="4036" spans="1:7" hidden="1" x14ac:dyDescent="0.25">
      <c r="A4036" t="s">
        <v>660</v>
      </c>
      <c r="B4036">
        <v>6295</v>
      </c>
      <c r="C4036" t="s">
        <v>4706</v>
      </c>
      <c r="D4036" t="s">
        <v>226</v>
      </c>
      <c r="E4036" t="s">
        <v>659</v>
      </c>
      <c r="F4036">
        <v>13.41</v>
      </c>
      <c r="G4036">
        <v>13.99</v>
      </c>
    </row>
    <row r="4037" spans="1:7" hidden="1" x14ac:dyDescent="0.25">
      <c r="A4037" t="s">
        <v>660</v>
      </c>
      <c r="B4037">
        <v>6300</v>
      </c>
      <c r="C4037" t="s">
        <v>4707</v>
      </c>
      <c r="D4037" t="s">
        <v>226</v>
      </c>
      <c r="E4037" t="s">
        <v>659</v>
      </c>
      <c r="F4037">
        <v>310.86</v>
      </c>
      <c r="G4037">
        <v>324.22000000000003</v>
      </c>
    </row>
    <row r="4038" spans="1:7" hidden="1" x14ac:dyDescent="0.25">
      <c r="A4038" t="s">
        <v>660</v>
      </c>
      <c r="B4038">
        <v>6321</v>
      </c>
      <c r="C4038" t="s">
        <v>4708</v>
      </c>
      <c r="D4038" t="s">
        <v>226</v>
      </c>
      <c r="E4038" t="s">
        <v>659</v>
      </c>
      <c r="F4038">
        <v>444.04</v>
      </c>
      <c r="G4038">
        <v>463.13</v>
      </c>
    </row>
    <row r="4039" spans="1:7" hidden="1" x14ac:dyDescent="0.25">
      <c r="A4039" t="s">
        <v>660</v>
      </c>
      <c r="B4039">
        <v>6301</v>
      </c>
      <c r="C4039" t="s">
        <v>4709</v>
      </c>
      <c r="D4039" t="s">
        <v>226</v>
      </c>
      <c r="E4039" t="s">
        <v>659</v>
      </c>
      <c r="F4039" s="538">
        <v>1040.78</v>
      </c>
      <c r="G4039" s="538">
        <v>1085.53</v>
      </c>
    </row>
    <row r="4040" spans="1:7" hidden="1" x14ac:dyDescent="0.25">
      <c r="A4040" t="s">
        <v>660</v>
      </c>
      <c r="B4040">
        <v>7105</v>
      </c>
      <c r="C4040" t="s">
        <v>4710</v>
      </c>
      <c r="D4040" t="s">
        <v>226</v>
      </c>
      <c r="E4040" t="s">
        <v>659</v>
      </c>
      <c r="F4040">
        <v>43.09</v>
      </c>
      <c r="G4040">
        <v>44.55</v>
      </c>
    </row>
    <row r="4041" spans="1:7" hidden="1" x14ac:dyDescent="0.25">
      <c r="A4041" t="s">
        <v>660</v>
      </c>
      <c r="B4041">
        <v>20183</v>
      </c>
      <c r="C4041" t="s">
        <v>4711</v>
      </c>
      <c r="D4041" t="s">
        <v>226</v>
      </c>
      <c r="E4041" t="s">
        <v>659</v>
      </c>
      <c r="F4041">
        <v>53.09</v>
      </c>
      <c r="G4041">
        <v>54.89</v>
      </c>
    </row>
    <row r="4042" spans="1:7" hidden="1" x14ac:dyDescent="0.25">
      <c r="A4042" t="s">
        <v>660</v>
      </c>
      <c r="B4042">
        <v>38448</v>
      </c>
      <c r="C4042" t="s">
        <v>4712</v>
      </c>
      <c r="D4042" t="s">
        <v>226</v>
      </c>
      <c r="E4042" t="s">
        <v>659</v>
      </c>
      <c r="F4042">
        <v>240.92</v>
      </c>
      <c r="G4042">
        <v>249.08</v>
      </c>
    </row>
    <row r="4043" spans="1:7" hidden="1" x14ac:dyDescent="0.25">
      <c r="A4043" t="s">
        <v>660</v>
      </c>
      <c r="B4043">
        <v>20182</v>
      </c>
      <c r="C4043" t="s">
        <v>4713</v>
      </c>
      <c r="D4043" t="s">
        <v>226</v>
      </c>
      <c r="E4043" t="s">
        <v>659</v>
      </c>
      <c r="F4043">
        <v>30.87</v>
      </c>
      <c r="G4043">
        <v>31.91</v>
      </c>
    </row>
    <row r="4044" spans="1:7" hidden="1" x14ac:dyDescent="0.25">
      <c r="A4044" t="s">
        <v>660</v>
      </c>
      <c r="B4044">
        <v>7119</v>
      </c>
      <c r="C4044" t="s">
        <v>4714</v>
      </c>
      <c r="D4044" t="s">
        <v>226</v>
      </c>
      <c r="E4044" t="s">
        <v>659</v>
      </c>
      <c r="F4044">
        <v>11.54</v>
      </c>
      <c r="G4044">
        <v>11.81</v>
      </c>
    </row>
    <row r="4045" spans="1:7" hidden="1" x14ac:dyDescent="0.25">
      <c r="A4045" t="s">
        <v>660</v>
      </c>
      <c r="B4045">
        <v>7126</v>
      </c>
      <c r="C4045" t="s">
        <v>4715</v>
      </c>
      <c r="D4045" t="s">
        <v>226</v>
      </c>
      <c r="E4045" t="s">
        <v>659</v>
      </c>
      <c r="F4045">
        <v>23.55</v>
      </c>
      <c r="G4045">
        <v>24.1</v>
      </c>
    </row>
    <row r="4046" spans="1:7" hidden="1" x14ac:dyDescent="0.25">
      <c r="A4046" t="s">
        <v>660</v>
      </c>
      <c r="B4046">
        <v>7120</v>
      </c>
      <c r="C4046" t="s">
        <v>4716</v>
      </c>
      <c r="D4046" t="s">
        <v>226</v>
      </c>
      <c r="E4046" t="s">
        <v>659</v>
      </c>
      <c r="F4046">
        <v>8.85</v>
      </c>
      <c r="G4046">
        <v>9.06</v>
      </c>
    </row>
    <row r="4047" spans="1:7" hidden="1" x14ac:dyDescent="0.25">
      <c r="A4047" t="s">
        <v>660</v>
      </c>
      <c r="B4047">
        <v>6319</v>
      </c>
      <c r="C4047" t="s">
        <v>4717</v>
      </c>
      <c r="D4047" t="s">
        <v>226</v>
      </c>
      <c r="E4047" t="s">
        <v>659</v>
      </c>
      <c r="F4047">
        <v>49.17</v>
      </c>
      <c r="G4047">
        <v>51.29</v>
      </c>
    </row>
    <row r="4048" spans="1:7" hidden="1" x14ac:dyDescent="0.25">
      <c r="A4048" t="s">
        <v>660</v>
      </c>
      <c r="B4048">
        <v>6304</v>
      </c>
      <c r="C4048" t="s">
        <v>4718</v>
      </c>
      <c r="D4048" t="s">
        <v>226</v>
      </c>
      <c r="E4048" t="s">
        <v>659</v>
      </c>
      <c r="F4048">
        <v>49.17</v>
      </c>
      <c r="G4048">
        <v>51.29</v>
      </c>
    </row>
    <row r="4049" spans="1:7" hidden="1" x14ac:dyDescent="0.25">
      <c r="A4049" t="s">
        <v>660</v>
      </c>
      <c r="B4049">
        <v>21116</v>
      </c>
      <c r="C4049" t="s">
        <v>4719</v>
      </c>
      <c r="D4049" t="s">
        <v>226</v>
      </c>
      <c r="E4049" t="s">
        <v>659</v>
      </c>
      <c r="F4049">
        <v>37.24</v>
      </c>
      <c r="G4049">
        <v>38.840000000000003</v>
      </c>
    </row>
    <row r="4050" spans="1:7" hidden="1" x14ac:dyDescent="0.25">
      <c r="A4050" t="s">
        <v>660</v>
      </c>
      <c r="B4050">
        <v>6320</v>
      </c>
      <c r="C4050" t="s">
        <v>4720</v>
      </c>
      <c r="D4050" t="s">
        <v>226</v>
      </c>
      <c r="E4050" t="s">
        <v>659</v>
      </c>
      <c r="F4050">
        <v>25.32</v>
      </c>
      <c r="G4050">
        <v>26.41</v>
      </c>
    </row>
    <row r="4051" spans="1:7" hidden="1" x14ac:dyDescent="0.25">
      <c r="A4051" t="s">
        <v>660</v>
      </c>
      <c r="B4051">
        <v>6303</v>
      </c>
      <c r="C4051" t="s">
        <v>4721</v>
      </c>
      <c r="D4051" t="s">
        <v>226</v>
      </c>
      <c r="E4051" t="s">
        <v>659</v>
      </c>
      <c r="F4051">
        <v>25.32</v>
      </c>
      <c r="G4051">
        <v>26.41</v>
      </c>
    </row>
    <row r="4052" spans="1:7" hidden="1" x14ac:dyDescent="0.25">
      <c r="A4052" t="s">
        <v>660</v>
      </c>
      <c r="B4052">
        <v>6308</v>
      </c>
      <c r="C4052" t="s">
        <v>4722</v>
      </c>
      <c r="D4052" t="s">
        <v>226</v>
      </c>
      <c r="E4052" t="s">
        <v>659</v>
      </c>
      <c r="F4052">
        <v>136.07</v>
      </c>
      <c r="G4052">
        <v>141.91999999999999</v>
      </c>
    </row>
    <row r="4053" spans="1:7" hidden="1" x14ac:dyDescent="0.25">
      <c r="A4053" t="s">
        <v>660</v>
      </c>
      <c r="B4053">
        <v>6317</v>
      </c>
      <c r="C4053" t="s">
        <v>4723</v>
      </c>
      <c r="D4053" t="s">
        <v>226</v>
      </c>
      <c r="E4053" t="s">
        <v>659</v>
      </c>
      <c r="F4053">
        <v>136.07</v>
      </c>
      <c r="G4053">
        <v>141.91999999999999</v>
      </c>
    </row>
    <row r="4054" spans="1:7" hidden="1" x14ac:dyDescent="0.25">
      <c r="A4054" t="s">
        <v>660</v>
      </c>
      <c r="B4054">
        <v>6307</v>
      </c>
      <c r="C4054" t="s">
        <v>4724</v>
      </c>
      <c r="D4054" t="s">
        <v>226</v>
      </c>
      <c r="E4054" t="s">
        <v>659</v>
      </c>
      <c r="F4054">
        <v>136.07</v>
      </c>
      <c r="G4054">
        <v>141.91999999999999</v>
      </c>
    </row>
    <row r="4055" spans="1:7" hidden="1" x14ac:dyDescent="0.25">
      <c r="A4055" t="s">
        <v>660</v>
      </c>
      <c r="B4055">
        <v>6309</v>
      </c>
      <c r="C4055" t="s">
        <v>4725</v>
      </c>
      <c r="D4055" t="s">
        <v>226</v>
      </c>
      <c r="E4055" t="s">
        <v>659</v>
      </c>
      <c r="F4055">
        <v>140.02000000000001</v>
      </c>
      <c r="G4055">
        <v>146.04</v>
      </c>
    </row>
    <row r="4056" spans="1:7" hidden="1" x14ac:dyDescent="0.25">
      <c r="A4056" t="s">
        <v>660</v>
      </c>
      <c r="B4056">
        <v>6318</v>
      </c>
      <c r="C4056" t="s">
        <v>4726</v>
      </c>
      <c r="D4056" t="s">
        <v>226</v>
      </c>
      <c r="E4056" t="s">
        <v>659</v>
      </c>
      <c r="F4056">
        <v>73.400000000000006</v>
      </c>
      <c r="G4056">
        <v>76.55</v>
      </c>
    </row>
    <row r="4057" spans="1:7" hidden="1" x14ac:dyDescent="0.25">
      <c r="A4057" t="s">
        <v>660</v>
      </c>
      <c r="B4057">
        <v>6306</v>
      </c>
      <c r="C4057" t="s">
        <v>4727</v>
      </c>
      <c r="D4057" t="s">
        <v>226</v>
      </c>
      <c r="E4057" t="s">
        <v>659</v>
      </c>
      <c r="F4057">
        <v>73.400000000000006</v>
      </c>
      <c r="G4057">
        <v>76.55</v>
      </c>
    </row>
    <row r="4058" spans="1:7" hidden="1" x14ac:dyDescent="0.25">
      <c r="A4058" t="s">
        <v>660</v>
      </c>
      <c r="B4058">
        <v>6305</v>
      </c>
      <c r="C4058" t="s">
        <v>4728</v>
      </c>
      <c r="D4058" t="s">
        <v>226</v>
      </c>
      <c r="E4058" t="s">
        <v>659</v>
      </c>
      <c r="F4058">
        <v>73.400000000000006</v>
      </c>
      <c r="G4058">
        <v>76.55</v>
      </c>
    </row>
    <row r="4059" spans="1:7" hidden="1" x14ac:dyDescent="0.25">
      <c r="A4059" t="s">
        <v>660</v>
      </c>
      <c r="B4059">
        <v>6312</v>
      </c>
      <c r="C4059" t="s">
        <v>4729</v>
      </c>
      <c r="D4059" t="s">
        <v>226</v>
      </c>
      <c r="E4059" t="s">
        <v>659</v>
      </c>
      <c r="F4059">
        <v>195.72</v>
      </c>
      <c r="G4059">
        <v>204.14</v>
      </c>
    </row>
    <row r="4060" spans="1:7" hidden="1" x14ac:dyDescent="0.25">
      <c r="A4060" t="s">
        <v>660</v>
      </c>
      <c r="B4060">
        <v>6311</v>
      </c>
      <c r="C4060" t="s">
        <v>4730</v>
      </c>
      <c r="D4060" t="s">
        <v>226</v>
      </c>
      <c r="E4060" t="s">
        <v>659</v>
      </c>
      <c r="F4060">
        <v>195.72</v>
      </c>
      <c r="G4060">
        <v>204.14</v>
      </c>
    </row>
    <row r="4061" spans="1:7" hidden="1" x14ac:dyDescent="0.25">
      <c r="A4061" t="s">
        <v>660</v>
      </c>
      <c r="B4061">
        <v>6310</v>
      </c>
      <c r="C4061" t="s">
        <v>4731</v>
      </c>
      <c r="D4061" t="s">
        <v>226</v>
      </c>
      <c r="E4061" t="s">
        <v>659</v>
      </c>
      <c r="F4061">
        <v>195.72</v>
      </c>
      <c r="G4061">
        <v>204.14</v>
      </c>
    </row>
    <row r="4062" spans="1:7" hidden="1" x14ac:dyDescent="0.25">
      <c r="A4062" t="s">
        <v>660</v>
      </c>
      <c r="B4062">
        <v>6314</v>
      </c>
      <c r="C4062" t="s">
        <v>4732</v>
      </c>
      <c r="D4062" t="s">
        <v>226</v>
      </c>
      <c r="E4062" t="s">
        <v>659</v>
      </c>
      <c r="F4062">
        <v>195.72</v>
      </c>
      <c r="G4062">
        <v>204.14</v>
      </c>
    </row>
    <row r="4063" spans="1:7" hidden="1" x14ac:dyDescent="0.25">
      <c r="A4063" t="s">
        <v>660</v>
      </c>
      <c r="B4063">
        <v>6313</v>
      </c>
      <c r="C4063" t="s">
        <v>4733</v>
      </c>
      <c r="D4063" t="s">
        <v>226</v>
      </c>
      <c r="E4063" t="s">
        <v>659</v>
      </c>
      <c r="F4063">
        <v>195.72</v>
      </c>
      <c r="G4063">
        <v>204.14</v>
      </c>
    </row>
    <row r="4064" spans="1:7" hidden="1" x14ac:dyDescent="0.25">
      <c r="A4064" t="s">
        <v>660</v>
      </c>
      <c r="B4064">
        <v>6302</v>
      </c>
      <c r="C4064" t="s">
        <v>4734</v>
      </c>
      <c r="D4064" t="s">
        <v>226</v>
      </c>
      <c r="E4064" t="s">
        <v>659</v>
      </c>
      <c r="F4064">
        <v>15.57</v>
      </c>
      <c r="G4064">
        <v>16.239999999999998</v>
      </c>
    </row>
    <row r="4065" spans="1:7" hidden="1" x14ac:dyDescent="0.25">
      <c r="A4065" t="s">
        <v>660</v>
      </c>
      <c r="B4065">
        <v>6315</v>
      </c>
      <c r="C4065" t="s">
        <v>4735</v>
      </c>
      <c r="D4065" t="s">
        <v>226</v>
      </c>
      <c r="E4065" t="s">
        <v>659</v>
      </c>
      <c r="F4065">
        <v>370.59</v>
      </c>
      <c r="G4065">
        <v>386.52</v>
      </c>
    </row>
    <row r="4066" spans="1:7" hidden="1" x14ac:dyDescent="0.25">
      <c r="A4066" t="s">
        <v>660</v>
      </c>
      <c r="B4066">
        <v>6316</v>
      </c>
      <c r="C4066" t="s">
        <v>4736</v>
      </c>
      <c r="D4066" t="s">
        <v>226</v>
      </c>
      <c r="E4066" t="s">
        <v>659</v>
      </c>
      <c r="F4066">
        <v>370.59</v>
      </c>
      <c r="G4066">
        <v>386.52</v>
      </c>
    </row>
    <row r="4067" spans="1:7" hidden="1" x14ac:dyDescent="0.25">
      <c r="A4067" t="s">
        <v>660</v>
      </c>
      <c r="B4067">
        <v>39324</v>
      </c>
      <c r="C4067" t="s">
        <v>4737</v>
      </c>
      <c r="D4067" t="s">
        <v>226</v>
      </c>
      <c r="E4067" t="s">
        <v>659</v>
      </c>
      <c r="F4067">
        <v>5.61</v>
      </c>
      <c r="G4067">
        <v>5.36</v>
      </c>
    </row>
    <row r="4068" spans="1:7" hidden="1" x14ac:dyDescent="0.25">
      <c r="A4068" t="s">
        <v>660</v>
      </c>
      <c r="B4068">
        <v>39325</v>
      </c>
      <c r="C4068" t="s">
        <v>4738</v>
      </c>
      <c r="D4068" t="s">
        <v>226</v>
      </c>
      <c r="E4068" t="s">
        <v>659</v>
      </c>
      <c r="F4068">
        <v>8.4600000000000009</v>
      </c>
      <c r="G4068">
        <v>8.08</v>
      </c>
    </row>
    <row r="4069" spans="1:7" hidden="1" x14ac:dyDescent="0.25">
      <c r="A4069" t="s">
        <v>660</v>
      </c>
      <c r="B4069">
        <v>39326</v>
      </c>
      <c r="C4069" t="s">
        <v>4739</v>
      </c>
      <c r="D4069" t="s">
        <v>226</v>
      </c>
      <c r="E4069" t="s">
        <v>659</v>
      </c>
      <c r="F4069">
        <v>30.36</v>
      </c>
      <c r="G4069">
        <v>28.98</v>
      </c>
    </row>
    <row r="4070" spans="1:7" hidden="1" x14ac:dyDescent="0.25">
      <c r="A4070" t="s">
        <v>660</v>
      </c>
      <c r="B4070">
        <v>39327</v>
      </c>
      <c r="C4070" t="s">
        <v>4740</v>
      </c>
      <c r="D4070" t="s">
        <v>226</v>
      </c>
      <c r="E4070" t="s">
        <v>659</v>
      </c>
      <c r="F4070">
        <v>45.81</v>
      </c>
      <c r="G4070">
        <v>43.73</v>
      </c>
    </row>
    <row r="4071" spans="1:7" hidden="1" x14ac:dyDescent="0.25">
      <c r="A4071" t="s">
        <v>660</v>
      </c>
      <c r="B4071">
        <v>11378</v>
      </c>
      <c r="C4071" t="s">
        <v>4741</v>
      </c>
      <c r="D4071" t="s">
        <v>226</v>
      </c>
      <c r="E4071" t="s">
        <v>659</v>
      </c>
      <c r="F4071">
        <v>109.84</v>
      </c>
      <c r="G4071">
        <v>113.21</v>
      </c>
    </row>
    <row r="4072" spans="1:7" hidden="1" x14ac:dyDescent="0.25">
      <c r="A4072" t="s">
        <v>660</v>
      </c>
      <c r="B4072">
        <v>11379</v>
      </c>
      <c r="C4072" t="s">
        <v>4742</v>
      </c>
      <c r="D4072" t="s">
        <v>226</v>
      </c>
      <c r="E4072" t="s">
        <v>659</v>
      </c>
      <c r="F4072">
        <v>92.82</v>
      </c>
      <c r="G4072">
        <v>95.67</v>
      </c>
    </row>
    <row r="4073" spans="1:7" hidden="1" x14ac:dyDescent="0.25">
      <c r="A4073" t="s">
        <v>660</v>
      </c>
      <c r="B4073">
        <v>11493</v>
      </c>
      <c r="C4073" t="s">
        <v>4743</v>
      </c>
      <c r="D4073" t="s">
        <v>226</v>
      </c>
      <c r="E4073" t="s">
        <v>659</v>
      </c>
      <c r="F4073">
        <v>53.54</v>
      </c>
      <c r="G4073">
        <v>55.18</v>
      </c>
    </row>
    <row r="4074" spans="1:7" hidden="1" x14ac:dyDescent="0.25">
      <c r="A4074" t="s">
        <v>660</v>
      </c>
      <c r="B4074">
        <v>7106</v>
      </c>
      <c r="C4074" t="s">
        <v>4744</v>
      </c>
      <c r="D4074" t="s">
        <v>226</v>
      </c>
      <c r="E4074" t="s">
        <v>659</v>
      </c>
      <c r="F4074">
        <v>145.71</v>
      </c>
      <c r="G4074">
        <v>149.13999999999999</v>
      </c>
    </row>
    <row r="4075" spans="1:7" hidden="1" x14ac:dyDescent="0.25">
      <c r="A4075" t="s">
        <v>660</v>
      </c>
      <c r="B4075">
        <v>7104</v>
      </c>
      <c r="C4075" t="s">
        <v>4745</v>
      </c>
      <c r="D4075" t="s">
        <v>226</v>
      </c>
      <c r="E4075" t="s">
        <v>659</v>
      </c>
      <c r="F4075">
        <v>3.93</v>
      </c>
      <c r="G4075">
        <v>4.0199999999999996</v>
      </c>
    </row>
    <row r="4076" spans="1:7" hidden="1" x14ac:dyDescent="0.25">
      <c r="A4076" t="s">
        <v>660</v>
      </c>
      <c r="B4076">
        <v>7136</v>
      </c>
      <c r="C4076" t="s">
        <v>4746</v>
      </c>
      <c r="D4076" t="s">
        <v>226</v>
      </c>
      <c r="E4076" t="s">
        <v>659</v>
      </c>
      <c r="F4076">
        <v>6.84</v>
      </c>
      <c r="G4076">
        <v>7</v>
      </c>
    </row>
    <row r="4077" spans="1:7" hidden="1" x14ac:dyDescent="0.25">
      <c r="A4077" t="s">
        <v>660</v>
      </c>
      <c r="B4077">
        <v>7128</v>
      </c>
      <c r="C4077" t="s">
        <v>4747</v>
      </c>
      <c r="D4077" t="s">
        <v>226</v>
      </c>
      <c r="E4077" t="s">
        <v>659</v>
      </c>
      <c r="F4077">
        <v>8.8699999999999992</v>
      </c>
      <c r="G4077">
        <v>9.08</v>
      </c>
    </row>
    <row r="4078" spans="1:7" hidden="1" x14ac:dyDescent="0.25">
      <c r="A4078" t="s">
        <v>660</v>
      </c>
      <c r="B4078">
        <v>7108</v>
      </c>
      <c r="C4078" t="s">
        <v>4748</v>
      </c>
      <c r="D4078" t="s">
        <v>226</v>
      </c>
      <c r="E4078" t="s">
        <v>659</v>
      </c>
      <c r="F4078">
        <v>8.85</v>
      </c>
      <c r="G4078">
        <v>9.06</v>
      </c>
    </row>
    <row r="4079" spans="1:7" hidden="1" x14ac:dyDescent="0.25">
      <c r="A4079" t="s">
        <v>660</v>
      </c>
      <c r="B4079">
        <v>7129</v>
      </c>
      <c r="C4079" t="s">
        <v>4749</v>
      </c>
      <c r="D4079" t="s">
        <v>226</v>
      </c>
      <c r="E4079" t="s">
        <v>659</v>
      </c>
      <c r="F4079">
        <v>10.42</v>
      </c>
      <c r="G4079">
        <v>10.66</v>
      </c>
    </row>
    <row r="4080" spans="1:7" hidden="1" x14ac:dyDescent="0.25">
      <c r="A4080" t="s">
        <v>660</v>
      </c>
      <c r="B4080">
        <v>7130</v>
      </c>
      <c r="C4080" t="s">
        <v>4750</v>
      </c>
      <c r="D4080" t="s">
        <v>226</v>
      </c>
      <c r="E4080" t="s">
        <v>659</v>
      </c>
      <c r="F4080">
        <v>15.14</v>
      </c>
      <c r="G4080">
        <v>15.49</v>
      </c>
    </row>
    <row r="4081" spans="1:7" hidden="1" x14ac:dyDescent="0.25">
      <c r="A4081" t="s">
        <v>660</v>
      </c>
      <c r="B4081">
        <v>7131</v>
      </c>
      <c r="C4081" t="s">
        <v>4751</v>
      </c>
      <c r="D4081" t="s">
        <v>226</v>
      </c>
      <c r="E4081" t="s">
        <v>659</v>
      </c>
      <c r="F4081">
        <v>18.510000000000002</v>
      </c>
      <c r="G4081">
        <v>18.95</v>
      </c>
    </row>
    <row r="4082" spans="1:7" hidden="1" x14ac:dyDescent="0.25">
      <c r="A4082" t="s">
        <v>660</v>
      </c>
      <c r="B4082">
        <v>7132</v>
      </c>
      <c r="C4082" t="s">
        <v>4752</v>
      </c>
      <c r="D4082" t="s">
        <v>226</v>
      </c>
      <c r="E4082" t="s">
        <v>659</v>
      </c>
      <c r="F4082">
        <v>43.58</v>
      </c>
      <c r="G4082">
        <v>44.61</v>
      </c>
    </row>
    <row r="4083" spans="1:7" hidden="1" x14ac:dyDescent="0.25">
      <c r="A4083" t="s">
        <v>660</v>
      </c>
      <c r="B4083">
        <v>7133</v>
      </c>
      <c r="C4083" t="s">
        <v>4753</v>
      </c>
      <c r="D4083" t="s">
        <v>226</v>
      </c>
      <c r="E4083" t="s">
        <v>659</v>
      </c>
      <c r="F4083">
        <v>100.72</v>
      </c>
      <c r="G4083">
        <v>103.09</v>
      </c>
    </row>
    <row r="4084" spans="1:7" hidden="1" x14ac:dyDescent="0.25">
      <c r="A4084" t="s">
        <v>660</v>
      </c>
      <c r="B4084">
        <v>37422</v>
      </c>
      <c r="C4084" t="s">
        <v>4754</v>
      </c>
      <c r="D4084" t="s">
        <v>226</v>
      </c>
      <c r="E4084" t="s">
        <v>659</v>
      </c>
      <c r="F4084">
        <v>77.52</v>
      </c>
      <c r="G4084">
        <v>48.4</v>
      </c>
    </row>
    <row r="4085" spans="1:7" hidden="1" x14ac:dyDescent="0.25">
      <c r="A4085" t="s">
        <v>660</v>
      </c>
      <c r="B4085">
        <v>37420</v>
      </c>
      <c r="C4085" t="s">
        <v>4755</v>
      </c>
      <c r="D4085" t="s">
        <v>226</v>
      </c>
      <c r="E4085" t="s">
        <v>659</v>
      </c>
      <c r="F4085">
        <v>60.59</v>
      </c>
      <c r="G4085">
        <v>37.83</v>
      </c>
    </row>
    <row r="4086" spans="1:7" hidden="1" x14ac:dyDescent="0.25">
      <c r="A4086" t="s">
        <v>660</v>
      </c>
      <c r="B4086">
        <v>37421</v>
      </c>
      <c r="C4086" t="s">
        <v>4756</v>
      </c>
      <c r="D4086" t="s">
        <v>226</v>
      </c>
      <c r="E4086" t="s">
        <v>659</v>
      </c>
      <c r="F4086">
        <v>82.81</v>
      </c>
      <c r="G4086">
        <v>51.71</v>
      </c>
    </row>
    <row r="4087" spans="1:7" hidden="1" x14ac:dyDescent="0.25">
      <c r="A4087" t="s">
        <v>660</v>
      </c>
      <c r="B4087">
        <v>37443</v>
      </c>
      <c r="C4087" t="s">
        <v>4757</v>
      </c>
      <c r="D4087" t="s">
        <v>226</v>
      </c>
      <c r="E4087" t="s">
        <v>659</v>
      </c>
      <c r="F4087">
        <f t="shared" ref="F4087:F4095" si="36">G4087</f>
        <v>202.82</v>
      </c>
      <c r="G4087">
        <v>202.82</v>
      </c>
    </row>
    <row r="4088" spans="1:7" hidden="1" x14ac:dyDescent="0.25">
      <c r="A4088" t="s">
        <v>660</v>
      </c>
      <c r="B4088">
        <v>37444</v>
      </c>
      <c r="C4088" t="s">
        <v>4758</v>
      </c>
      <c r="D4088" t="s">
        <v>226</v>
      </c>
      <c r="E4088" t="s">
        <v>659</v>
      </c>
      <c r="F4088">
        <f t="shared" si="36"/>
        <v>206.26</v>
      </c>
      <c r="G4088">
        <v>206.26</v>
      </c>
    </row>
    <row r="4089" spans="1:7" hidden="1" x14ac:dyDescent="0.25">
      <c r="A4089" t="s">
        <v>660</v>
      </c>
      <c r="B4089">
        <v>37445</v>
      </c>
      <c r="C4089" t="s">
        <v>4759</v>
      </c>
      <c r="D4089" t="s">
        <v>226</v>
      </c>
      <c r="E4089" t="s">
        <v>659</v>
      </c>
      <c r="F4089">
        <f t="shared" si="36"/>
        <v>312.63</v>
      </c>
      <c r="G4089">
        <v>312.63</v>
      </c>
    </row>
    <row r="4090" spans="1:7" hidden="1" x14ac:dyDescent="0.25">
      <c r="A4090" t="s">
        <v>660</v>
      </c>
      <c r="B4090">
        <v>37446</v>
      </c>
      <c r="C4090" t="s">
        <v>4760</v>
      </c>
      <c r="D4090" t="s">
        <v>226</v>
      </c>
      <c r="E4090" t="s">
        <v>659</v>
      </c>
      <c r="F4090">
        <f t="shared" si="36"/>
        <v>340.82</v>
      </c>
      <c r="G4090">
        <v>340.82</v>
      </c>
    </row>
    <row r="4091" spans="1:7" hidden="1" x14ac:dyDescent="0.25">
      <c r="A4091" t="s">
        <v>660</v>
      </c>
      <c r="B4091">
        <v>37447</v>
      </c>
      <c r="C4091" t="s">
        <v>4761</v>
      </c>
      <c r="D4091" t="s">
        <v>226</v>
      </c>
      <c r="E4091" t="s">
        <v>659</v>
      </c>
      <c r="F4091">
        <f t="shared" si="36"/>
        <v>346.15</v>
      </c>
      <c r="G4091">
        <v>346.15</v>
      </c>
    </row>
    <row r="4092" spans="1:7" hidden="1" x14ac:dyDescent="0.25">
      <c r="A4092" t="s">
        <v>660</v>
      </c>
      <c r="B4092">
        <v>37448</v>
      </c>
      <c r="C4092" t="s">
        <v>4762</v>
      </c>
      <c r="D4092" t="s">
        <v>226</v>
      </c>
      <c r="E4092" t="s">
        <v>659</v>
      </c>
      <c r="F4092">
        <f t="shared" si="36"/>
        <v>474.8</v>
      </c>
      <c r="G4092">
        <v>474.8</v>
      </c>
    </row>
    <row r="4093" spans="1:7" hidden="1" x14ac:dyDescent="0.25">
      <c r="A4093" t="s">
        <v>660</v>
      </c>
      <c r="B4093">
        <v>37440</v>
      </c>
      <c r="C4093" t="s">
        <v>4763</v>
      </c>
      <c r="D4093" t="s">
        <v>226</v>
      </c>
      <c r="E4093" t="s">
        <v>659</v>
      </c>
      <c r="F4093">
        <f t="shared" si="36"/>
        <v>160.97999999999999</v>
      </c>
      <c r="G4093">
        <v>160.97999999999999</v>
      </c>
    </row>
    <row r="4094" spans="1:7" hidden="1" x14ac:dyDescent="0.25">
      <c r="A4094" t="s">
        <v>660</v>
      </c>
      <c r="B4094">
        <v>37441</v>
      </c>
      <c r="C4094" t="s">
        <v>4764</v>
      </c>
      <c r="D4094" t="s">
        <v>226</v>
      </c>
      <c r="E4094" t="s">
        <v>659</v>
      </c>
      <c r="F4094">
        <f t="shared" si="36"/>
        <v>160.97999999999999</v>
      </c>
      <c r="G4094">
        <v>160.97999999999999</v>
      </c>
    </row>
    <row r="4095" spans="1:7" hidden="1" x14ac:dyDescent="0.25">
      <c r="A4095" t="s">
        <v>660</v>
      </c>
      <c r="B4095">
        <v>37442</v>
      </c>
      <c r="C4095" t="s">
        <v>4765</v>
      </c>
      <c r="D4095" t="s">
        <v>226</v>
      </c>
      <c r="E4095" t="s">
        <v>659</v>
      </c>
      <c r="F4095">
        <f t="shared" si="36"/>
        <v>193.89</v>
      </c>
      <c r="G4095">
        <v>193.89</v>
      </c>
    </row>
    <row r="4096" spans="1:7" hidden="1" x14ac:dyDescent="0.25">
      <c r="A4096" t="s">
        <v>660</v>
      </c>
      <c r="B4096">
        <v>38017</v>
      </c>
      <c r="C4096" t="s">
        <v>4766</v>
      </c>
      <c r="D4096" t="s">
        <v>226</v>
      </c>
      <c r="E4096" t="s">
        <v>659</v>
      </c>
      <c r="F4096">
        <v>11.48</v>
      </c>
      <c r="G4096">
        <v>10.96</v>
      </c>
    </row>
    <row r="4097" spans="1:7" hidden="1" x14ac:dyDescent="0.25">
      <c r="A4097" t="s">
        <v>660</v>
      </c>
      <c r="B4097">
        <v>38018</v>
      </c>
      <c r="C4097" t="s">
        <v>4767</v>
      </c>
      <c r="D4097" t="s">
        <v>226</v>
      </c>
      <c r="E4097" t="s">
        <v>659</v>
      </c>
      <c r="F4097">
        <v>12.9</v>
      </c>
      <c r="G4097">
        <v>12.32</v>
      </c>
    </row>
    <row r="4098" spans="1:7" hidden="1" x14ac:dyDescent="0.25">
      <c r="A4098" t="s">
        <v>660</v>
      </c>
      <c r="B4098">
        <v>39895</v>
      </c>
      <c r="C4098" t="s">
        <v>4768</v>
      </c>
      <c r="D4098" t="s">
        <v>226</v>
      </c>
      <c r="E4098" t="s">
        <v>659</v>
      </c>
      <c r="F4098">
        <f t="shared" ref="F4098:F4104" si="37">G4098</f>
        <v>53.83</v>
      </c>
      <c r="G4098">
        <v>53.83</v>
      </c>
    </row>
    <row r="4099" spans="1:7" hidden="1" x14ac:dyDescent="0.25">
      <c r="A4099" t="s">
        <v>660</v>
      </c>
      <c r="B4099">
        <v>39896</v>
      </c>
      <c r="C4099" t="s">
        <v>4769</v>
      </c>
      <c r="D4099" t="s">
        <v>226</v>
      </c>
      <c r="E4099" t="s">
        <v>659</v>
      </c>
      <c r="F4099">
        <f t="shared" si="37"/>
        <v>78.89</v>
      </c>
      <c r="G4099">
        <v>78.89</v>
      </c>
    </row>
    <row r="4100" spans="1:7" hidden="1" x14ac:dyDescent="0.25">
      <c r="A4100" t="s">
        <v>660</v>
      </c>
      <c r="B4100">
        <v>38873</v>
      </c>
      <c r="C4100" t="s">
        <v>4770</v>
      </c>
      <c r="D4100" t="s">
        <v>226</v>
      </c>
      <c r="E4100" t="s">
        <v>659</v>
      </c>
      <c r="F4100">
        <f t="shared" si="37"/>
        <v>16.77</v>
      </c>
      <c r="G4100">
        <v>16.77</v>
      </c>
    </row>
    <row r="4101" spans="1:7" hidden="1" x14ac:dyDescent="0.25">
      <c r="A4101" t="s">
        <v>660</v>
      </c>
      <c r="B4101">
        <v>38874</v>
      </c>
      <c r="C4101" t="s">
        <v>4771</v>
      </c>
      <c r="D4101" t="s">
        <v>226</v>
      </c>
      <c r="E4101" t="s">
        <v>659</v>
      </c>
      <c r="F4101">
        <f t="shared" si="37"/>
        <v>21.24</v>
      </c>
      <c r="G4101">
        <v>21.24</v>
      </c>
    </row>
    <row r="4102" spans="1:7" hidden="1" x14ac:dyDescent="0.25">
      <c r="A4102" t="s">
        <v>660</v>
      </c>
      <c r="B4102">
        <v>38875</v>
      </c>
      <c r="C4102" t="s">
        <v>4772</v>
      </c>
      <c r="D4102" t="s">
        <v>226</v>
      </c>
      <c r="E4102" t="s">
        <v>659</v>
      </c>
      <c r="F4102">
        <f t="shared" si="37"/>
        <v>33.659999999999997</v>
      </c>
      <c r="G4102">
        <v>33.659999999999997</v>
      </c>
    </row>
    <row r="4103" spans="1:7" hidden="1" x14ac:dyDescent="0.25">
      <c r="A4103" t="s">
        <v>660</v>
      </c>
      <c r="B4103">
        <v>38876</v>
      </c>
      <c r="C4103" t="s">
        <v>4773</v>
      </c>
      <c r="D4103" t="s">
        <v>226</v>
      </c>
      <c r="E4103" t="s">
        <v>659</v>
      </c>
      <c r="F4103">
        <f t="shared" si="37"/>
        <v>45.23</v>
      </c>
      <c r="G4103">
        <v>45.23</v>
      </c>
    </row>
    <row r="4104" spans="1:7" hidden="1" x14ac:dyDescent="0.25">
      <c r="A4104" t="s">
        <v>660</v>
      </c>
      <c r="B4104">
        <v>39000</v>
      </c>
      <c r="C4104" t="s">
        <v>4774</v>
      </c>
      <c r="D4104" t="s">
        <v>226</v>
      </c>
      <c r="E4104" t="s">
        <v>659</v>
      </c>
      <c r="F4104">
        <f t="shared" si="37"/>
        <v>33.950000000000003</v>
      </c>
      <c r="G4104">
        <v>33.950000000000003</v>
      </c>
    </row>
    <row r="4105" spans="1:7" hidden="1" x14ac:dyDescent="0.25">
      <c r="A4105" t="s">
        <v>660</v>
      </c>
      <c r="B4105">
        <v>38674</v>
      </c>
      <c r="C4105" t="s">
        <v>4775</v>
      </c>
      <c r="D4105" t="s">
        <v>226</v>
      </c>
      <c r="E4105" t="s">
        <v>659</v>
      </c>
      <c r="F4105">
        <v>38.630000000000003</v>
      </c>
      <c r="G4105">
        <v>36.869999999999997</v>
      </c>
    </row>
    <row r="4106" spans="1:7" hidden="1" x14ac:dyDescent="0.25">
      <c r="A4106" t="s">
        <v>660</v>
      </c>
      <c r="B4106">
        <v>38019</v>
      </c>
      <c r="C4106" t="s">
        <v>4776</v>
      </c>
      <c r="D4106" t="s">
        <v>226</v>
      </c>
      <c r="E4106" t="s">
        <v>659</v>
      </c>
      <c r="F4106">
        <v>8.17</v>
      </c>
      <c r="G4106">
        <v>7.8</v>
      </c>
    </row>
    <row r="4107" spans="1:7" hidden="1" x14ac:dyDescent="0.25">
      <c r="A4107" t="s">
        <v>660</v>
      </c>
      <c r="B4107">
        <v>38020</v>
      </c>
      <c r="C4107" t="s">
        <v>4777</v>
      </c>
      <c r="D4107" t="s">
        <v>226</v>
      </c>
      <c r="E4107" t="s">
        <v>659</v>
      </c>
      <c r="F4107">
        <v>10.07</v>
      </c>
      <c r="G4107">
        <v>9.61</v>
      </c>
    </row>
    <row r="4108" spans="1:7" hidden="1" x14ac:dyDescent="0.25">
      <c r="A4108" t="s">
        <v>660</v>
      </c>
      <c r="B4108">
        <v>38454</v>
      </c>
      <c r="C4108" t="s">
        <v>4778</v>
      </c>
      <c r="D4108" t="s">
        <v>226</v>
      </c>
      <c r="E4108" t="s">
        <v>659</v>
      </c>
      <c r="F4108">
        <f t="shared" ref="F4108:F4118" si="38">G4108</f>
        <v>12.73</v>
      </c>
      <c r="G4108">
        <v>12.73</v>
      </c>
    </row>
    <row r="4109" spans="1:7" hidden="1" x14ac:dyDescent="0.25">
      <c r="A4109" t="s">
        <v>660</v>
      </c>
      <c r="B4109">
        <v>38455</v>
      </c>
      <c r="C4109" t="s">
        <v>4779</v>
      </c>
      <c r="D4109" t="s">
        <v>226</v>
      </c>
      <c r="E4109" t="s">
        <v>659</v>
      </c>
      <c r="F4109">
        <f t="shared" si="38"/>
        <v>17.04</v>
      </c>
      <c r="G4109">
        <v>17.04</v>
      </c>
    </row>
    <row r="4110" spans="1:7" hidden="1" x14ac:dyDescent="0.25">
      <c r="A4110" t="s">
        <v>660</v>
      </c>
      <c r="B4110">
        <v>38462</v>
      </c>
      <c r="C4110" t="s">
        <v>4780</v>
      </c>
      <c r="D4110" t="s">
        <v>226</v>
      </c>
      <c r="E4110" t="s">
        <v>659</v>
      </c>
      <c r="F4110">
        <f t="shared" si="38"/>
        <v>274.79000000000002</v>
      </c>
      <c r="G4110">
        <v>274.79000000000002</v>
      </c>
    </row>
    <row r="4111" spans="1:7" hidden="1" x14ac:dyDescent="0.25">
      <c r="A4111" t="s">
        <v>660</v>
      </c>
      <c r="B4111">
        <v>36362</v>
      </c>
      <c r="C4111" t="s">
        <v>4781</v>
      </c>
      <c r="D4111" t="s">
        <v>226</v>
      </c>
      <c r="E4111" t="s">
        <v>659</v>
      </c>
      <c r="F4111">
        <f t="shared" si="38"/>
        <v>3.79</v>
      </c>
      <c r="G4111">
        <v>3.79</v>
      </c>
    </row>
    <row r="4112" spans="1:7" hidden="1" x14ac:dyDescent="0.25">
      <c r="A4112" t="s">
        <v>660</v>
      </c>
      <c r="B4112">
        <v>36298</v>
      </c>
      <c r="C4112" t="s">
        <v>4782</v>
      </c>
      <c r="D4112" t="s">
        <v>226</v>
      </c>
      <c r="E4112" t="s">
        <v>659</v>
      </c>
      <c r="F4112">
        <f t="shared" si="38"/>
        <v>3.26</v>
      </c>
      <c r="G4112">
        <v>3.26</v>
      </c>
    </row>
    <row r="4113" spans="1:7" hidden="1" x14ac:dyDescent="0.25">
      <c r="A4113" t="s">
        <v>660</v>
      </c>
      <c r="B4113">
        <v>38456</v>
      </c>
      <c r="C4113" t="s">
        <v>4783</v>
      </c>
      <c r="D4113" t="s">
        <v>226</v>
      </c>
      <c r="E4113" t="s">
        <v>659</v>
      </c>
      <c r="F4113">
        <f t="shared" si="38"/>
        <v>8.1199999999999992</v>
      </c>
      <c r="G4113">
        <v>8.1199999999999992</v>
      </c>
    </row>
    <row r="4114" spans="1:7" hidden="1" x14ac:dyDescent="0.25">
      <c r="A4114" t="s">
        <v>660</v>
      </c>
      <c r="B4114">
        <v>38457</v>
      </c>
      <c r="C4114" t="s">
        <v>4784</v>
      </c>
      <c r="D4114" t="s">
        <v>226</v>
      </c>
      <c r="E4114" t="s">
        <v>659</v>
      </c>
      <c r="F4114">
        <f t="shared" si="38"/>
        <v>14.81</v>
      </c>
      <c r="G4114">
        <v>14.81</v>
      </c>
    </row>
    <row r="4115" spans="1:7" hidden="1" x14ac:dyDescent="0.25">
      <c r="A4115" t="s">
        <v>660</v>
      </c>
      <c r="B4115">
        <v>38458</v>
      </c>
      <c r="C4115" t="s">
        <v>4785</v>
      </c>
      <c r="D4115" t="s">
        <v>226</v>
      </c>
      <c r="E4115" t="s">
        <v>659</v>
      </c>
      <c r="F4115">
        <f t="shared" si="38"/>
        <v>28.52</v>
      </c>
      <c r="G4115">
        <v>28.52</v>
      </c>
    </row>
    <row r="4116" spans="1:7" hidden="1" x14ac:dyDescent="0.25">
      <c r="A4116" t="s">
        <v>660</v>
      </c>
      <c r="B4116">
        <v>38459</v>
      </c>
      <c r="C4116" t="s">
        <v>4786</v>
      </c>
      <c r="D4116" t="s">
        <v>226</v>
      </c>
      <c r="E4116" t="s">
        <v>659</v>
      </c>
      <c r="F4116">
        <f t="shared" si="38"/>
        <v>44.84</v>
      </c>
      <c r="G4116">
        <v>44.84</v>
      </c>
    </row>
    <row r="4117" spans="1:7" hidden="1" x14ac:dyDescent="0.25">
      <c r="A4117" t="s">
        <v>660</v>
      </c>
      <c r="B4117">
        <v>38460</v>
      </c>
      <c r="C4117" t="s">
        <v>4787</v>
      </c>
      <c r="D4117" t="s">
        <v>226</v>
      </c>
      <c r="E4117" t="s">
        <v>659</v>
      </c>
      <c r="F4117">
        <f t="shared" si="38"/>
        <v>96.19</v>
      </c>
      <c r="G4117">
        <v>96.19</v>
      </c>
    </row>
    <row r="4118" spans="1:7" hidden="1" x14ac:dyDescent="0.25">
      <c r="A4118" t="s">
        <v>660</v>
      </c>
      <c r="B4118">
        <v>38461</v>
      </c>
      <c r="C4118" t="s">
        <v>4788</v>
      </c>
      <c r="D4118" t="s">
        <v>226</v>
      </c>
      <c r="E4118" t="s">
        <v>659</v>
      </c>
      <c r="F4118">
        <f t="shared" si="38"/>
        <v>129.08000000000001</v>
      </c>
      <c r="G4118">
        <v>129.08000000000001</v>
      </c>
    </row>
    <row r="4119" spans="1:7" hidden="1" x14ac:dyDescent="0.25">
      <c r="A4119" t="s">
        <v>660</v>
      </c>
      <c r="B4119">
        <v>7094</v>
      </c>
      <c r="C4119" t="s">
        <v>4789</v>
      </c>
      <c r="D4119" t="s">
        <v>226</v>
      </c>
      <c r="E4119" t="s">
        <v>659</v>
      </c>
      <c r="F4119">
        <v>12.82</v>
      </c>
      <c r="G4119">
        <v>13.12</v>
      </c>
    </row>
    <row r="4120" spans="1:7" hidden="1" x14ac:dyDescent="0.25">
      <c r="A4120" t="s">
        <v>660</v>
      </c>
      <c r="B4120">
        <v>7116</v>
      </c>
      <c r="C4120" t="s">
        <v>4790</v>
      </c>
      <c r="D4120" t="s">
        <v>226</v>
      </c>
      <c r="E4120" t="s">
        <v>659</v>
      </c>
      <c r="F4120">
        <v>3.86</v>
      </c>
      <c r="G4120">
        <v>3.99</v>
      </c>
    </row>
    <row r="4121" spans="1:7" hidden="1" x14ac:dyDescent="0.25">
      <c r="A4121" t="s">
        <v>660</v>
      </c>
      <c r="B4121">
        <v>7118</v>
      </c>
      <c r="C4121" t="s">
        <v>4791</v>
      </c>
      <c r="D4121" t="s">
        <v>226</v>
      </c>
      <c r="E4121" t="s">
        <v>659</v>
      </c>
      <c r="F4121">
        <v>26.37</v>
      </c>
      <c r="G4121">
        <v>26.99</v>
      </c>
    </row>
    <row r="4122" spans="1:7" hidden="1" x14ac:dyDescent="0.25">
      <c r="A4122" t="s">
        <v>660</v>
      </c>
      <c r="B4122">
        <v>7098</v>
      </c>
      <c r="C4122" t="s">
        <v>4792</v>
      </c>
      <c r="D4122" t="s">
        <v>226</v>
      </c>
      <c r="E4122" t="s">
        <v>659</v>
      </c>
      <c r="F4122">
        <v>3.92</v>
      </c>
      <c r="G4122">
        <v>4.01</v>
      </c>
    </row>
    <row r="4123" spans="1:7" hidden="1" x14ac:dyDescent="0.25">
      <c r="A4123" t="s">
        <v>660</v>
      </c>
      <c r="B4123">
        <v>7110</v>
      </c>
      <c r="C4123" t="s">
        <v>4793</v>
      </c>
      <c r="D4123" t="s">
        <v>226</v>
      </c>
      <c r="E4123" t="s">
        <v>659</v>
      </c>
      <c r="F4123">
        <v>50.13</v>
      </c>
      <c r="G4123">
        <v>51.31</v>
      </c>
    </row>
    <row r="4124" spans="1:7" hidden="1" x14ac:dyDescent="0.25">
      <c r="A4124" t="s">
        <v>660</v>
      </c>
      <c r="B4124">
        <v>7123</v>
      </c>
      <c r="C4124" t="s">
        <v>4794</v>
      </c>
      <c r="D4124" t="s">
        <v>226</v>
      </c>
      <c r="E4124" t="s">
        <v>659</v>
      </c>
      <c r="F4124">
        <v>4.74</v>
      </c>
      <c r="G4124">
        <v>4.8499999999999996</v>
      </c>
    </row>
    <row r="4125" spans="1:7" hidden="1" x14ac:dyDescent="0.25">
      <c r="A4125" t="s">
        <v>660</v>
      </c>
      <c r="B4125">
        <v>7121</v>
      </c>
      <c r="C4125" t="s">
        <v>4795</v>
      </c>
      <c r="D4125" t="s">
        <v>226</v>
      </c>
      <c r="E4125" t="s">
        <v>659</v>
      </c>
      <c r="F4125">
        <v>9.3699999999999992</v>
      </c>
      <c r="G4125">
        <v>9.59</v>
      </c>
    </row>
    <row r="4126" spans="1:7" hidden="1" x14ac:dyDescent="0.25">
      <c r="A4126" t="s">
        <v>660</v>
      </c>
      <c r="B4126">
        <v>7137</v>
      </c>
      <c r="C4126" t="s">
        <v>4796</v>
      </c>
      <c r="D4126" t="s">
        <v>226</v>
      </c>
      <c r="E4126" t="s">
        <v>659</v>
      </c>
      <c r="F4126">
        <v>10.24</v>
      </c>
      <c r="G4126">
        <v>10.48</v>
      </c>
    </row>
    <row r="4127" spans="1:7" hidden="1" x14ac:dyDescent="0.25">
      <c r="A4127" t="s">
        <v>660</v>
      </c>
      <c r="B4127">
        <v>7122</v>
      </c>
      <c r="C4127" t="s">
        <v>4797</v>
      </c>
      <c r="D4127" t="s">
        <v>226</v>
      </c>
      <c r="E4127" t="s">
        <v>659</v>
      </c>
      <c r="F4127">
        <v>11.27</v>
      </c>
      <c r="G4127">
        <v>11.54</v>
      </c>
    </row>
    <row r="4128" spans="1:7" hidden="1" x14ac:dyDescent="0.25">
      <c r="A4128" t="s">
        <v>660</v>
      </c>
      <c r="B4128">
        <v>7114</v>
      </c>
      <c r="C4128" t="s">
        <v>4798</v>
      </c>
      <c r="D4128" t="s">
        <v>226</v>
      </c>
      <c r="E4128" t="s">
        <v>659</v>
      </c>
      <c r="F4128">
        <v>13.11</v>
      </c>
      <c r="G4128">
        <v>13.42</v>
      </c>
    </row>
    <row r="4129" spans="1:7" hidden="1" x14ac:dyDescent="0.25">
      <c r="A4129" t="s">
        <v>660</v>
      </c>
      <c r="B4129">
        <v>7109</v>
      </c>
      <c r="C4129" t="s">
        <v>4799</v>
      </c>
      <c r="D4129" t="s">
        <v>226</v>
      </c>
      <c r="E4129" t="s">
        <v>659</v>
      </c>
      <c r="F4129">
        <v>2.6</v>
      </c>
      <c r="G4129">
        <v>2.66</v>
      </c>
    </row>
    <row r="4130" spans="1:7" hidden="1" x14ac:dyDescent="0.25">
      <c r="A4130" t="s">
        <v>660</v>
      </c>
      <c r="B4130">
        <v>7135</v>
      </c>
      <c r="C4130" t="s">
        <v>4800</v>
      </c>
      <c r="D4130" t="s">
        <v>226</v>
      </c>
      <c r="E4130" t="s">
        <v>659</v>
      </c>
      <c r="F4130">
        <v>5.32</v>
      </c>
      <c r="G4130">
        <v>5.45</v>
      </c>
    </row>
    <row r="4131" spans="1:7" hidden="1" x14ac:dyDescent="0.25">
      <c r="A4131" t="s">
        <v>660</v>
      </c>
      <c r="B4131">
        <v>37947</v>
      </c>
      <c r="C4131" t="s">
        <v>4801</v>
      </c>
      <c r="D4131" t="s">
        <v>226</v>
      </c>
      <c r="E4131" t="s">
        <v>659</v>
      </c>
      <c r="F4131">
        <v>4.32</v>
      </c>
      <c r="G4131">
        <v>4.43</v>
      </c>
    </row>
    <row r="4132" spans="1:7" hidden="1" x14ac:dyDescent="0.25">
      <c r="A4132" t="s">
        <v>660</v>
      </c>
      <c r="B4132">
        <v>7103</v>
      </c>
      <c r="C4132" t="s">
        <v>4802</v>
      </c>
      <c r="D4132" t="s">
        <v>226</v>
      </c>
      <c r="E4132" t="s">
        <v>659</v>
      </c>
      <c r="F4132">
        <v>14.1</v>
      </c>
      <c r="G4132">
        <v>14.43</v>
      </c>
    </row>
    <row r="4133" spans="1:7" hidden="1" x14ac:dyDescent="0.25">
      <c r="A4133" t="s">
        <v>660</v>
      </c>
      <c r="B4133">
        <v>40419</v>
      </c>
      <c r="C4133" t="s">
        <v>4803</v>
      </c>
      <c r="D4133" t="s">
        <v>226</v>
      </c>
      <c r="E4133" t="s">
        <v>659</v>
      </c>
      <c r="F4133">
        <f t="shared" ref="F4133:F4138" si="39">G4133</f>
        <v>31.92</v>
      </c>
      <c r="G4133">
        <v>31.92</v>
      </c>
    </row>
    <row r="4134" spans="1:7" hidden="1" x14ac:dyDescent="0.25">
      <c r="A4134" t="s">
        <v>660</v>
      </c>
      <c r="B4134">
        <v>40420</v>
      </c>
      <c r="C4134" t="s">
        <v>4804</v>
      </c>
      <c r="D4134" t="s">
        <v>226</v>
      </c>
      <c r="E4134" t="s">
        <v>659</v>
      </c>
      <c r="F4134">
        <f t="shared" si="39"/>
        <v>46.56</v>
      </c>
      <c r="G4134">
        <v>46.56</v>
      </c>
    </row>
    <row r="4135" spans="1:7" hidden="1" x14ac:dyDescent="0.25">
      <c r="A4135" t="s">
        <v>660</v>
      </c>
      <c r="B4135">
        <v>40421</v>
      </c>
      <c r="C4135" t="s">
        <v>4805</v>
      </c>
      <c r="D4135" t="s">
        <v>226</v>
      </c>
      <c r="E4135" t="s">
        <v>659</v>
      </c>
      <c r="F4135">
        <f t="shared" si="39"/>
        <v>49.57</v>
      </c>
      <c r="G4135">
        <v>49.57</v>
      </c>
    </row>
    <row r="4136" spans="1:7" hidden="1" x14ac:dyDescent="0.25">
      <c r="A4136" t="s">
        <v>660</v>
      </c>
      <c r="B4136">
        <v>38905</v>
      </c>
      <c r="C4136" t="s">
        <v>4806</v>
      </c>
      <c r="D4136" t="s">
        <v>226</v>
      </c>
      <c r="E4136" t="s">
        <v>659</v>
      </c>
      <c r="F4136">
        <f t="shared" si="39"/>
        <v>21.7</v>
      </c>
      <c r="G4136">
        <v>21.7</v>
      </c>
    </row>
    <row r="4137" spans="1:7" hidden="1" x14ac:dyDescent="0.25">
      <c r="A4137" t="s">
        <v>660</v>
      </c>
      <c r="B4137">
        <v>38907</v>
      </c>
      <c r="C4137" t="s">
        <v>4807</v>
      </c>
      <c r="D4137" t="s">
        <v>226</v>
      </c>
      <c r="E4137" t="s">
        <v>659</v>
      </c>
      <c r="F4137">
        <f t="shared" si="39"/>
        <v>20.92</v>
      </c>
      <c r="G4137">
        <v>20.92</v>
      </c>
    </row>
    <row r="4138" spans="1:7" hidden="1" x14ac:dyDescent="0.25">
      <c r="A4138" t="s">
        <v>660</v>
      </c>
      <c r="B4138">
        <v>38910</v>
      </c>
      <c r="C4138" t="s">
        <v>4808</v>
      </c>
      <c r="D4138" t="s">
        <v>226</v>
      </c>
      <c r="E4138" t="s">
        <v>659</v>
      </c>
      <c r="F4138">
        <f t="shared" si="39"/>
        <v>24.47</v>
      </c>
      <c r="G4138">
        <v>24.47</v>
      </c>
    </row>
    <row r="4139" spans="1:7" hidden="1" x14ac:dyDescent="0.25">
      <c r="A4139" t="s">
        <v>660</v>
      </c>
      <c r="B4139">
        <v>11655</v>
      </c>
      <c r="C4139" t="s">
        <v>4809</v>
      </c>
      <c r="D4139" t="s">
        <v>226</v>
      </c>
      <c r="E4139" t="s">
        <v>659</v>
      </c>
      <c r="F4139">
        <v>17.86</v>
      </c>
      <c r="G4139">
        <v>18.46</v>
      </c>
    </row>
    <row r="4140" spans="1:7" hidden="1" x14ac:dyDescent="0.25">
      <c r="A4140" t="s">
        <v>660</v>
      </c>
      <c r="B4140">
        <v>11656</v>
      </c>
      <c r="C4140" t="s">
        <v>4810</v>
      </c>
      <c r="D4140" t="s">
        <v>226</v>
      </c>
      <c r="E4140" t="s">
        <v>659</v>
      </c>
      <c r="F4140">
        <v>20.5</v>
      </c>
      <c r="G4140">
        <v>21.2</v>
      </c>
    </row>
    <row r="4141" spans="1:7" hidden="1" x14ac:dyDescent="0.25">
      <c r="A4141" t="s">
        <v>660</v>
      </c>
      <c r="B4141">
        <v>7091</v>
      </c>
      <c r="C4141" t="s">
        <v>4811</v>
      </c>
      <c r="D4141" t="s">
        <v>226</v>
      </c>
      <c r="E4141" t="s">
        <v>659</v>
      </c>
      <c r="F4141">
        <v>16.8</v>
      </c>
      <c r="G4141">
        <v>17.37</v>
      </c>
    </row>
    <row r="4142" spans="1:7" hidden="1" x14ac:dyDescent="0.25">
      <c r="A4142" t="s">
        <v>660</v>
      </c>
      <c r="B4142">
        <v>37948</v>
      </c>
      <c r="C4142" t="s">
        <v>4812</v>
      </c>
      <c r="D4142" t="s">
        <v>226</v>
      </c>
      <c r="E4142" t="s">
        <v>659</v>
      </c>
      <c r="F4142">
        <v>3.89</v>
      </c>
      <c r="G4142">
        <v>4.0199999999999996</v>
      </c>
    </row>
    <row r="4143" spans="1:7" hidden="1" x14ac:dyDescent="0.25">
      <c r="A4143" t="s">
        <v>660</v>
      </c>
      <c r="B4143">
        <v>7097</v>
      </c>
      <c r="C4143" t="s">
        <v>4813</v>
      </c>
      <c r="D4143" t="s">
        <v>226</v>
      </c>
      <c r="E4143" t="s">
        <v>659</v>
      </c>
      <c r="F4143">
        <v>7.89</v>
      </c>
      <c r="G4143">
        <v>8.16</v>
      </c>
    </row>
    <row r="4144" spans="1:7" hidden="1" x14ac:dyDescent="0.25">
      <c r="A4144" t="s">
        <v>660</v>
      </c>
      <c r="B4144">
        <v>11658</v>
      </c>
      <c r="C4144" t="s">
        <v>4814</v>
      </c>
      <c r="D4144" t="s">
        <v>226</v>
      </c>
      <c r="E4144" t="s">
        <v>659</v>
      </c>
      <c r="F4144">
        <v>17.440000000000001</v>
      </c>
      <c r="G4144">
        <v>18.03</v>
      </c>
    </row>
    <row r="4145" spans="1:7" hidden="1" x14ac:dyDescent="0.25">
      <c r="A4145" t="s">
        <v>660</v>
      </c>
      <c r="B4145">
        <v>7146</v>
      </c>
      <c r="C4145" t="s">
        <v>4815</v>
      </c>
      <c r="D4145" t="s">
        <v>226</v>
      </c>
      <c r="E4145" t="s">
        <v>659</v>
      </c>
      <c r="F4145">
        <v>171.59</v>
      </c>
      <c r="G4145">
        <v>175.62</v>
      </c>
    </row>
    <row r="4146" spans="1:7" hidden="1" x14ac:dyDescent="0.25">
      <c r="A4146" t="s">
        <v>660</v>
      </c>
      <c r="B4146">
        <v>7138</v>
      </c>
      <c r="C4146" t="s">
        <v>4816</v>
      </c>
      <c r="D4146" t="s">
        <v>226</v>
      </c>
      <c r="E4146" t="s">
        <v>659</v>
      </c>
      <c r="F4146">
        <v>1.08</v>
      </c>
      <c r="G4146">
        <v>1.1100000000000001</v>
      </c>
    </row>
    <row r="4147" spans="1:7" hidden="1" x14ac:dyDescent="0.25">
      <c r="A4147" t="s">
        <v>660</v>
      </c>
      <c r="B4147">
        <v>7139</v>
      </c>
      <c r="C4147" t="s">
        <v>4817</v>
      </c>
      <c r="D4147" t="s">
        <v>226</v>
      </c>
      <c r="E4147" t="s">
        <v>659</v>
      </c>
      <c r="F4147">
        <v>1.23</v>
      </c>
      <c r="G4147">
        <v>1.26</v>
      </c>
    </row>
    <row r="4148" spans="1:7" hidden="1" x14ac:dyDescent="0.25">
      <c r="A4148" t="s">
        <v>660</v>
      </c>
      <c r="B4148">
        <v>7140</v>
      </c>
      <c r="C4148" t="s">
        <v>4818</v>
      </c>
      <c r="D4148" t="s">
        <v>226</v>
      </c>
      <c r="E4148" t="s">
        <v>659</v>
      </c>
      <c r="F4148">
        <v>3.86</v>
      </c>
      <c r="G4148">
        <v>3.95</v>
      </c>
    </row>
    <row r="4149" spans="1:7" hidden="1" x14ac:dyDescent="0.25">
      <c r="A4149" t="s">
        <v>660</v>
      </c>
      <c r="B4149">
        <v>7141</v>
      </c>
      <c r="C4149" t="s">
        <v>4819</v>
      </c>
      <c r="D4149" t="s">
        <v>226</v>
      </c>
      <c r="E4149" t="s">
        <v>659</v>
      </c>
      <c r="F4149">
        <v>9.44</v>
      </c>
      <c r="G4149">
        <v>9.66</v>
      </c>
    </row>
    <row r="4150" spans="1:7" hidden="1" x14ac:dyDescent="0.25">
      <c r="A4150" t="s">
        <v>660</v>
      </c>
      <c r="B4150">
        <v>7143</v>
      </c>
      <c r="C4150" t="s">
        <v>4820</v>
      </c>
      <c r="D4150" t="s">
        <v>226</v>
      </c>
      <c r="E4150" t="s">
        <v>659</v>
      </c>
      <c r="F4150">
        <v>31.68</v>
      </c>
      <c r="G4150">
        <v>32.42</v>
      </c>
    </row>
    <row r="4151" spans="1:7" hidden="1" x14ac:dyDescent="0.25">
      <c r="A4151" t="s">
        <v>660</v>
      </c>
      <c r="B4151">
        <v>7144</v>
      </c>
      <c r="C4151" t="s">
        <v>4821</v>
      </c>
      <c r="D4151" t="s">
        <v>226</v>
      </c>
      <c r="E4151" t="s">
        <v>659</v>
      </c>
      <c r="F4151">
        <v>58.77</v>
      </c>
      <c r="G4151">
        <v>60.15</v>
      </c>
    </row>
    <row r="4152" spans="1:7" hidden="1" x14ac:dyDescent="0.25">
      <c r="A4152" t="s">
        <v>660</v>
      </c>
      <c r="B4152">
        <v>7145</v>
      </c>
      <c r="C4152" t="s">
        <v>4822</v>
      </c>
      <c r="D4152" t="s">
        <v>226</v>
      </c>
      <c r="E4152" t="s">
        <v>659</v>
      </c>
      <c r="F4152">
        <v>79.91</v>
      </c>
      <c r="G4152">
        <v>81.790000000000006</v>
      </c>
    </row>
    <row r="4153" spans="1:7" hidden="1" x14ac:dyDescent="0.25">
      <c r="A4153" t="s">
        <v>660</v>
      </c>
      <c r="B4153">
        <v>7142</v>
      </c>
      <c r="C4153" t="s">
        <v>4823</v>
      </c>
      <c r="D4153" t="s">
        <v>226</v>
      </c>
      <c r="E4153" t="s">
        <v>659</v>
      </c>
      <c r="F4153">
        <v>9.8699999999999992</v>
      </c>
      <c r="G4153">
        <v>10.1</v>
      </c>
    </row>
    <row r="4154" spans="1:7" hidden="1" x14ac:dyDescent="0.25">
      <c r="A4154" t="s">
        <v>660</v>
      </c>
      <c r="B4154">
        <v>39322</v>
      </c>
      <c r="C4154" t="s">
        <v>4824</v>
      </c>
      <c r="D4154" t="s">
        <v>226</v>
      </c>
      <c r="E4154" t="s">
        <v>659</v>
      </c>
      <c r="F4154">
        <f>G4154</f>
        <v>10.32</v>
      </c>
      <c r="G4154">
        <v>10.32</v>
      </c>
    </row>
    <row r="4155" spans="1:7" hidden="1" x14ac:dyDescent="0.25">
      <c r="A4155" t="s">
        <v>660</v>
      </c>
      <c r="B4155">
        <v>39289</v>
      </c>
      <c r="C4155" t="s">
        <v>4825</v>
      </c>
      <c r="D4155" t="s">
        <v>226</v>
      </c>
      <c r="E4155" t="s">
        <v>659</v>
      </c>
      <c r="F4155">
        <f>G4155</f>
        <v>19.239999999999998</v>
      </c>
      <c r="G4155">
        <v>19.239999999999998</v>
      </c>
    </row>
    <row r="4156" spans="1:7" hidden="1" x14ac:dyDescent="0.25">
      <c r="A4156" t="s">
        <v>660</v>
      </c>
      <c r="B4156">
        <v>39290</v>
      </c>
      <c r="C4156" t="s">
        <v>4826</v>
      </c>
      <c r="D4156" t="s">
        <v>226</v>
      </c>
      <c r="E4156" t="s">
        <v>659</v>
      </c>
      <c r="F4156">
        <f>G4156</f>
        <v>32.49</v>
      </c>
      <c r="G4156">
        <v>32.49</v>
      </c>
    </row>
    <row r="4157" spans="1:7" hidden="1" x14ac:dyDescent="0.25">
      <c r="A4157" t="s">
        <v>660</v>
      </c>
      <c r="B4157">
        <v>39291</v>
      </c>
      <c r="C4157" t="s">
        <v>4827</v>
      </c>
      <c r="D4157" t="s">
        <v>226</v>
      </c>
      <c r="E4157" t="s">
        <v>659</v>
      </c>
      <c r="F4157">
        <f>G4157</f>
        <v>35.93</v>
      </c>
      <c r="G4157">
        <v>35.93</v>
      </c>
    </row>
    <row r="4158" spans="1:7" hidden="1" x14ac:dyDescent="0.25">
      <c r="A4158" t="s">
        <v>660</v>
      </c>
      <c r="B4158">
        <v>41892</v>
      </c>
      <c r="C4158" t="s">
        <v>4828</v>
      </c>
      <c r="D4158" t="s">
        <v>226</v>
      </c>
      <c r="E4158" t="s">
        <v>659</v>
      </c>
      <c r="F4158">
        <v>138.22999999999999</v>
      </c>
      <c r="G4158">
        <v>142.47</v>
      </c>
    </row>
    <row r="4159" spans="1:7" hidden="1" x14ac:dyDescent="0.25">
      <c r="A4159" t="s">
        <v>660</v>
      </c>
      <c r="B4159">
        <v>7048</v>
      </c>
      <c r="C4159" t="s">
        <v>4829</v>
      </c>
      <c r="D4159" t="s">
        <v>226</v>
      </c>
      <c r="E4159" t="s">
        <v>659</v>
      </c>
      <c r="F4159">
        <v>29.83</v>
      </c>
      <c r="G4159">
        <v>30.75</v>
      </c>
    </row>
    <row r="4160" spans="1:7" hidden="1" x14ac:dyDescent="0.25">
      <c r="A4160" t="s">
        <v>660</v>
      </c>
      <c r="B4160">
        <v>7088</v>
      </c>
      <c r="C4160" t="s">
        <v>4830</v>
      </c>
      <c r="D4160" t="s">
        <v>226</v>
      </c>
      <c r="E4160" t="s">
        <v>659</v>
      </c>
      <c r="F4160">
        <v>65.239999999999995</v>
      </c>
      <c r="G4160">
        <v>67.239999999999995</v>
      </c>
    </row>
    <row r="4161" spans="1:7" hidden="1" x14ac:dyDescent="0.25">
      <c r="A4161" t="s">
        <v>660</v>
      </c>
      <c r="B4161">
        <v>7070</v>
      </c>
      <c r="C4161" t="s">
        <v>4831</v>
      </c>
      <c r="D4161" t="s">
        <v>226</v>
      </c>
      <c r="E4161" t="s">
        <v>659</v>
      </c>
      <c r="F4161">
        <v>216.1</v>
      </c>
      <c r="G4161">
        <v>223.42</v>
      </c>
    </row>
    <row r="4162" spans="1:7" hidden="1" x14ac:dyDescent="0.25">
      <c r="A4162" t="s">
        <v>660</v>
      </c>
      <c r="B4162">
        <v>20179</v>
      </c>
      <c r="C4162" t="s">
        <v>4832</v>
      </c>
      <c r="D4162" t="s">
        <v>226</v>
      </c>
      <c r="E4162" t="s">
        <v>659</v>
      </c>
      <c r="F4162">
        <v>45.96</v>
      </c>
      <c r="G4162">
        <v>47.52</v>
      </c>
    </row>
    <row r="4163" spans="1:7" hidden="1" x14ac:dyDescent="0.25">
      <c r="A4163" t="s">
        <v>660</v>
      </c>
      <c r="B4163">
        <v>20178</v>
      </c>
      <c r="C4163" t="s">
        <v>4833</v>
      </c>
      <c r="D4163" t="s">
        <v>226</v>
      </c>
      <c r="E4163" t="s">
        <v>659</v>
      </c>
      <c r="F4163">
        <v>55.09</v>
      </c>
      <c r="G4163">
        <v>56.96</v>
      </c>
    </row>
    <row r="4164" spans="1:7" hidden="1" x14ac:dyDescent="0.25">
      <c r="A4164" t="s">
        <v>660</v>
      </c>
      <c r="B4164">
        <v>20180</v>
      </c>
      <c r="C4164" t="s">
        <v>4834</v>
      </c>
      <c r="D4164" t="s">
        <v>226</v>
      </c>
      <c r="E4164" t="s">
        <v>659</v>
      </c>
      <c r="F4164">
        <v>90.93</v>
      </c>
      <c r="G4164">
        <v>94.01</v>
      </c>
    </row>
    <row r="4165" spans="1:7" hidden="1" x14ac:dyDescent="0.25">
      <c r="A4165" t="s">
        <v>660</v>
      </c>
      <c r="B4165">
        <v>20181</v>
      </c>
      <c r="C4165" t="s">
        <v>4835</v>
      </c>
      <c r="D4165" t="s">
        <v>226</v>
      </c>
      <c r="E4165" t="s">
        <v>659</v>
      </c>
      <c r="F4165">
        <v>121.75</v>
      </c>
      <c r="G4165">
        <v>125.87</v>
      </c>
    </row>
    <row r="4166" spans="1:7" hidden="1" x14ac:dyDescent="0.25">
      <c r="A4166" t="s">
        <v>660</v>
      </c>
      <c r="B4166">
        <v>20177</v>
      </c>
      <c r="C4166" t="s">
        <v>4836</v>
      </c>
      <c r="D4166" t="s">
        <v>226</v>
      </c>
      <c r="E4166" t="s">
        <v>659</v>
      </c>
      <c r="F4166">
        <v>30.11</v>
      </c>
      <c r="G4166">
        <v>31.13</v>
      </c>
    </row>
    <row r="4167" spans="1:7" hidden="1" x14ac:dyDescent="0.25">
      <c r="A4167" t="s">
        <v>807</v>
      </c>
      <c r="B4167">
        <v>40945</v>
      </c>
      <c r="C4167" t="s">
        <v>4837</v>
      </c>
      <c r="D4167" t="s">
        <v>809</v>
      </c>
      <c r="E4167" t="s">
        <v>659</v>
      </c>
      <c r="F4167">
        <v>16.39</v>
      </c>
      <c r="G4167">
        <v>28.29</v>
      </c>
    </row>
    <row r="4168" spans="1:7" hidden="1" x14ac:dyDescent="0.25">
      <c r="A4168" t="s">
        <v>807</v>
      </c>
      <c r="B4168">
        <v>40946</v>
      </c>
      <c r="C4168" t="s">
        <v>4838</v>
      </c>
      <c r="D4168" t="s">
        <v>811</v>
      </c>
      <c r="E4168" t="s">
        <v>659</v>
      </c>
      <c r="F4168" s="538">
        <v>3606.93</v>
      </c>
      <c r="G4168" s="538">
        <v>6224.78</v>
      </c>
    </row>
    <row r="4169" spans="1:7" hidden="1" x14ac:dyDescent="0.25">
      <c r="A4169" t="s">
        <v>807</v>
      </c>
      <c r="B4169">
        <v>7153</v>
      </c>
      <c r="C4169" t="s">
        <v>4839</v>
      </c>
      <c r="D4169" t="s">
        <v>809</v>
      </c>
      <c r="E4169" t="s">
        <v>659</v>
      </c>
      <c r="F4169">
        <v>18.28</v>
      </c>
      <c r="G4169">
        <v>28.27</v>
      </c>
    </row>
    <row r="4170" spans="1:7" hidden="1" x14ac:dyDescent="0.25">
      <c r="A4170" t="s">
        <v>807</v>
      </c>
      <c r="B4170">
        <v>41089</v>
      </c>
      <c r="C4170" t="s">
        <v>4840</v>
      </c>
      <c r="D4170" t="s">
        <v>811</v>
      </c>
      <c r="E4170" t="s">
        <v>659</v>
      </c>
      <c r="F4170" s="538">
        <v>4023.36</v>
      </c>
      <c r="G4170" s="538">
        <v>6219.47</v>
      </c>
    </row>
    <row r="4171" spans="1:7" hidden="1" x14ac:dyDescent="0.25">
      <c r="A4171" t="s">
        <v>807</v>
      </c>
      <c r="B4171">
        <v>40943</v>
      </c>
      <c r="C4171" t="s">
        <v>4841</v>
      </c>
      <c r="D4171" t="s">
        <v>809</v>
      </c>
      <c r="E4171" t="s">
        <v>659</v>
      </c>
      <c r="F4171">
        <v>18.21</v>
      </c>
      <c r="G4171">
        <v>34.49</v>
      </c>
    </row>
    <row r="4172" spans="1:7" hidden="1" x14ac:dyDescent="0.25">
      <c r="A4172" t="s">
        <v>807</v>
      </c>
      <c r="B4172">
        <v>40944</v>
      </c>
      <c r="C4172" t="s">
        <v>4842</v>
      </c>
      <c r="D4172" t="s">
        <v>811</v>
      </c>
      <c r="E4172" t="s">
        <v>659</v>
      </c>
      <c r="F4172" s="538">
        <v>4007.79</v>
      </c>
      <c r="G4172" s="538">
        <v>7588.87</v>
      </c>
    </row>
    <row r="4173" spans="1:7" hidden="1" x14ac:dyDescent="0.25">
      <c r="A4173" t="s">
        <v>807</v>
      </c>
      <c r="B4173">
        <v>6175</v>
      </c>
      <c r="C4173" t="s">
        <v>4843</v>
      </c>
      <c r="D4173" t="s">
        <v>809</v>
      </c>
      <c r="E4173" t="s">
        <v>659</v>
      </c>
      <c r="F4173">
        <v>11.82</v>
      </c>
      <c r="G4173">
        <v>15.6</v>
      </c>
    </row>
    <row r="4174" spans="1:7" hidden="1" x14ac:dyDescent="0.25">
      <c r="A4174" t="s">
        <v>807</v>
      </c>
      <c r="B4174">
        <v>41092</v>
      </c>
      <c r="C4174" t="s">
        <v>4844</v>
      </c>
      <c r="D4174" t="s">
        <v>811</v>
      </c>
      <c r="E4174" t="s">
        <v>659</v>
      </c>
      <c r="F4174" s="538">
        <v>2601.7600000000002</v>
      </c>
      <c r="G4174" s="538">
        <v>3432.08</v>
      </c>
    </row>
    <row r="4175" spans="1:7" hidden="1" x14ac:dyDescent="0.25">
      <c r="A4175" t="s">
        <v>660</v>
      </c>
      <c r="B4175">
        <v>37712</v>
      </c>
      <c r="C4175" t="s">
        <v>4845</v>
      </c>
      <c r="D4175" t="s">
        <v>498</v>
      </c>
      <c r="E4175" t="s">
        <v>659</v>
      </c>
      <c r="F4175">
        <v>62.62</v>
      </c>
      <c r="G4175">
        <v>66.17</v>
      </c>
    </row>
    <row r="4176" spans="1:7" hidden="1" x14ac:dyDescent="0.25">
      <c r="A4176" t="s">
        <v>660</v>
      </c>
      <c r="B4176">
        <v>34558</v>
      </c>
      <c r="C4176" t="s">
        <v>4846</v>
      </c>
      <c r="D4176" t="s">
        <v>704</v>
      </c>
      <c r="E4176" t="s">
        <v>659</v>
      </c>
      <c r="F4176">
        <v>2.83</v>
      </c>
      <c r="G4176">
        <v>2.52</v>
      </c>
    </row>
    <row r="4177" spans="1:7" hidden="1" x14ac:dyDescent="0.25">
      <c r="A4177" t="s">
        <v>660</v>
      </c>
      <c r="B4177">
        <v>34547</v>
      </c>
      <c r="C4177" t="s">
        <v>4847</v>
      </c>
      <c r="D4177" t="s">
        <v>704</v>
      </c>
      <c r="E4177" t="s">
        <v>659</v>
      </c>
      <c r="F4177">
        <v>3.48</v>
      </c>
      <c r="G4177">
        <v>3.1</v>
      </c>
    </row>
    <row r="4178" spans="1:7" hidden="1" x14ac:dyDescent="0.25">
      <c r="A4178" t="s">
        <v>660</v>
      </c>
      <c r="B4178">
        <v>34548</v>
      </c>
      <c r="C4178" t="s">
        <v>4848</v>
      </c>
      <c r="D4178" t="s">
        <v>704</v>
      </c>
      <c r="E4178" t="s">
        <v>659</v>
      </c>
      <c r="F4178">
        <v>5.71</v>
      </c>
      <c r="G4178">
        <v>5.09</v>
      </c>
    </row>
    <row r="4179" spans="1:7" hidden="1" x14ac:dyDescent="0.25">
      <c r="A4179" t="s">
        <v>660</v>
      </c>
      <c r="B4179">
        <v>34550</v>
      </c>
      <c r="C4179" t="s">
        <v>4849</v>
      </c>
      <c r="D4179" t="s">
        <v>704</v>
      </c>
      <c r="E4179" t="s">
        <v>659</v>
      </c>
      <c r="F4179">
        <v>1.5</v>
      </c>
      <c r="G4179">
        <v>1.34</v>
      </c>
    </row>
    <row r="4180" spans="1:7" hidden="1" x14ac:dyDescent="0.25">
      <c r="A4180" t="s">
        <v>660</v>
      </c>
      <c r="B4180">
        <v>34557</v>
      </c>
      <c r="C4180" t="s">
        <v>4850</v>
      </c>
      <c r="D4180" t="s">
        <v>704</v>
      </c>
      <c r="E4180" t="s">
        <v>659</v>
      </c>
      <c r="F4180">
        <v>2.2000000000000002</v>
      </c>
      <c r="G4180">
        <v>1.96</v>
      </c>
    </row>
    <row r="4181" spans="1:7" hidden="1" x14ac:dyDescent="0.25">
      <c r="A4181" t="s">
        <v>660</v>
      </c>
      <c r="B4181">
        <v>37411</v>
      </c>
      <c r="C4181" t="s">
        <v>4851</v>
      </c>
      <c r="D4181" t="s">
        <v>498</v>
      </c>
      <c r="E4181" t="s">
        <v>659</v>
      </c>
      <c r="F4181">
        <v>16.11</v>
      </c>
      <c r="G4181">
        <v>14.36</v>
      </c>
    </row>
    <row r="4182" spans="1:7" hidden="1" x14ac:dyDescent="0.25">
      <c r="A4182" t="s">
        <v>660</v>
      </c>
      <c r="B4182">
        <v>39508</v>
      </c>
      <c r="C4182" t="s">
        <v>4852</v>
      </c>
      <c r="D4182" t="s">
        <v>498</v>
      </c>
      <c r="E4182" t="s">
        <v>659</v>
      </c>
      <c r="F4182">
        <v>9.0500000000000007</v>
      </c>
      <c r="G4182">
        <v>8.07</v>
      </c>
    </row>
    <row r="4183" spans="1:7" hidden="1" x14ac:dyDescent="0.25">
      <c r="A4183" t="s">
        <v>660</v>
      </c>
      <c r="B4183">
        <v>39507</v>
      </c>
      <c r="C4183" t="s">
        <v>4853</v>
      </c>
      <c r="D4183" t="s">
        <v>498</v>
      </c>
      <c r="E4183" t="s">
        <v>659</v>
      </c>
      <c r="F4183">
        <v>13.5</v>
      </c>
      <c r="G4183">
        <v>12.04</v>
      </c>
    </row>
    <row r="4184" spans="1:7" hidden="1" x14ac:dyDescent="0.25">
      <c r="A4184" t="s">
        <v>660</v>
      </c>
      <c r="B4184">
        <v>7155</v>
      </c>
      <c r="C4184" t="s">
        <v>4854</v>
      </c>
      <c r="D4184" t="s">
        <v>498</v>
      </c>
      <c r="E4184" t="s">
        <v>659</v>
      </c>
      <c r="F4184">
        <v>17.329999999999998</v>
      </c>
      <c r="G4184">
        <v>15.45</v>
      </c>
    </row>
    <row r="4185" spans="1:7" hidden="1" x14ac:dyDescent="0.25">
      <c r="A4185" t="s">
        <v>660</v>
      </c>
      <c r="B4185">
        <v>42406</v>
      </c>
      <c r="C4185" t="s">
        <v>4855</v>
      </c>
      <c r="D4185" t="s">
        <v>498</v>
      </c>
      <c r="E4185" t="s">
        <v>659</v>
      </c>
      <c r="F4185">
        <v>19.87</v>
      </c>
      <c r="G4185">
        <v>17.72</v>
      </c>
    </row>
    <row r="4186" spans="1:7" hidden="1" x14ac:dyDescent="0.25">
      <c r="A4186" t="s">
        <v>660</v>
      </c>
      <c r="B4186">
        <v>7156</v>
      </c>
      <c r="C4186" t="s">
        <v>4856</v>
      </c>
      <c r="D4186" t="s">
        <v>498</v>
      </c>
      <c r="E4186" t="s">
        <v>172</v>
      </c>
      <c r="F4186">
        <v>24.87</v>
      </c>
      <c r="G4186">
        <v>22.17</v>
      </c>
    </row>
    <row r="4187" spans="1:7" hidden="1" x14ac:dyDescent="0.25">
      <c r="A4187" t="s">
        <v>660</v>
      </c>
      <c r="B4187">
        <v>43127</v>
      </c>
      <c r="C4187" t="s">
        <v>4857</v>
      </c>
      <c r="D4187" t="s">
        <v>498</v>
      </c>
      <c r="E4187" t="s">
        <v>659</v>
      </c>
      <c r="F4187">
        <v>35.590000000000003</v>
      </c>
      <c r="G4187">
        <v>31.73</v>
      </c>
    </row>
    <row r="4188" spans="1:7" hidden="1" x14ac:dyDescent="0.25">
      <c r="A4188" t="s">
        <v>660</v>
      </c>
      <c r="B4188">
        <v>10917</v>
      </c>
      <c r="C4188" t="s">
        <v>4858</v>
      </c>
      <c r="D4188" t="s">
        <v>498</v>
      </c>
      <c r="E4188" t="s">
        <v>659</v>
      </c>
      <c r="F4188">
        <v>7.51</v>
      </c>
      <c r="G4188">
        <v>6.69</v>
      </c>
    </row>
    <row r="4189" spans="1:7" hidden="1" x14ac:dyDescent="0.25">
      <c r="A4189" t="s">
        <v>660</v>
      </c>
      <c r="B4189">
        <v>21141</v>
      </c>
      <c r="C4189" t="s">
        <v>4859</v>
      </c>
      <c r="D4189" t="s">
        <v>498</v>
      </c>
      <c r="E4189" t="s">
        <v>659</v>
      </c>
      <c r="F4189">
        <v>11.63</v>
      </c>
      <c r="G4189">
        <v>10.36</v>
      </c>
    </row>
    <row r="4190" spans="1:7" hidden="1" x14ac:dyDescent="0.25">
      <c r="A4190" t="s">
        <v>660</v>
      </c>
      <c r="B4190">
        <v>39509</v>
      </c>
      <c r="C4190" t="s">
        <v>4860</v>
      </c>
      <c r="D4190" t="s">
        <v>498</v>
      </c>
      <c r="E4190" t="s">
        <v>659</v>
      </c>
      <c r="F4190">
        <v>11.19</v>
      </c>
      <c r="G4190">
        <v>9.9700000000000006</v>
      </c>
    </row>
    <row r="4191" spans="1:7" hidden="1" x14ac:dyDescent="0.25">
      <c r="A4191" t="s">
        <v>660</v>
      </c>
      <c r="B4191">
        <v>44529</v>
      </c>
      <c r="C4191" t="s">
        <v>4861</v>
      </c>
      <c r="D4191" t="s">
        <v>498</v>
      </c>
      <c r="E4191" t="s">
        <v>659</v>
      </c>
      <c r="F4191">
        <v>13.02</v>
      </c>
      <c r="G4191">
        <v>23.22</v>
      </c>
    </row>
    <row r="4192" spans="1:7" hidden="1" x14ac:dyDescent="0.25">
      <c r="A4192" t="s">
        <v>660</v>
      </c>
      <c r="B4192">
        <v>7167</v>
      </c>
      <c r="C4192" t="s">
        <v>4862</v>
      </c>
      <c r="D4192" t="s">
        <v>498</v>
      </c>
      <c r="E4192" t="s">
        <v>659</v>
      </c>
      <c r="F4192">
        <v>22.45</v>
      </c>
      <c r="G4192">
        <v>25.6</v>
      </c>
    </row>
    <row r="4193" spans="1:7" hidden="1" x14ac:dyDescent="0.25">
      <c r="A4193" t="s">
        <v>660</v>
      </c>
      <c r="B4193">
        <v>10928</v>
      </c>
      <c r="C4193" t="s">
        <v>4863</v>
      </c>
      <c r="D4193" t="s">
        <v>498</v>
      </c>
      <c r="E4193" t="s">
        <v>659</v>
      </c>
      <c r="F4193">
        <v>12.9</v>
      </c>
      <c r="G4193">
        <v>14.71</v>
      </c>
    </row>
    <row r="4194" spans="1:7" hidden="1" x14ac:dyDescent="0.25">
      <c r="A4194" t="s">
        <v>660</v>
      </c>
      <c r="B4194">
        <v>10933</v>
      </c>
      <c r="C4194" t="s">
        <v>4864</v>
      </c>
      <c r="D4194" t="s">
        <v>498</v>
      </c>
      <c r="E4194" t="s">
        <v>659</v>
      </c>
      <c r="F4194">
        <v>19.46</v>
      </c>
      <c r="G4194">
        <v>22.19</v>
      </c>
    </row>
    <row r="4195" spans="1:7" hidden="1" x14ac:dyDescent="0.25">
      <c r="A4195" t="s">
        <v>660</v>
      </c>
      <c r="B4195">
        <v>7158</v>
      </c>
      <c r="C4195" t="s">
        <v>4865</v>
      </c>
      <c r="D4195" t="s">
        <v>498</v>
      </c>
      <c r="E4195" t="s">
        <v>172</v>
      </c>
      <c r="F4195">
        <v>33</v>
      </c>
      <c r="G4195">
        <v>37.630000000000003</v>
      </c>
    </row>
    <row r="4196" spans="1:7" hidden="1" x14ac:dyDescent="0.25">
      <c r="A4196" t="s">
        <v>660</v>
      </c>
      <c r="B4196">
        <v>10927</v>
      </c>
      <c r="C4196" t="s">
        <v>4866</v>
      </c>
      <c r="D4196" t="s">
        <v>498</v>
      </c>
      <c r="E4196" t="s">
        <v>659</v>
      </c>
      <c r="F4196">
        <v>21.1</v>
      </c>
      <c r="G4196">
        <v>24.06</v>
      </c>
    </row>
    <row r="4197" spans="1:7" hidden="1" x14ac:dyDescent="0.25">
      <c r="A4197" t="s">
        <v>660</v>
      </c>
      <c r="B4197">
        <v>7162</v>
      </c>
      <c r="C4197" t="s">
        <v>4867</v>
      </c>
      <c r="D4197" t="s">
        <v>498</v>
      </c>
      <c r="E4197" t="s">
        <v>659</v>
      </c>
      <c r="F4197">
        <v>51.64</v>
      </c>
      <c r="G4197">
        <v>58.89</v>
      </c>
    </row>
    <row r="4198" spans="1:7" hidden="1" x14ac:dyDescent="0.25">
      <c r="A4198" t="s">
        <v>660</v>
      </c>
      <c r="B4198">
        <v>10932</v>
      </c>
      <c r="C4198" t="s">
        <v>4868</v>
      </c>
      <c r="D4198" t="s">
        <v>498</v>
      </c>
      <c r="E4198" t="s">
        <v>659</v>
      </c>
      <c r="F4198">
        <v>89.82</v>
      </c>
      <c r="G4198">
        <v>102.42</v>
      </c>
    </row>
    <row r="4199" spans="1:7" hidden="1" x14ac:dyDescent="0.25">
      <c r="A4199" t="s">
        <v>660</v>
      </c>
      <c r="B4199">
        <v>10937</v>
      </c>
      <c r="C4199" t="s">
        <v>4869</v>
      </c>
      <c r="D4199" t="s">
        <v>498</v>
      </c>
      <c r="E4199" t="s">
        <v>659</v>
      </c>
      <c r="F4199">
        <v>23.09</v>
      </c>
      <c r="G4199">
        <v>26.32</v>
      </c>
    </row>
    <row r="4200" spans="1:7" hidden="1" x14ac:dyDescent="0.25">
      <c r="A4200" t="s">
        <v>660</v>
      </c>
      <c r="B4200">
        <v>10935</v>
      </c>
      <c r="C4200" t="s">
        <v>4870</v>
      </c>
      <c r="D4200" t="s">
        <v>498</v>
      </c>
      <c r="E4200" t="s">
        <v>659</v>
      </c>
      <c r="F4200">
        <v>40.04</v>
      </c>
      <c r="G4200">
        <v>45.66</v>
      </c>
    </row>
    <row r="4201" spans="1:7" hidden="1" x14ac:dyDescent="0.25">
      <c r="A4201" t="s">
        <v>660</v>
      </c>
      <c r="B4201">
        <v>10931</v>
      </c>
      <c r="C4201" t="s">
        <v>4871</v>
      </c>
      <c r="D4201" t="s">
        <v>498</v>
      </c>
      <c r="E4201" t="s">
        <v>659</v>
      </c>
      <c r="F4201">
        <v>11.26</v>
      </c>
      <c r="G4201">
        <v>12.84</v>
      </c>
    </row>
    <row r="4202" spans="1:7" hidden="1" x14ac:dyDescent="0.25">
      <c r="A4202" t="s">
        <v>660</v>
      </c>
      <c r="B4202">
        <v>7164</v>
      </c>
      <c r="C4202" t="s">
        <v>4872</v>
      </c>
      <c r="D4202" t="s">
        <v>498</v>
      </c>
      <c r="E4202" t="s">
        <v>659</v>
      </c>
      <c r="F4202">
        <v>37.270000000000003</v>
      </c>
      <c r="G4202">
        <v>42.5</v>
      </c>
    </row>
    <row r="4203" spans="1:7" x14ac:dyDescent="0.25">
      <c r="A4203" t="s">
        <v>660</v>
      </c>
      <c r="B4203">
        <v>36887</v>
      </c>
      <c r="C4203" t="s">
        <v>4873</v>
      </c>
      <c r="D4203" t="s">
        <v>498</v>
      </c>
      <c r="E4203" t="s">
        <v>659</v>
      </c>
      <c r="F4203">
        <v>7.97</v>
      </c>
      <c r="G4203">
        <v>8.69</v>
      </c>
    </row>
    <row r="4204" spans="1:7" hidden="1" x14ac:dyDescent="0.25">
      <c r="A4204" t="s">
        <v>660</v>
      </c>
      <c r="B4204">
        <v>34630</v>
      </c>
      <c r="C4204" t="s">
        <v>4874</v>
      </c>
      <c r="D4204" t="s">
        <v>226</v>
      </c>
      <c r="E4204" t="s">
        <v>659</v>
      </c>
      <c r="F4204" s="538">
        <v>1017.78</v>
      </c>
      <c r="G4204" s="538">
        <v>1075.3800000000001</v>
      </c>
    </row>
    <row r="4205" spans="1:7" hidden="1" x14ac:dyDescent="0.25">
      <c r="A4205" t="s">
        <v>660</v>
      </c>
      <c r="B4205">
        <v>7161</v>
      </c>
      <c r="C4205" t="s">
        <v>4875</v>
      </c>
      <c r="D4205" t="s">
        <v>498</v>
      </c>
      <c r="E4205" t="s">
        <v>659</v>
      </c>
      <c r="F4205">
        <v>4.6399999999999997</v>
      </c>
      <c r="G4205">
        <v>5.29</v>
      </c>
    </row>
    <row r="4206" spans="1:7" hidden="1" x14ac:dyDescent="0.25">
      <c r="A4206" t="s">
        <v>660</v>
      </c>
      <c r="B4206">
        <v>7170</v>
      </c>
      <c r="C4206" t="s">
        <v>4876</v>
      </c>
      <c r="D4206" t="s">
        <v>498</v>
      </c>
      <c r="E4206" t="s">
        <v>659</v>
      </c>
      <c r="F4206">
        <v>1.92</v>
      </c>
      <c r="G4206">
        <v>2.1</v>
      </c>
    </row>
    <row r="4207" spans="1:7" hidden="1" x14ac:dyDescent="0.25">
      <c r="A4207" t="s">
        <v>660</v>
      </c>
      <c r="B4207">
        <v>37524</v>
      </c>
      <c r="C4207" t="s">
        <v>4877</v>
      </c>
      <c r="D4207" t="s">
        <v>704</v>
      </c>
      <c r="E4207" t="s">
        <v>172</v>
      </c>
      <c r="F4207">
        <v>1.76</v>
      </c>
      <c r="G4207">
        <v>1.92</v>
      </c>
    </row>
    <row r="4208" spans="1:7" hidden="1" x14ac:dyDescent="0.25">
      <c r="A4208" t="s">
        <v>660</v>
      </c>
      <c r="B4208">
        <v>37525</v>
      </c>
      <c r="C4208" t="s">
        <v>4878</v>
      </c>
      <c r="D4208" t="s">
        <v>704</v>
      </c>
      <c r="E4208" t="s">
        <v>659</v>
      </c>
      <c r="F4208">
        <v>2.4</v>
      </c>
      <c r="G4208">
        <v>2.62</v>
      </c>
    </row>
    <row r="4209" spans="1:7" hidden="1" x14ac:dyDescent="0.25">
      <c r="A4209" t="s">
        <v>660</v>
      </c>
      <c r="B4209">
        <v>36789</v>
      </c>
      <c r="C4209" t="s">
        <v>4879</v>
      </c>
      <c r="D4209" t="s">
        <v>226</v>
      </c>
      <c r="E4209" t="s">
        <v>659</v>
      </c>
      <c r="F4209">
        <v>4.08</v>
      </c>
      <c r="G4209">
        <v>4.25</v>
      </c>
    </row>
    <row r="4210" spans="1:7" hidden="1" x14ac:dyDescent="0.25">
      <c r="A4210" t="s">
        <v>660</v>
      </c>
      <c r="B4210">
        <v>7173</v>
      </c>
      <c r="C4210" t="s">
        <v>4880</v>
      </c>
      <c r="D4210" t="s">
        <v>3932</v>
      </c>
      <c r="E4210" t="s">
        <v>172</v>
      </c>
      <c r="F4210" s="538">
        <v>2640</v>
      </c>
      <c r="G4210" s="538">
        <v>2745</v>
      </c>
    </row>
    <row r="4211" spans="1:7" hidden="1" x14ac:dyDescent="0.25">
      <c r="A4211" t="s">
        <v>660</v>
      </c>
      <c r="B4211">
        <v>7175</v>
      </c>
      <c r="C4211" t="s">
        <v>4881</v>
      </c>
      <c r="D4211" t="s">
        <v>226</v>
      </c>
      <c r="E4211" t="s">
        <v>659</v>
      </c>
      <c r="F4211">
        <v>2.98</v>
      </c>
      <c r="G4211">
        <v>3.1</v>
      </c>
    </row>
    <row r="4212" spans="1:7" hidden="1" x14ac:dyDescent="0.25">
      <c r="A4212" t="s">
        <v>660</v>
      </c>
      <c r="B4212">
        <v>40741</v>
      </c>
      <c r="C4212" t="s">
        <v>4882</v>
      </c>
      <c r="D4212" t="s">
        <v>226</v>
      </c>
      <c r="E4212" t="s">
        <v>659</v>
      </c>
      <c r="F4212">
        <v>3.5</v>
      </c>
      <c r="G4212">
        <v>3.12</v>
      </c>
    </row>
    <row r="4213" spans="1:7" hidden="1" x14ac:dyDescent="0.25">
      <c r="A4213" t="s">
        <v>660</v>
      </c>
      <c r="B4213">
        <v>7184</v>
      </c>
      <c r="C4213" t="s">
        <v>4883</v>
      </c>
      <c r="D4213" t="s">
        <v>498</v>
      </c>
      <c r="E4213" t="s">
        <v>172</v>
      </c>
      <c r="F4213">
        <v>46.74</v>
      </c>
      <c r="G4213">
        <v>40.98</v>
      </c>
    </row>
    <row r="4214" spans="1:7" hidden="1" x14ac:dyDescent="0.25">
      <c r="A4214" t="s">
        <v>660</v>
      </c>
      <c r="B4214">
        <v>34458</v>
      </c>
      <c r="C4214" t="s">
        <v>4884</v>
      </c>
      <c r="D4214" t="s">
        <v>226</v>
      </c>
      <c r="E4214" t="s">
        <v>659</v>
      </c>
      <c r="F4214">
        <v>134.24</v>
      </c>
      <c r="G4214">
        <v>138.05000000000001</v>
      </c>
    </row>
    <row r="4215" spans="1:7" hidden="1" x14ac:dyDescent="0.25">
      <c r="A4215" t="s">
        <v>660</v>
      </c>
      <c r="B4215">
        <v>34464</v>
      </c>
      <c r="C4215" t="s">
        <v>4885</v>
      </c>
      <c r="D4215" t="s">
        <v>226</v>
      </c>
      <c r="E4215" t="s">
        <v>659</v>
      </c>
      <c r="F4215">
        <v>199.82</v>
      </c>
      <c r="G4215">
        <v>205.5</v>
      </c>
    </row>
    <row r="4216" spans="1:7" hidden="1" x14ac:dyDescent="0.25">
      <c r="A4216" t="s">
        <v>660</v>
      </c>
      <c r="B4216">
        <v>34468</v>
      </c>
      <c r="C4216" t="s">
        <v>4886</v>
      </c>
      <c r="D4216" t="s">
        <v>226</v>
      </c>
      <c r="E4216" t="s">
        <v>659</v>
      </c>
      <c r="F4216">
        <v>251.92</v>
      </c>
      <c r="G4216">
        <v>259.08</v>
      </c>
    </row>
    <row r="4217" spans="1:7" hidden="1" x14ac:dyDescent="0.25">
      <c r="A4217" t="s">
        <v>660</v>
      </c>
      <c r="B4217">
        <v>34473</v>
      </c>
      <c r="C4217" t="s">
        <v>4887</v>
      </c>
      <c r="D4217" t="s">
        <v>226</v>
      </c>
      <c r="E4217" t="s">
        <v>659</v>
      </c>
      <c r="F4217">
        <v>152.82</v>
      </c>
      <c r="G4217">
        <v>157.16</v>
      </c>
    </row>
    <row r="4218" spans="1:7" hidden="1" x14ac:dyDescent="0.25">
      <c r="A4218" t="s">
        <v>660</v>
      </c>
      <c r="B4218">
        <v>34480</v>
      </c>
      <c r="C4218" t="s">
        <v>4888</v>
      </c>
      <c r="D4218" t="s">
        <v>226</v>
      </c>
      <c r="E4218" t="s">
        <v>659</v>
      </c>
      <c r="F4218">
        <v>282.42</v>
      </c>
      <c r="G4218">
        <v>290.45</v>
      </c>
    </row>
    <row r="4219" spans="1:7" hidden="1" x14ac:dyDescent="0.25">
      <c r="A4219" t="s">
        <v>660</v>
      </c>
      <c r="B4219">
        <v>34486</v>
      </c>
      <c r="C4219" t="s">
        <v>4889</v>
      </c>
      <c r="D4219" t="s">
        <v>226</v>
      </c>
      <c r="E4219" t="s">
        <v>659</v>
      </c>
      <c r="F4219">
        <v>334.37</v>
      </c>
      <c r="G4219">
        <v>343.88</v>
      </c>
    </row>
    <row r="4220" spans="1:7" hidden="1" x14ac:dyDescent="0.25">
      <c r="A4220" t="s">
        <v>660</v>
      </c>
      <c r="B4220">
        <v>7190</v>
      </c>
      <c r="C4220" t="s">
        <v>4890</v>
      </c>
      <c r="D4220" t="s">
        <v>226</v>
      </c>
      <c r="E4220" t="s">
        <v>659</v>
      </c>
      <c r="F4220">
        <v>11.16</v>
      </c>
      <c r="G4220">
        <v>11.48</v>
      </c>
    </row>
    <row r="4221" spans="1:7" hidden="1" x14ac:dyDescent="0.25">
      <c r="A4221" t="s">
        <v>660</v>
      </c>
      <c r="B4221">
        <v>34417</v>
      </c>
      <c r="C4221" t="s">
        <v>4891</v>
      </c>
      <c r="D4221" t="s">
        <v>226</v>
      </c>
      <c r="E4221" t="s">
        <v>659</v>
      </c>
      <c r="F4221">
        <v>17.86</v>
      </c>
      <c r="G4221">
        <v>18.37</v>
      </c>
    </row>
    <row r="4222" spans="1:7" hidden="1" x14ac:dyDescent="0.25">
      <c r="A4222" t="s">
        <v>660</v>
      </c>
      <c r="B4222">
        <v>7213</v>
      </c>
      <c r="C4222" t="s">
        <v>4892</v>
      </c>
      <c r="D4222" t="s">
        <v>498</v>
      </c>
      <c r="E4222" t="s">
        <v>659</v>
      </c>
      <c r="F4222">
        <v>16.38</v>
      </c>
      <c r="G4222">
        <v>16.850000000000001</v>
      </c>
    </row>
    <row r="4223" spans="1:7" hidden="1" x14ac:dyDescent="0.25">
      <c r="A4223" t="s">
        <v>660</v>
      </c>
      <c r="B4223">
        <v>7195</v>
      </c>
      <c r="C4223" t="s">
        <v>4893</v>
      </c>
      <c r="D4223" t="s">
        <v>226</v>
      </c>
      <c r="E4223" t="s">
        <v>659</v>
      </c>
      <c r="F4223">
        <v>48.1</v>
      </c>
      <c r="G4223">
        <v>49.47</v>
      </c>
    </row>
    <row r="4224" spans="1:7" hidden="1" x14ac:dyDescent="0.25">
      <c r="A4224" t="s">
        <v>660</v>
      </c>
      <c r="B4224">
        <v>7186</v>
      </c>
      <c r="C4224" t="s">
        <v>4894</v>
      </c>
      <c r="D4224" t="s">
        <v>226</v>
      </c>
      <c r="E4224" t="s">
        <v>172</v>
      </c>
      <c r="F4224">
        <v>52.4</v>
      </c>
      <c r="G4224">
        <v>53.89</v>
      </c>
    </row>
    <row r="4225" spans="1:7" hidden="1" x14ac:dyDescent="0.25">
      <c r="A4225" t="s">
        <v>660</v>
      </c>
      <c r="B4225">
        <v>7194</v>
      </c>
      <c r="C4225" t="s">
        <v>4895</v>
      </c>
      <c r="D4225" t="s">
        <v>498</v>
      </c>
      <c r="E4225" t="s">
        <v>659</v>
      </c>
      <c r="F4225">
        <v>24.16</v>
      </c>
      <c r="G4225">
        <v>24.84</v>
      </c>
    </row>
    <row r="4226" spans="1:7" hidden="1" x14ac:dyDescent="0.25">
      <c r="A4226" t="s">
        <v>660</v>
      </c>
      <c r="B4226">
        <v>7197</v>
      </c>
      <c r="C4226" t="s">
        <v>4896</v>
      </c>
      <c r="D4226" t="s">
        <v>226</v>
      </c>
      <c r="E4226" t="s">
        <v>659</v>
      </c>
      <c r="F4226">
        <v>101.97</v>
      </c>
      <c r="G4226">
        <v>104.87</v>
      </c>
    </row>
    <row r="4227" spans="1:7" hidden="1" x14ac:dyDescent="0.25">
      <c r="A4227" t="s">
        <v>660</v>
      </c>
      <c r="B4227">
        <v>7192</v>
      </c>
      <c r="C4227" t="s">
        <v>4897</v>
      </c>
      <c r="D4227" t="s">
        <v>226</v>
      </c>
      <c r="E4227" t="s">
        <v>659</v>
      </c>
      <c r="F4227">
        <v>91.36</v>
      </c>
      <c r="G4227">
        <v>93.95</v>
      </c>
    </row>
    <row r="4228" spans="1:7" hidden="1" x14ac:dyDescent="0.25">
      <c r="A4228" t="s">
        <v>660</v>
      </c>
      <c r="B4228">
        <v>7193</v>
      </c>
      <c r="C4228" t="s">
        <v>4898</v>
      </c>
      <c r="D4228" t="s">
        <v>226</v>
      </c>
      <c r="E4228" t="s">
        <v>659</v>
      </c>
      <c r="F4228">
        <v>102.85</v>
      </c>
      <c r="G4228">
        <v>105.78</v>
      </c>
    </row>
    <row r="4229" spans="1:7" hidden="1" x14ac:dyDescent="0.25">
      <c r="A4229" t="s">
        <v>660</v>
      </c>
      <c r="B4229">
        <v>7189</v>
      </c>
      <c r="C4229" t="s">
        <v>4899</v>
      </c>
      <c r="D4229" t="s">
        <v>226</v>
      </c>
      <c r="E4229" t="s">
        <v>659</v>
      </c>
      <c r="F4229">
        <v>119.53</v>
      </c>
      <c r="G4229">
        <v>122.93</v>
      </c>
    </row>
    <row r="4230" spans="1:7" hidden="1" x14ac:dyDescent="0.25">
      <c r="A4230" t="s">
        <v>660</v>
      </c>
      <c r="B4230">
        <v>34402</v>
      </c>
      <c r="C4230" t="s">
        <v>4900</v>
      </c>
      <c r="D4230" t="s">
        <v>226</v>
      </c>
      <c r="E4230" t="s">
        <v>659</v>
      </c>
      <c r="F4230">
        <v>168.75</v>
      </c>
      <c r="G4230">
        <v>173.55</v>
      </c>
    </row>
    <row r="4231" spans="1:7" hidden="1" x14ac:dyDescent="0.25">
      <c r="A4231" t="s">
        <v>660</v>
      </c>
      <c r="B4231">
        <v>7245</v>
      </c>
      <c r="C4231" t="s">
        <v>4901</v>
      </c>
      <c r="D4231" t="s">
        <v>226</v>
      </c>
      <c r="E4231" t="s">
        <v>659</v>
      </c>
      <c r="F4231">
        <v>32.79</v>
      </c>
      <c r="G4231">
        <v>36.36</v>
      </c>
    </row>
    <row r="4232" spans="1:7" hidden="1" x14ac:dyDescent="0.25">
      <c r="A4232" t="s">
        <v>660</v>
      </c>
      <c r="B4232">
        <v>34425</v>
      </c>
      <c r="C4232" t="s">
        <v>4902</v>
      </c>
      <c r="D4232" t="s">
        <v>226</v>
      </c>
      <c r="E4232" t="s">
        <v>659</v>
      </c>
      <c r="F4232">
        <v>108.4</v>
      </c>
      <c r="G4232">
        <v>111.48</v>
      </c>
    </row>
    <row r="4233" spans="1:7" hidden="1" x14ac:dyDescent="0.25">
      <c r="A4233" t="s">
        <v>660</v>
      </c>
      <c r="B4233">
        <v>7223</v>
      </c>
      <c r="C4233" t="s">
        <v>4903</v>
      </c>
      <c r="D4233" t="s">
        <v>226</v>
      </c>
      <c r="E4233" t="s">
        <v>659</v>
      </c>
      <c r="F4233">
        <v>120.8</v>
      </c>
      <c r="G4233">
        <v>124.24</v>
      </c>
    </row>
    <row r="4234" spans="1:7" hidden="1" x14ac:dyDescent="0.25">
      <c r="A4234" t="s">
        <v>660</v>
      </c>
      <c r="B4234">
        <v>7234</v>
      </c>
      <c r="C4234" t="s">
        <v>4904</v>
      </c>
      <c r="D4234" t="s">
        <v>226</v>
      </c>
      <c r="E4234" t="s">
        <v>659</v>
      </c>
      <c r="F4234">
        <v>182.29</v>
      </c>
      <c r="G4234">
        <v>187.48</v>
      </c>
    </row>
    <row r="4235" spans="1:7" hidden="1" x14ac:dyDescent="0.25">
      <c r="A4235" t="s">
        <v>660</v>
      </c>
      <c r="B4235">
        <v>7224</v>
      </c>
      <c r="C4235" t="s">
        <v>4905</v>
      </c>
      <c r="D4235" t="s">
        <v>226</v>
      </c>
      <c r="E4235" t="s">
        <v>659</v>
      </c>
      <c r="F4235">
        <v>222.08</v>
      </c>
      <c r="G4235">
        <v>228.39</v>
      </c>
    </row>
    <row r="4236" spans="1:7" hidden="1" x14ac:dyDescent="0.25">
      <c r="A4236" t="s">
        <v>660</v>
      </c>
      <c r="B4236">
        <v>7225</v>
      </c>
      <c r="C4236" t="s">
        <v>4906</v>
      </c>
      <c r="D4236" t="s">
        <v>226</v>
      </c>
      <c r="E4236" t="s">
        <v>659</v>
      </c>
      <c r="F4236">
        <v>238.13</v>
      </c>
      <c r="G4236">
        <v>244.9</v>
      </c>
    </row>
    <row r="4237" spans="1:7" hidden="1" x14ac:dyDescent="0.25">
      <c r="A4237" t="s">
        <v>660</v>
      </c>
      <c r="B4237">
        <v>7226</v>
      </c>
      <c r="C4237" t="s">
        <v>4907</v>
      </c>
      <c r="D4237" t="s">
        <v>226</v>
      </c>
      <c r="E4237" t="s">
        <v>659</v>
      </c>
      <c r="F4237">
        <v>254.12</v>
      </c>
      <c r="G4237">
        <v>261.33999999999997</v>
      </c>
    </row>
    <row r="4238" spans="1:7" hidden="1" x14ac:dyDescent="0.25">
      <c r="A4238" t="s">
        <v>660</v>
      </c>
      <c r="B4238">
        <v>7227</v>
      </c>
      <c r="C4238" t="s">
        <v>4908</v>
      </c>
      <c r="D4238" t="s">
        <v>226</v>
      </c>
      <c r="E4238" t="s">
        <v>659</v>
      </c>
      <c r="F4238">
        <v>289.25</v>
      </c>
      <c r="G4238">
        <v>297.48</v>
      </c>
    </row>
    <row r="4239" spans="1:7" hidden="1" x14ac:dyDescent="0.25">
      <c r="A4239" t="s">
        <v>660</v>
      </c>
      <c r="B4239">
        <v>7212</v>
      </c>
      <c r="C4239" t="s">
        <v>4909</v>
      </c>
      <c r="D4239" t="s">
        <v>226</v>
      </c>
      <c r="E4239" t="s">
        <v>659</v>
      </c>
      <c r="F4239">
        <v>317.82</v>
      </c>
      <c r="G4239">
        <v>326.85000000000002</v>
      </c>
    </row>
    <row r="4240" spans="1:7" hidden="1" x14ac:dyDescent="0.25">
      <c r="A4240" t="s">
        <v>660</v>
      </c>
      <c r="B4240">
        <v>7229</v>
      </c>
      <c r="C4240" t="s">
        <v>4910</v>
      </c>
      <c r="D4240" t="s">
        <v>226</v>
      </c>
      <c r="E4240" t="s">
        <v>659</v>
      </c>
      <c r="F4240">
        <v>201.45</v>
      </c>
      <c r="G4240">
        <v>207.18</v>
      </c>
    </row>
    <row r="4241" spans="1:7" hidden="1" x14ac:dyDescent="0.25">
      <c r="A4241" t="s">
        <v>660</v>
      </c>
      <c r="B4241">
        <v>7230</v>
      </c>
      <c r="C4241" t="s">
        <v>4911</v>
      </c>
      <c r="D4241" t="s">
        <v>226</v>
      </c>
      <c r="E4241" t="s">
        <v>659</v>
      </c>
      <c r="F4241">
        <v>335.38</v>
      </c>
      <c r="G4241">
        <v>344.92</v>
      </c>
    </row>
    <row r="4242" spans="1:7" hidden="1" x14ac:dyDescent="0.25">
      <c r="A4242" t="s">
        <v>660</v>
      </c>
      <c r="B4242">
        <v>7231</v>
      </c>
      <c r="C4242" t="s">
        <v>4912</v>
      </c>
      <c r="D4242" t="s">
        <v>226</v>
      </c>
      <c r="E4242" t="s">
        <v>659</v>
      </c>
      <c r="F4242">
        <v>475.76</v>
      </c>
      <c r="G4242">
        <v>489.29</v>
      </c>
    </row>
    <row r="4243" spans="1:7" hidden="1" x14ac:dyDescent="0.25">
      <c r="A4243" t="s">
        <v>660</v>
      </c>
      <c r="B4243">
        <v>7220</v>
      </c>
      <c r="C4243" t="s">
        <v>4913</v>
      </c>
      <c r="D4243" t="s">
        <v>226</v>
      </c>
      <c r="E4243" t="s">
        <v>659</v>
      </c>
      <c r="F4243">
        <v>587.28</v>
      </c>
      <c r="G4243">
        <v>603.98</v>
      </c>
    </row>
    <row r="4244" spans="1:7" hidden="1" x14ac:dyDescent="0.25">
      <c r="A4244" t="s">
        <v>660</v>
      </c>
      <c r="B4244">
        <v>34447</v>
      </c>
      <c r="C4244" t="s">
        <v>4914</v>
      </c>
      <c r="D4244" t="s">
        <v>226</v>
      </c>
      <c r="E4244" t="s">
        <v>659</v>
      </c>
      <c r="F4244">
        <v>656.67</v>
      </c>
      <c r="G4244">
        <v>675.34</v>
      </c>
    </row>
    <row r="4245" spans="1:7" hidden="1" x14ac:dyDescent="0.25">
      <c r="A4245" t="s">
        <v>660</v>
      </c>
      <c r="B4245">
        <v>7233</v>
      </c>
      <c r="C4245" t="s">
        <v>4915</v>
      </c>
      <c r="D4245" t="s">
        <v>226</v>
      </c>
      <c r="E4245" t="s">
        <v>659</v>
      </c>
      <c r="F4245">
        <v>753.3</v>
      </c>
      <c r="G4245">
        <v>774.72</v>
      </c>
    </row>
    <row r="4246" spans="1:7" hidden="1" x14ac:dyDescent="0.25">
      <c r="A4246" t="s">
        <v>660</v>
      </c>
      <c r="B4246">
        <v>40740</v>
      </c>
      <c r="C4246" t="s">
        <v>4916</v>
      </c>
      <c r="D4246" t="s">
        <v>498</v>
      </c>
      <c r="E4246" t="s">
        <v>659</v>
      </c>
      <c r="F4246">
        <v>128.71</v>
      </c>
      <c r="G4246">
        <v>163.38</v>
      </c>
    </row>
    <row r="4247" spans="1:7" hidden="1" x14ac:dyDescent="0.25">
      <c r="A4247" t="s">
        <v>660</v>
      </c>
      <c r="B4247">
        <v>25007</v>
      </c>
      <c r="C4247" t="s">
        <v>4917</v>
      </c>
      <c r="D4247" t="s">
        <v>498</v>
      </c>
      <c r="E4247" t="s">
        <v>172</v>
      </c>
      <c r="F4247">
        <v>36.83</v>
      </c>
      <c r="G4247">
        <v>46.75</v>
      </c>
    </row>
    <row r="4248" spans="1:7" hidden="1" x14ac:dyDescent="0.25">
      <c r="A4248" t="s">
        <v>660</v>
      </c>
      <c r="B4248">
        <v>43071</v>
      </c>
      <c r="C4248" t="s">
        <v>4918</v>
      </c>
      <c r="D4248" t="s">
        <v>498</v>
      </c>
      <c r="E4248" t="s">
        <v>659</v>
      </c>
      <c r="F4248">
        <v>144.93</v>
      </c>
      <c r="G4248">
        <v>183.96</v>
      </c>
    </row>
    <row r="4249" spans="1:7" hidden="1" x14ac:dyDescent="0.25">
      <c r="A4249" t="s">
        <v>660</v>
      </c>
      <c r="B4249">
        <v>39520</v>
      </c>
      <c r="C4249" t="s">
        <v>4919</v>
      </c>
      <c r="D4249" t="s">
        <v>498</v>
      </c>
      <c r="E4249" t="s">
        <v>659</v>
      </c>
      <c r="F4249">
        <v>118.24</v>
      </c>
      <c r="G4249">
        <v>150.08000000000001</v>
      </c>
    </row>
    <row r="4250" spans="1:7" hidden="1" x14ac:dyDescent="0.25">
      <c r="A4250" t="s">
        <v>660</v>
      </c>
      <c r="B4250">
        <v>39521</v>
      </c>
      <c r="C4250" t="s">
        <v>4920</v>
      </c>
      <c r="D4250" t="s">
        <v>498</v>
      </c>
      <c r="E4250" t="s">
        <v>659</v>
      </c>
      <c r="F4250">
        <v>122.1</v>
      </c>
      <c r="G4250">
        <v>154.99</v>
      </c>
    </row>
    <row r="4251" spans="1:7" hidden="1" x14ac:dyDescent="0.25">
      <c r="A4251" t="s">
        <v>660</v>
      </c>
      <c r="B4251">
        <v>39522</v>
      </c>
      <c r="C4251" t="s">
        <v>4921</v>
      </c>
      <c r="D4251" t="s">
        <v>498</v>
      </c>
      <c r="E4251" t="s">
        <v>659</v>
      </c>
      <c r="F4251">
        <v>126.08</v>
      </c>
      <c r="G4251">
        <v>160.04</v>
      </c>
    </row>
    <row r="4252" spans="1:7" hidden="1" x14ac:dyDescent="0.25">
      <c r="A4252" t="s">
        <v>660</v>
      </c>
      <c r="B4252">
        <v>7243</v>
      </c>
      <c r="C4252" t="s">
        <v>4922</v>
      </c>
      <c r="D4252" t="s">
        <v>498</v>
      </c>
      <c r="E4252" t="s">
        <v>659</v>
      </c>
      <c r="F4252">
        <v>38.479999999999997</v>
      </c>
      <c r="G4252">
        <v>48.85</v>
      </c>
    </row>
    <row r="4253" spans="1:7" hidden="1" x14ac:dyDescent="0.25">
      <c r="A4253" t="s">
        <v>660</v>
      </c>
      <c r="B4253">
        <v>11067</v>
      </c>
      <c r="C4253" t="s">
        <v>4923</v>
      </c>
      <c r="D4253" t="s">
        <v>226</v>
      </c>
      <c r="E4253" t="s">
        <v>659</v>
      </c>
      <c r="F4253">
        <v>553.72</v>
      </c>
      <c r="G4253">
        <v>417.81</v>
      </c>
    </row>
    <row r="4254" spans="1:7" hidden="1" x14ac:dyDescent="0.25">
      <c r="A4254" t="s">
        <v>660</v>
      </c>
      <c r="B4254">
        <v>11068</v>
      </c>
      <c r="C4254" t="s">
        <v>4924</v>
      </c>
      <c r="D4254" t="s">
        <v>226</v>
      </c>
      <c r="E4254" t="s">
        <v>659</v>
      </c>
      <c r="F4254">
        <v>699.54</v>
      </c>
      <c r="G4254">
        <v>527.84</v>
      </c>
    </row>
    <row r="4255" spans="1:7" hidden="1" x14ac:dyDescent="0.25">
      <c r="A4255" t="s">
        <v>660</v>
      </c>
      <c r="B4255">
        <v>7246</v>
      </c>
      <c r="C4255" t="s">
        <v>4925</v>
      </c>
      <c r="D4255" t="s">
        <v>226</v>
      </c>
      <c r="E4255" t="s">
        <v>659</v>
      </c>
      <c r="F4255">
        <v>36.21</v>
      </c>
      <c r="G4255">
        <v>40.15</v>
      </c>
    </row>
    <row r="4256" spans="1:7" hidden="1" x14ac:dyDescent="0.25">
      <c r="A4256" t="s">
        <v>807</v>
      </c>
      <c r="B4256">
        <v>12869</v>
      </c>
      <c r="C4256" t="s">
        <v>4926</v>
      </c>
      <c r="D4256" t="s">
        <v>809</v>
      </c>
      <c r="E4256" t="s">
        <v>659</v>
      </c>
      <c r="F4256">
        <v>10.99</v>
      </c>
      <c r="G4256">
        <v>12.11</v>
      </c>
    </row>
    <row r="4257" spans="1:7" hidden="1" x14ac:dyDescent="0.25">
      <c r="A4257" t="s">
        <v>807</v>
      </c>
      <c r="B4257">
        <v>41097</v>
      </c>
      <c r="C4257" t="s">
        <v>4927</v>
      </c>
      <c r="D4257" t="s">
        <v>811</v>
      </c>
      <c r="E4257" t="s">
        <v>659</v>
      </c>
      <c r="F4257" s="538">
        <v>2419.4899999999998</v>
      </c>
      <c r="G4257" s="538">
        <v>2664.2</v>
      </c>
    </row>
    <row r="4258" spans="1:7" hidden="1" x14ac:dyDescent="0.25">
      <c r="A4258" t="s">
        <v>660</v>
      </c>
      <c r="B4258">
        <v>1574</v>
      </c>
      <c r="C4258" t="s">
        <v>4928</v>
      </c>
      <c r="D4258" t="s">
        <v>226</v>
      </c>
      <c r="E4258" t="s">
        <v>659</v>
      </c>
      <c r="F4258">
        <v>2.33</v>
      </c>
      <c r="G4258">
        <v>1.75</v>
      </c>
    </row>
    <row r="4259" spans="1:7" hidden="1" x14ac:dyDescent="0.25">
      <c r="A4259" t="s">
        <v>660</v>
      </c>
      <c r="B4259">
        <v>1581</v>
      </c>
      <c r="C4259" t="s">
        <v>4929</v>
      </c>
      <c r="D4259" t="s">
        <v>226</v>
      </c>
      <c r="E4259" t="s">
        <v>659</v>
      </c>
      <c r="F4259">
        <v>16.18</v>
      </c>
      <c r="G4259">
        <v>12.14</v>
      </c>
    </row>
    <row r="4260" spans="1:7" hidden="1" x14ac:dyDescent="0.25">
      <c r="A4260" t="s">
        <v>660</v>
      </c>
      <c r="B4260">
        <v>1575</v>
      </c>
      <c r="C4260" t="s">
        <v>4930</v>
      </c>
      <c r="D4260" t="s">
        <v>226</v>
      </c>
      <c r="E4260" t="s">
        <v>659</v>
      </c>
      <c r="F4260">
        <v>2.77</v>
      </c>
      <c r="G4260">
        <v>2.08</v>
      </c>
    </row>
    <row r="4261" spans="1:7" hidden="1" x14ac:dyDescent="0.25">
      <c r="A4261" t="s">
        <v>660</v>
      </c>
      <c r="B4261">
        <v>1570</v>
      </c>
      <c r="C4261" t="s">
        <v>4931</v>
      </c>
      <c r="D4261" t="s">
        <v>226</v>
      </c>
      <c r="E4261" t="s">
        <v>659</v>
      </c>
      <c r="F4261">
        <v>1.39</v>
      </c>
      <c r="G4261">
        <v>1.04</v>
      </c>
    </row>
    <row r="4262" spans="1:7" hidden="1" x14ac:dyDescent="0.25">
      <c r="A4262" t="s">
        <v>660</v>
      </c>
      <c r="B4262">
        <v>1576</v>
      </c>
      <c r="C4262" t="s">
        <v>4932</v>
      </c>
      <c r="D4262" t="s">
        <v>226</v>
      </c>
      <c r="E4262" t="s">
        <v>659</v>
      </c>
      <c r="F4262">
        <v>3.83</v>
      </c>
      <c r="G4262">
        <v>2.88</v>
      </c>
    </row>
    <row r="4263" spans="1:7" hidden="1" x14ac:dyDescent="0.25">
      <c r="A4263" t="s">
        <v>660</v>
      </c>
      <c r="B4263">
        <v>1577</v>
      </c>
      <c r="C4263" t="s">
        <v>4933</v>
      </c>
      <c r="D4263" t="s">
        <v>226</v>
      </c>
      <c r="E4263" t="s">
        <v>659</v>
      </c>
      <c r="F4263">
        <v>4.32</v>
      </c>
      <c r="G4263">
        <v>3.24</v>
      </c>
    </row>
    <row r="4264" spans="1:7" hidden="1" x14ac:dyDescent="0.25">
      <c r="A4264" t="s">
        <v>660</v>
      </c>
      <c r="B4264">
        <v>1571</v>
      </c>
      <c r="C4264" t="s">
        <v>4934</v>
      </c>
      <c r="D4264" t="s">
        <v>226</v>
      </c>
      <c r="E4264" t="s">
        <v>659</v>
      </c>
      <c r="F4264">
        <v>1.81</v>
      </c>
      <c r="G4264">
        <v>1.36</v>
      </c>
    </row>
    <row r="4265" spans="1:7" hidden="1" x14ac:dyDescent="0.25">
      <c r="A4265" t="s">
        <v>660</v>
      </c>
      <c r="B4265">
        <v>1578</v>
      </c>
      <c r="C4265" t="s">
        <v>4935</v>
      </c>
      <c r="D4265" t="s">
        <v>226</v>
      </c>
      <c r="E4265" t="s">
        <v>659</v>
      </c>
      <c r="F4265">
        <v>7.5</v>
      </c>
      <c r="G4265">
        <v>5.62</v>
      </c>
    </row>
    <row r="4266" spans="1:7" hidden="1" x14ac:dyDescent="0.25">
      <c r="A4266" t="s">
        <v>660</v>
      </c>
      <c r="B4266">
        <v>1573</v>
      </c>
      <c r="C4266" t="s">
        <v>4936</v>
      </c>
      <c r="D4266" t="s">
        <v>226</v>
      </c>
      <c r="E4266" t="s">
        <v>659</v>
      </c>
      <c r="F4266">
        <v>2.16</v>
      </c>
      <c r="G4266">
        <v>1.62</v>
      </c>
    </row>
    <row r="4267" spans="1:7" hidden="1" x14ac:dyDescent="0.25">
      <c r="A4267" t="s">
        <v>660</v>
      </c>
      <c r="B4267">
        <v>1579</v>
      </c>
      <c r="C4267" t="s">
        <v>4937</v>
      </c>
      <c r="D4267" t="s">
        <v>226</v>
      </c>
      <c r="E4267" t="s">
        <v>659</v>
      </c>
      <c r="F4267">
        <v>9.34</v>
      </c>
      <c r="G4267">
        <v>7.01</v>
      </c>
    </row>
    <row r="4268" spans="1:7" hidden="1" x14ac:dyDescent="0.25">
      <c r="A4268" t="s">
        <v>660</v>
      </c>
      <c r="B4268">
        <v>1580</v>
      </c>
      <c r="C4268" t="s">
        <v>4938</v>
      </c>
      <c r="D4268" t="s">
        <v>226</v>
      </c>
      <c r="E4268" t="s">
        <v>659</v>
      </c>
      <c r="F4268">
        <v>11.51</v>
      </c>
      <c r="G4268">
        <v>8.64</v>
      </c>
    </row>
    <row r="4269" spans="1:7" hidden="1" x14ac:dyDescent="0.25">
      <c r="A4269" t="s">
        <v>660</v>
      </c>
      <c r="B4269">
        <v>39321</v>
      </c>
      <c r="C4269" t="s">
        <v>4939</v>
      </c>
      <c r="D4269" t="s">
        <v>226</v>
      </c>
      <c r="E4269" t="s">
        <v>659</v>
      </c>
      <c r="F4269">
        <v>23.03</v>
      </c>
      <c r="G4269">
        <v>23.81</v>
      </c>
    </row>
    <row r="4270" spans="1:7" hidden="1" x14ac:dyDescent="0.25">
      <c r="A4270" t="s">
        <v>660</v>
      </c>
      <c r="B4270">
        <v>39319</v>
      </c>
      <c r="C4270" t="s">
        <v>4940</v>
      </c>
      <c r="D4270" t="s">
        <v>226</v>
      </c>
      <c r="E4270" t="s">
        <v>659</v>
      </c>
      <c r="F4270">
        <v>9.58</v>
      </c>
      <c r="G4270">
        <v>9.91</v>
      </c>
    </row>
    <row r="4271" spans="1:7" hidden="1" x14ac:dyDescent="0.25">
      <c r="A4271" t="s">
        <v>660</v>
      </c>
      <c r="B4271">
        <v>39320</v>
      </c>
      <c r="C4271" t="s">
        <v>4941</v>
      </c>
      <c r="D4271" t="s">
        <v>226</v>
      </c>
      <c r="E4271" t="s">
        <v>659</v>
      </c>
      <c r="F4271">
        <v>18.420000000000002</v>
      </c>
      <c r="G4271">
        <v>19.05</v>
      </c>
    </row>
    <row r="4272" spans="1:7" hidden="1" x14ac:dyDescent="0.25">
      <c r="A4272" t="s">
        <v>660</v>
      </c>
      <c r="B4272">
        <v>1542</v>
      </c>
      <c r="C4272" t="s">
        <v>4942</v>
      </c>
      <c r="D4272" t="s">
        <v>226</v>
      </c>
      <c r="E4272" t="s">
        <v>659</v>
      </c>
      <c r="F4272">
        <v>31.88</v>
      </c>
      <c r="G4272">
        <v>23.93</v>
      </c>
    </row>
    <row r="4273" spans="1:7" hidden="1" x14ac:dyDescent="0.25">
      <c r="A4273" t="s">
        <v>660</v>
      </c>
      <c r="B4273">
        <v>1591</v>
      </c>
      <c r="C4273" t="s">
        <v>4943</v>
      </c>
      <c r="D4273" t="s">
        <v>226</v>
      </c>
      <c r="E4273" t="s">
        <v>659</v>
      </c>
      <c r="F4273">
        <v>35.68</v>
      </c>
      <c r="G4273">
        <v>26.78</v>
      </c>
    </row>
    <row r="4274" spans="1:7" hidden="1" x14ac:dyDescent="0.25">
      <c r="A4274" t="s">
        <v>660</v>
      </c>
      <c r="B4274">
        <v>1547</v>
      </c>
      <c r="C4274" t="s">
        <v>4944</v>
      </c>
      <c r="D4274" t="s">
        <v>226</v>
      </c>
      <c r="E4274" t="s">
        <v>659</v>
      </c>
      <c r="F4274">
        <v>186.98</v>
      </c>
      <c r="G4274">
        <v>140.34</v>
      </c>
    </row>
    <row r="4275" spans="1:7" hidden="1" x14ac:dyDescent="0.25">
      <c r="A4275" t="s">
        <v>660</v>
      </c>
      <c r="B4275">
        <v>38196</v>
      </c>
      <c r="C4275" t="s">
        <v>4945</v>
      </c>
      <c r="D4275" t="s">
        <v>226</v>
      </c>
      <c r="E4275" t="s">
        <v>659</v>
      </c>
      <c r="F4275">
        <v>36.42</v>
      </c>
      <c r="G4275">
        <v>27.33</v>
      </c>
    </row>
    <row r="4276" spans="1:7" hidden="1" x14ac:dyDescent="0.25">
      <c r="A4276" t="s">
        <v>660</v>
      </c>
      <c r="B4276">
        <v>1543</v>
      </c>
      <c r="C4276" t="s">
        <v>4946</v>
      </c>
      <c r="D4276" t="s">
        <v>226</v>
      </c>
      <c r="E4276" t="s">
        <v>659</v>
      </c>
      <c r="F4276">
        <v>38.700000000000003</v>
      </c>
      <c r="G4276">
        <v>29.05</v>
      </c>
    </row>
    <row r="4277" spans="1:7" hidden="1" x14ac:dyDescent="0.25">
      <c r="A4277" t="s">
        <v>660</v>
      </c>
      <c r="B4277">
        <v>1585</v>
      </c>
      <c r="C4277" t="s">
        <v>4947</v>
      </c>
      <c r="D4277" t="s">
        <v>226</v>
      </c>
      <c r="E4277" t="s">
        <v>659</v>
      </c>
      <c r="F4277">
        <v>7.5</v>
      </c>
      <c r="G4277">
        <v>5.62</v>
      </c>
    </row>
    <row r="4278" spans="1:7" hidden="1" x14ac:dyDescent="0.25">
      <c r="A4278" t="s">
        <v>660</v>
      </c>
      <c r="B4278">
        <v>1593</v>
      </c>
      <c r="C4278" t="s">
        <v>4948</v>
      </c>
      <c r="D4278" t="s">
        <v>226</v>
      </c>
      <c r="E4278" t="s">
        <v>659</v>
      </c>
      <c r="F4278">
        <v>39.799999999999997</v>
      </c>
      <c r="G4278">
        <v>29.87</v>
      </c>
    </row>
    <row r="4279" spans="1:7" hidden="1" x14ac:dyDescent="0.25">
      <c r="A4279" t="s">
        <v>660</v>
      </c>
      <c r="B4279">
        <v>11838</v>
      </c>
      <c r="C4279" t="s">
        <v>4949</v>
      </c>
      <c r="D4279" t="s">
        <v>226</v>
      </c>
      <c r="E4279" t="s">
        <v>659</v>
      </c>
      <c r="F4279">
        <v>52.52</v>
      </c>
      <c r="G4279">
        <v>39.409999999999997</v>
      </c>
    </row>
    <row r="4280" spans="1:7" hidden="1" x14ac:dyDescent="0.25">
      <c r="A4280" t="s">
        <v>660</v>
      </c>
      <c r="B4280">
        <v>1594</v>
      </c>
      <c r="C4280" t="s">
        <v>4950</v>
      </c>
      <c r="D4280" t="s">
        <v>226</v>
      </c>
      <c r="E4280" t="s">
        <v>659</v>
      </c>
      <c r="F4280">
        <v>53.09</v>
      </c>
      <c r="G4280">
        <v>39.85</v>
      </c>
    </row>
    <row r="4281" spans="1:7" hidden="1" x14ac:dyDescent="0.25">
      <c r="A4281" t="s">
        <v>660</v>
      </c>
      <c r="B4281">
        <v>1586</v>
      </c>
      <c r="C4281" t="s">
        <v>4951</v>
      </c>
      <c r="D4281" t="s">
        <v>226</v>
      </c>
      <c r="E4281" t="s">
        <v>659</v>
      </c>
      <c r="F4281">
        <v>9.48</v>
      </c>
      <c r="G4281">
        <v>7.12</v>
      </c>
    </row>
    <row r="4282" spans="1:7" hidden="1" x14ac:dyDescent="0.25">
      <c r="A4282" t="s">
        <v>660</v>
      </c>
      <c r="B4282">
        <v>11839</v>
      </c>
      <c r="C4282" t="s">
        <v>4952</v>
      </c>
      <c r="D4282" t="s">
        <v>226</v>
      </c>
      <c r="E4282" t="s">
        <v>659</v>
      </c>
      <c r="F4282">
        <v>76.41</v>
      </c>
      <c r="G4282">
        <v>57.35</v>
      </c>
    </row>
    <row r="4283" spans="1:7" hidden="1" x14ac:dyDescent="0.25">
      <c r="A4283" t="s">
        <v>660</v>
      </c>
      <c r="B4283">
        <v>1587</v>
      </c>
      <c r="C4283" t="s">
        <v>4953</v>
      </c>
      <c r="D4283" t="s">
        <v>226</v>
      </c>
      <c r="E4283" t="s">
        <v>659</v>
      </c>
      <c r="F4283">
        <v>9.66</v>
      </c>
      <c r="G4283">
        <v>7.25</v>
      </c>
    </row>
    <row r="4284" spans="1:7" hidden="1" x14ac:dyDescent="0.25">
      <c r="A4284" t="s">
        <v>660</v>
      </c>
      <c r="B4284">
        <v>1545</v>
      </c>
      <c r="C4284" t="s">
        <v>4954</v>
      </c>
      <c r="D4284" t="s">
        <v>226</v>
      </c>
      <c r="E4284" t="s">
        <v>659</v>
      </c>
      <c r="F4284">
        <v>91.69</v>
      </c>
      <c r="G4284">
        <v>68.819999999999993</v>
      </c>
    </row>
    <row r="4285" spans="1:7" hidden="1" x14ac:dyDescent="0.25">
      <c r="A4285" t="s">
        <v>660</v>
      </c>
      <c r="B4285">
        <v>1588</v>
      </c>
      <c r="C4285" t="s">
        <v>4955</v>
      </c>
      <c r="D4285" t="s">
        <v>226</v>
      </c>
      <c r="E4285" t="s">
        <v>659</v>
      </c>
      <c r="F4285">
        <v>13.25</v>
      </c>
      <c r="G4285">
        <v>9.94</v>
      </c>
    </row>
    <row r="4286" spans="1:7" hidden="1" x14ac:dyDescent="0.25">
      <c r="A4286" t="s">
        <v>660</v>
      </c>
      <c r="B4286">
        <v>1535</v>
      </c>
      <c r="C4286" t="s">
        <v>4956</v>
      </c>
      <c r="D4286" t="s">
        <v>226</v>
      </c>
      <c r="E4286" t="s">
        <v>659</v>
      </c>
      <c r="F4286">
        <v>7.63</v>
      </c>
      <c r="G4286">
        <v>5.73</v>
      </c>
    </row>
    <row r="4287" spans="1:7" hidden="1" x14ac:dyDescent="0.25">
      <c r="A4287" t="s">
        <v>660</v>
      </c>
      <c r="B4287">
        <v>1589</v>
      </c>
      <c r="C4287" t="s">
        <v>4957</v>
      </c>
      <c r="D4287" t="s">
        <v>226</v>
      </c>
      <c r="E4287" t="s">
        <v>659</v>
      </c>
      <c r="F4287">
        <v>13.67</v>
      </c>
      <c r="G4287">
        <v>10.26</v>
      </c>
    </row>
    <row r="4288" spans="1:7" hidden="1" x14ac:dyDescent="0.25">
      <c r="A4288" t="s">
        <v>660</v>
      </c>
      <c r="B4288">
        <v>1546</v>
      </c>
      <c r="C4288" t="s">
        <v>4958</v>
      </c>
      <c r="D4288" t="s">
        <v>226</v>
      </c>
      <c r="E4288" t="s">
        <v>659</v>
      </c>
      <c r="F4288">
        <v>154.72999999999999</v>
      </c>
      <c r="G4288">
        <v>116.13</v>
      </c>
    </row>
    <row r="4289" spans="1:7" hidden="1" x14ac:dyDescent="0.25">
      <c r="A4289" t="s">
        <v>660</v>
      </c>
      <c r="B4289">
        <v>1590</v>
      </c>
      <c r="C4289" t="s">
        <v>4959</v>
      </c>
      <c r="D4289" t="s">
        <v>226</v>
      </c>
      <c r="E4289" t="s">
        <v>659</v>
      </c>
      <c r="F4289">
        <v>24.07</v>
      </c>
      <c r="G4289">
        <v>18.059999999999999</v>
      </c>
    </row>
    <row r="4290" spans="1:7" hidden="1" x14ac:dyDescent="0.25">
      <c r="A4290" t="s">
        <v>842</v>
      </c>
      <c r="B4290">
        <v>38415</v>
      </c>
      <c r="C4290" t="s">
        <v>4960</v>
      </c>
      <c r="D4290" t="s">
        <v>226</v>
      </c>
      <c r="E4290" t="s">
        <v>659</v>
      </c>
      <c r="F4290">
        <v>623.71</v>
      </c>
      <c r="G4290">
        <v>521.76</v>
      </c>
    </row>
    <row r="4291" spans="1:7" hidden="1" x14ac:dyDescent="0.25">
      <c r="A4291" t="s">
        <v>842</v>
      </c>
      <c r="B4291">
        <v>38414</v>
      </c>
      <c r="C4291" t="s">
        <v>4961</v>
      </c>
      <c r="D4291" t="s">
        <v>226</v>
      </c>
      <c r="E4291" t="s">
        <v>659</v>
      </c>
      <c r="F4291">
        <v>795.59</v>
      </c>
      <c r="G4291">
        <v>665.54</v>
      </c>
    </row>
    <row r="4292" spans="1:7" hidden="1" x14ac:dyDescent="0.25">
      <c r="A4292" t="s">
        <v>660</v>
      </c>
      <c r="B4292">
        <v>38128</v>
      </c>
      <c r="C4292" t="s">
        <v>4962</v>
      </c>
      <c r="D4292" t="s">
        <v>708</v>
      </c>
      <c r="E4292" t="s">
        <v>172</v>
      </c>
      <c r="F4292">
        <v>0.84</v>
      </c>
      <c r="G4292">
        <v>1</v>
      </c>
    </row>
    <row r="4293" spans="1:7" hidden="1" x14ac:dyDescent="0.25">
      <c r="A4293" t="s">
        <v>660</v>
      </c>
      <c r="B4293">
        <v>7253</v>
      </c>
      <c r="C4293" t="s">
        <v>4963</v>
      </c>
      <c r="D4293" t="s">
        <v>806</v>
      </c>
      <c r="E4293" t="s">
        <v>659</v>
      </c>
      <c r="F4293">
        <v>180</v>
      </c>
      <c r="G4293">
        <v>214.28</v>
      </c>
    </row>
    <row r="4294" spans="1:7" hidden="1" x14ac:dyDescent="0.25">
      <c r="A4294" t="s">
        <v>660</v>
      </c>
      <c r="B4294">
        <v>4806</v>
      </c>
      <c r="C4294" t="s">
        <v>4964</v>
      </c>
      <c r="D4294" t="s">
        <v>704</v>
      </c>
      <c r="E4294" t="s">
        <v>659</v>
      </c>
      <c r="F4294">
        <v>18.98</v>
      </c>
      <c r="G4294">
        <v>18.45</v>
      </c>
    </row>
    <row r="4295" spans="1:7" hidden="1" x14ac:dyDescent="0.25">
      <c r="A4295" t="s">
        <v>660</v>
      </c>
      <c r="B4295">
        <v>34401</v>
      </c>
      <c r="C4295" t="s">
        <v>4965</v>
      </c>
      <c r="D4295" t="s">
        <v>226</v>
      </c>
      <c r="E4295" t="s">
        <v>659</v>
      </c>
      <c r="F4295">
        <v>1.66</v>
      </c>
      <c r="G4295">
        <v>1.58</v>
      </c>
    </row>
    <row r="4296" spans="1:7" hidden="1" x14ac:dyDescent="0.25">
      <c r="A4296" t="s">
        <v>660</v>
      </c>
      <c r="B4296">
        <v>7256</v>
      </c>
      <c r="C4296" t="s">
        <v>4966</v>
      </c>
      <c r="D4296" t="s">
        <v>226</v>
      </c>
      <c r="E4296" t="s">
        <v>659</v>
      </c>
      <c r="F4296">
        <v>1.18</v>
      </c>
      <c r="G4296">
        <v>1.1299999999999999</v>
      </c>
    </row>
    <row r="4297" spans="1:7" hidden="1" x14ac:dyDescent="0.25">
      <c r="A4297" t="s">
        <v>660</v>
      </c>
      <c r="B4297">
        <v>7260</v>
      </c>
      <c r="C4297" t="s">
        <v>4967</v>
      </c>
      <c r="D4297" t="s">
        <v>226</v>
      </c>
      <c r="E4297" t="s">
        <v>659</v>
      </c>
      <c r="F4297">
        <v>2.2400000000000002</v>
      </c>
      <c r="G4297">
        <v>2.13</v>
      </c>
    </row>
    <row r="4298" spans="1:7" hidden="1" x14ac:dyDescent="0.25">
      <c r="A4298" t="s">
        <v>660</v>
      </c>
      <c r="B4298">
        <v>7258</v>
      </c>
      <c r="C4298" t="s">
        <v>4968</v>
      </c>
      <c r="D4298" t="s">
        <v>226</v>
      </c>
      <c r="E4298" t="s">
        <v>659</v>
      </c>
      <c r="F4298">
        <v>0.57999999999999996</v>
      </c>
      <c r="G4298">
        <v>0.55000000000000004</v>
      </c>
    </row>
    <row r="4299" spans="1:7" hidden="1" x14ac:dyDescent="0.25">
      <c r="A4299" t="s">
        <v>660</v>
      </c>
      <c r="B4299">
        <v>34400</v>
      </c>
      <c r="C4299" t="s">
        <v>4969</v>
      </c>
      <c r="D4299" t="s">
        <v>226</v>
      </c>
      <c r="E4299" t="s">
        <v>659</v>
      </c>
      <c r="F4299">
        <v>4.62</v>
      </c>
      <c r="G4299">
        <v>4.4000000000000004</v>
      </c>
    </row>
    <row r="4300" spans="1:7" hidden="1" x14ac:dyDescent="0.25">
      <c r="A4300" t="s">
        <v>660</v>
      </c>
      <c r="B4300">
        <v>10617</v>
      </c>
      <c r="C4300" t="s">
        <v>4970</v>
      </c>
      <c r="D4300" t="s">
        <v>226</v>
      </c>
      <c r="E4300" t="s">
        <v>659</v>
      </c>
      <c r="F4300">
        <v>5.95</v>
      </c>
      <c r="G4300">
        <v>5.67</v>
      </c>
    </row>
    <row r="4301" spans="1:7" hidden="1" x14ac:dyDescent="0.25">
      <c r="A4301" t="s">
        <v>660</v>
      </c>
      <c r="B4301">
        <v>44261</v>
      </c>
      <c r="C4301" t="s">
        <v>4971</v>
      </c>
      <c r="D4301" t="s">
        <v>226</v>
      </c>
      <c r="E4301" t="s">
        <v>659</v>
      </c>
      <c r="F4301">
        <v>153</v>
      </c>
      <c r="G4301">
        <v>158.18</v>
      </c>
    </row>
    <row r="4302" spans="1:7" hidden="1" x14ac:dyDescent="0.25">
      <c r="A4302" t="s">
        <v>660</v>
      </c>
      <c r="B4302">
        <v>7274</v>
      </c>
      <c r="C4302" t="s">
        <v>4972</v>
      </c>
      <c r="D4302" t="s">
        <v>226</v>
      </c>
      <c r="E4302" t="s">
        <v>659</v>
      </c>
      <c r="F4302">
        <v>74.069999999999993</v>
      </c>
      <c r="G4302">
        <v>76.58</v>
      </c>
    </row>
    <row r="4303" spans="1:7" hidden="1" x14ac:dyDescent="0.25">
      <c r="A4303" t="s">
        <v>660</v>
      </c>
      <c r="B4303">
        <v>44326</v>
      </c>
      <c r="C4303" t="s">
        <v>4973</v>
      </c>
      <c r="D4303" t="s">
        <v>226</v>
      </c>
      <c r="E4303" t="s">
        <v>659</v>
      </c>
      <c r="F4303" s="538">
        <v>1599.8</v>
      </c>
      <c r="G4303" s="538">
        <v>1653.98</v>
      </c>
    </row>
    <row r="4304" spans="1:7" hidden="1" x14ac:dyDescent="0.25">
      <c r="A4304" t="s">
        <v>660</v>
      </c>
      <c r="B4304">
        <v>154</v>
      </c>
      <c r="C4304" t="s">
        <v>4974</v>
      </c>
      <c r="D4304" t="s">
        <v>710</v>
      </c>
      <c r="E4304" t="s">
        <v>659</v>
      </c>
      <c r="F4304">
        <v>65.290000000000006</v>
      </c>
      <c r="G4304">
        <v>74.319999999999993</v>
      </c>
    </row>
    <row r="4305" spans="1:7" hidden="1" x14ac:dyDescent="0.25">
      <c r="A4305" t="s">
        <v>660</v>
      </c>
      <c r="B4305">
        <v>38121</v>
      </c>
      <c r="C4305" t="s">
        <v>4975</v>
      </c>
      <c r="D4305" t="s">
        <v>710</v>
      </c>
      <c r="E4305" t="s">
        <v>659</v>
      </c>
      <c r="F4305">
        <v>25.98</v>
      </c>
      <c r="G4305">
        <v>25.23</v>
      </c>
    </row>
    <row r="4306" spans="1:7" hidden="1" x14ac:dyDescent="0.25">
      <c r="A4306" t="s">
        <v>660</v>
      </c>
      <c r="B4306">
        <v>43776</v>
      </c>
      <c r="C4306" t="s">
        <v>4976</v>
      </c>
      <c r="D4306" t="s">
        <v>710</v>
      </c>
      <c r="E4306" t="s">
        <v>659</v>
      </c>
      <c r="F4306">
        <v>33.74</v>
      </c>
      <c r="G4306">
        <v>32.19</v>
      </c>
    </row>
    <row r="4307" spans="1:7" hidden="1" x14ac:dyDescent="0.25">
      <c r="A4307" t="s">
        <v>660</v>
      </c>
      <c r="B4307">
        <v>7343</v>
      </c>
      <c r="C4307" t="s">
        <v>4977</v>
      </c>
      <c r="D4307" t="s">
        <v>710</v>
      </c>
      <c r="E4307" t="s">
        <v>659</v>
      </c>
      <c r="F4307">
        <v>38.22</v>
      </c>
      <c r="G4307">
        <v>37.11</v>
      </c>
    </row>
    <row r="4308" spans="1:7" hidden="1" x14ac:dyDescent="0.25">
      <c r="A4308" t="s">
        <v>660</v>
      </c>
      <c r="B4308">
        <v>7348</v>
      </c>
      <c r="C4308" t="s">
        <v>4978</v>
      </c>
      <c r="D4308" t="s">
        <v>710</v>
      </c>
      <c r="E4308" t="s">
        <v>659</v>
      </c>
      <c r="F4308">
        <v>19.899999999999999</v>
      </c>
      <c r="G4308">
        <v>21.64</v>
      </c>
    </row>
    <row r="4309" spans="1:7" hidden="1" x14ac:dyDescent="0.25">
      <c r="A4309" t="s">
        <v>660</v>
      </c>
      <c r="B4309">
        <v>7313</v>
      </c>
      <c r="C4309" t="s">
        <v>4979</v>
      </c>
      <c r="D4309" t="s">
        <v>710</v>
      </c>
      <c r="E4309" t="s">
        <v>659</v>
      </c>
      <c r="F4309">
        <v>18.54</v>
      </c>
      <c r="G4309">
        <v>19.78</v>
      </c>
    </row>
    <row r="4310" spans="1:7" hidden="1" x14ac:dyDescent="0.25">
      <c r="A4310" t="s">
        <v>660</v>
      </c>
      <c r="B4310">
        <v>7319</v>
      </c>
      <c r="C4310" t="s">
        <v>4980</v>
      </c>
      <c r="D4310" t="s">
        <v>710</v>
      </c>
      <c r="E4310" t="s">
        <v>659</v>
      </c>
      <c r="F4310">
        <v>10.61</v>
      </c>
      <c r="G4310">
        <v>11.32</v>
      </c>
    </row>
    <row r="4311" spans="1:7" hidden="1" x14ac:dyDescent="0.25">
      <c r="A4311" t="s">
        <v>660</v>
      </c>
      <c r="B4311">
        <v>7314</v>
      </c>
      <c r="C4311" t="s">
        <v>4981</v>
      </c>
      <c r="D4311" t="s">
        <v>710</v>
      </c>
      <c r="E4311" t="s">
        <v>659</v>
      </c>
      <c r="F4311">
        <v>90.81</v>
      </c>
      <c r="G4311">
        <v>88.18</v>
      </c>
    </row>
    <row r="4312" spans="1:7" hidden="1" x14ac:dyDescent="0.25">
      <c r="A4312" t="s">
        <v>660</v>
      </c>
      <c r="B4312">
        <v>7304</v>
      </c>
      <c r="C4312" t="s">
        <v>4982</v>
      </c>
      <c r="D4312" t="s">
        <v>710</v>
      </c>
      <c r="E4312" t="s">
        <v>659</v>
      </c>
      <c r="F4312">
        <v>100</v>
      </c>
      <c r="G4312">
        <v>95.4</v>
      </c>
    </row>
    <row r="4313" spans="1:7" hidden="1" x14ac:dyDescent="0.25">
      <c r="A4313" t="s">
        <v>660</v>
      </c>
      <c r="B4313">
        <v>43649</v>
      </c>
      <c r="C4313" t="s">
        <v>4983</v>
      </c>
      <c r="D4313" t="s">
        <v>710</v>
      </c>
      <c r="E4313" t="s">
        <v>659</v>
      </c>
      <c r="F4313">
        <v>51.72</v>
      </c>
      <c r="G4313">
        <v>49.34</v>
      </c>
    </row>
    <row r="4314" spans="1:7" hidden="1" x14ac:dyDescent="0.25">
      <c r="A4314" t="s">
        <v>660</v>
      </c>
      <c r="B4314">
        <v>43650</v>
      </c>
      <c r="C4314" t="s">
        <v>4984</v>
      </c>
      <c r="D4314" t="s">
        <v>710</v>
      </c>
      <c r="E4314" t="s">
        <v>659</v>
      </c>
      <c r="F4314">
        <v>48.87</v>
      </c>
      <c r="G4314">
        <v>46.62</v>
      </c>
    </row>
    <row r="4315" spans="1:7" hidden="1" x14ac:dyDescent="0.25">
      <c r="A4315" t="s">
        <v>660</v>
      </c>
      <c r="B4315">
        <v>7311</v>
      </c>
      <c r="C4315" t="s">
        <v>4985</v>
      </c>
      <c r="D4315" t="s">
        <v>710</v>
      </c>
      <c r="E4315" t="s">
        <v>659</v>
      </c>
      <c r="F4315">
        <v>50.06</v>
      </c>
      <c r="G4315">
        <v>47.76</v>
      </c>
    </row>
    <row r="4316" spans="1:7" hidden="1" x14ac:dyDescent="0.25">
      <c r="A4316" t="s">
        <v>660</v>
      </c>
      <c r="B4316">
        <v>7292</v>
      </c>
      <c r="C4316" t="s">
        <v>4986</v>
      </c>
      <c r="D4316" t="s">
        <v>710</v>
      </c>
      <c r="E4316" t="s">
        <v>172</v>
      </c>
      <c r="F4316">
        <v>48.47</v>
      </c>
      <c r="G4316">
        <v>46.24</v>
      </c>
    </row>
    <row r="4317" spans="1:7" hidden="1" x14ac:dyDescent="0.25">
      <c r="A4317" t="s">
        <v>660</v>
      </c>
      <c r="B4317">
        <v>7293</v>
      </c>
      <c r="C4317" t="s">
        <v>4987</v>
      </c>
      <c r="D4317" t="s">
        <v>710</v>
      </c>
      <c r="E4317" t="s">
        <v>659</v>
      </c>
      <c r="F4317">
        <v>53.62</v>
      </c>
      <c r="G4317">
        <v>51.15</v>
      </c>
    </row>
    <row r="4318" spans="1:7" hidden="1" x14ac:dyDescent="0.25">
      <c r="A4318" t="s">
        <v>660</v>
      </c>
      <c r="B4318">
        <v>7306</v>
      </c>
      <c r="C4318" t="s">
        <v>4988</v>
      </c>
      <c r="D4318" t="s">
        <v>710</v>
      </c>
      <c r="E4318" t="s">
        <v>659</v>
      </c>
      <c r="F4318">
        <v>59.18</v>
      </c>
      <c r="G4318">
        <v>56.45</v>
      </c>
    </row>
    <row r="4319" spans="1:7" hidden="1" x14ac:dyDescent="0.25">
      <c r="A4319" t="s">
        <v>660</v>
      </c>
      <c r="B4319">
        <v>7288</v>
      </c>
      <c r="C4319" t="s">
        <v>4989</v>
      </c>
      <c r="D4319" t="s">
        <v>710</v>
      </c>
      <c r="E4319" t="s">
        <v>659</v>
      </c>
      <c r="F4319">
        <v>49.14</v>
      </c>
      <c r="G4319">
        <v>46.87</v>
      </c>
    </row>
    <row r="4320" spans="1:7" hidden="1" x14ac:dyDescent="0.25">
      <c r="A4320" t="s">
        <v>660</v>
      </c>
      <c r="B4320">
        <v>43625</v>
      </c>
      <c r="C4320" t="s">
        <v>4990</v>
      </c>
      <c r="D4320" t="s">
        <v>710</v>
      </c>
      <c r="E4320" t="s">
        <v>659</v>
      </c>
      <c r="F4320">
        <v>39.67</v>
      </c>
      <c r="G4320">
        <v>37.85</v>
      </c>
    </row>
    <row r="4321" spans="1:7" hidden="1" x14ac:dyDescent="0.25">
      <c r="A4321" t="s">
        <v>660</v>
      </c>
      <c r="B4321">
        <v>43647</v>
      </c>
      <c r="C4321" t="s">
        <v>4991</v>
      </c>
      <c r="D4321" t="s">
        <v>710</v>
      </c>
      <c r="E4321" t="s">
        <v>659</v>
      </c>
      <c r="F4321">
        <v>36.04</v>
      </c>
      <c r="G4321">
        <v>34.380000000000003</v>
      </c>
    </row>
    <row r="4322" spans="1:7" hidden="1" x14ac:dyDescent="0.25">
      <c r="A4322" t="s">
        <v>660</v>
      </c>
      <c r="B4322">
        <v>43648</v>
      </c>
      <c r="C4322" t="s">
        <v>4992</v>
      </c>
      <c r="D4322" t="s">
        <v>710</v>
      </c>
      <c r="E4322" t="s">
        <v>659</v>
      </c>
      <c r="F4322">
        <v>34.770000000000003</v>
      </c>
      <c r="G4322">
        <v>33.17</v>
      </c>
    </row>
    <row r="4323" spans="1:7" hidden="1" x14ac:dyDescent="0.25">
      <c r="A4323" t="s">
        <v>660</v>
      </c>
      <c r="B4323">
        <v>35693</v>
      </c>
      <c r="C4323" t="s">
        <v>4993</v>
      </c>
      <c r="D4323" t="s">
        <v>710</v>
      </c>
      <c r="E4323" t="s">
        <v>659</v>
      </c>
      <c r="F4323">
        <v>12.37</v>
      </c>
      <c r="G4323">
        <v>13.46</v>
      </c>
    </row>
    <row r="4324" spans="1:7" hidden="1" x14ac:dyDescent="0.25">
      <c r="A4324" t="s">
        <v>660</v>
      </c>
      <c r="B4324">
        <v>7356</v>
      </c>
      <c r="C4324" t="s">
        <v>4994</v>
      </c>
      <c r="D4324" t="s">
        <v>710</v>
      </c>
      <c r="E4324" t="s">
        <v>172</v>
      </c>
      <c r="F4324">
        <v>29.67</v>
      </c>
      <c r="G4324">
        <v>32.270000000000003</v>
      </c>
    </row>
    <row r="4325" spans="1:7" hidden="1" x14ac:dyDescent="0.25">
      <c r="A4325" t="s">
        <v>660</v>
      </c>
      <c r="B4325">
        <v>35692</v>
      </c>
      <c r="C4325" t="s">
        <v>4995</v>
      </c>
      <c r="D4325" t="s">
        <v>710</v>
      </c>
      <c r="E4325" t="s">
        <v>659</v>
      </c>
      <c r="F4325">
        <v>19.420000000000002</v>
      </c>
      <c r="G4325">
        <v>21.12</v>
      </c>
    </row>
    <row r="4326" spans="1:7" hidden="1" x14ac:dyDescent="0.25">
      <c r="A4326" t="s">
        <v>660</v>
      </c>
      <c r="B4326">
        <v>43624</v>
      </c>
      <c r="C4326" t="s">
        <v>4996</v>
      </c>
      <c r="D4326" t="s">
        <v>710</v>
      </c>
      <c r="E4326" t="s">
        <v>659</v>
      </c>
      <c r="F4326">
        <v>36.159999999999997</v>
      </c>
      <c r="G4326">
        <v>39.33</v>
      </c>
    </row>
    <row r="4327" spans="1:7" hidden="1" x14ac:dyDescent="0.25">
      <c r="A4327" t="s">
        <v>660</v>
      </c>
      <c r="B4327">
        <v>7342</v>
      </c>
      <c r="C4327" t="s">
        <v>4997</v>
      </c>
      <c r="D4327" t="s">
        <v>708</v>
      </c>
      <c r="E4327" t="s">
        <v>659</v>
      </c>
      <c r="F4327">
        <v>2.0299999999999998</v>
      </c>
      <c r="G4327">
        <v>2.17</v>
      </c>
    </row>
    <row r="4328" spans="1:7" hidden="1" x14ac:dyDescent="0.25">
      <c r="A4328" t="s">
        <v>660</v>
      </c>
      <c r="B4328">
        <v>7350</v>
      </c>
      <c r="C4328" t="s">
        <v>4998</v>
      </c>
      <c r="D4328" t="s">
        <v>710</v>
      </c>
      <c r="E4328" t="s">
        <v>659</v>
      </c>
      <c r="F4328">
        <v>42.83</v>
      </c>
      <c r="G4328">
        <v>46.58</v>
      </c>
    </row>
    <row r="4329" spans="1:7" hidden="1" x14ac:dyDescent="0.25">
      <c r="A4329" t="s">
        <v>660</v>
      </c>
      <c r="B4329">
        <v>39574</v>
      </c>
      <c r="C4329" t="s">
        <v>4999</v>
      </c>
      <c r="D4329" t="s">
        <v>226</v>
      </c>
      <c r="E4329" t="s">
        <v>659</v>
      </c>
      <c r="F4329">
        <v>3.93</v>
      </c>
      <c r="G4329">
        <v>3.71</v>
      </c>
    </row>
    <row r="4330" spans="1:7" hidden="1" x14ac:dyDescent="0.25">
      <c r="A4330" t="s">
        <v>660</v>
      </c>
      <c r="B4330">
        <v>11060</v>
      </c>
      <c r="C4330" t="s">
        <v>5000</v>
      </c>
      <c r="D4330" t="s">
        <v>226</v>
      </c>
      <c r="E4330" t="s">
        <v>659</v>
      </c>
      <c r="F4330">
        <v>42.2</v>
      </c>
      <c r="G4330">
        <v>45.92</v>
      </c>
    </row>
    <row r="4331" spans="1:7" hidden="1" x14ac:dyDescent="0.25">
      <c r="A4331" t="s">
        <v>660</v>
      </c>
      <c r="B4331">
        <v>37401</v>
      </c>
      <c r="C4331" t="s">
        <v>5001</v>
      </c>
      <c r="D4331" t="s">
        <v>226</v>
      </c>
      <c r="E4331" t="s">
        <v>659</v>
      </c>
      <c r="F4331">
        <v>42.91</v>
      </c>
      <c r="G4331">
        <v>60.13</v>
      </c>
    </row>
    <row r="4332" spans="1:7" hidden="1" x14ac:dyDescent="0.25">
      <c r="A4332" t="s">
        <v>660</v>
      </c>
      <c r="B4332">
        <v>38101</v>
      </c>
      <c r="C4332" t="s">
        <v>5002</v>
      </c>
      <c r="D4332" t="s">
        <v>226</v>
      </c>
      <c r="E4332" t="s">
        <v>659</v>
      </c>
      <c r="F4332">
        <v>7.23</v>
      </c>
      <c r="G4332">
        <v>7.99</v>
      </c>
    </row>
    <row r="4333" spans="1:7" hidden="1" x14ac:dyDescent="0.25">
      <c r="A4333" t="s">
        <v>660</v>
      </c>
      <c r="B4333">
        <v>7528</v>
      </c>
      <c r="C4333" t="s">
        <v>5003</v>
      </c>
      <c r="D4333" t="s">
        <v>226</v>
      </c>
      <c r="E4333" t="s">
        <v>172</v>
      </c>
      <c r="F4333">
        <v>8.5</v>
      </c>
      <c r="G4333">
        <v>9.39</v>
      </c>
    </row>
    <row r="4334" spans="1:7" hidden="1" x14ac:dyDescent="0.25">
      <c r="A4334" t="s">
        <v>660</v>
      </c>
      <c r="B4334">
        <v>12147</v>
      </c>
      <c r="C4334" t="s">
        <v>5004</v>
      </c>
      <c r="D4334" t="s">
        <v>226</v>
      </c>
      <c r="E4334" t="s">
        <v>659</v>
      </c>
      <c r="F4334">
        <v>12.96</v>
      </c>
      <c r="G4334">
        <v>14.32</v>
      </c>
    </row>
    <row r="4335" spans="1:7" hidden="1" x14ac:dyDescent="0.25">
      <c r="A4335" t="s">
        <v>660</v>
      </c>
      <c r="B4335">
        <v>38075</v>
      </c>
      <c r="C4335" t="s">
        <v>5005</v>
      </c>
      <c r="D4335" t="s">
        <v>226</v>
      </c>
      <c r="E4335" t="s">
        <v>659</v>
      </c>
      <c r="F4335">
        <v>14.72</v>
      </c>
      <c r="G4335">
        <v>16.260000000000002</v>
      </c>
    </row>
    <row r="4336" spans="1:7" hidden="1" x14ac:dyDescent="0.25">
      <c r="A4336" t="s">
        <v>660</v>
      </c>
      <c r="B4336">
        <v>38102</v>
      </c>
      <c r="C4336" t="s">
        <v>5006</v>
      </c>
      <c r="D4336" t="s">
        <v>226</v>
      </c>
      <c r="E4336" t="s">
        <v>659</v>
      </c>
      <c r="F4336">
        <v>9.25</v>
      </c>
      <c r="G4336">
        <v>10.220000000000001</v>
      </c>
    </row>
    <row r="4337" spans="1:7" hidden="1" x14ac:dyDescent="0.25">
      <c r="A4337" t="s">
        <v>660</v>
      </c>
      <c r="B4337">
        <v>7525</v>
      </c>
      <c r="C4337" t="s">
        <v>5007</v>
      </c>
      <c r="D4337" t="s">
        <v>226</v>
      </c>
      <c r="E4337" t="s">
        <v>659</v>
      </c>
      <c r="F4337">
        <v>41.85</v>
      </c>
      <c r="G4337">
        <v>46.23</v>
      </c>
    </row>
    <row r="4338" spans="1:7" hidden="1" x14ac:dyDescent="0.25">
      <c r="A4338" t="s">
        <v>660</v>
      </c>
      <c r="B4338">
        <v>7524</v>
      </c>
      <c r="C4338" t="s">
        <v>5008</v>
      </c>
      <c r="D4338" t="s">
        <v>226</v>
      </c>
      <c r="E4338" t="s">
        <v>659</v>
      </c>
      <c r="F4338">
        <v>39.44</v>
      </c>
      <c r="G4338">
        <v>43.57</v>
      </c>
    </row>
    <row r="4339" spans="1:7" hidden="1" x14ac:dyDescent="0.25">
      <c r="A4339" t="s">
        <v>660</v>
      </c>
      <c r="B4339">
        <v>38105</v>
      </c>
      <c r="C4339" t="s">
        <v>5009</v>
      </c>
      <c r="D4339" t="s">
        <v>226</v>
      </c>
      <c r="E4339" t="s">
        <v>659</v>
      </c>
      <c r="F4339">
        <v>10.130000000000001</v>
      </c>
      <c r="G4339">
        <v>11.19</v>
      </c>
    </row>
    <row r="4340" spans="1:7" hidden="1" x14ac:dyDescent="0.25">
      <c r="A4340" t="s">
        <v>660</v>
      </c>
      <c r="B4340">
        <v>38084</v>
      </c>
      <c r="C4340" t="s">
        <v>5010</v>
      </c>
      <c r="D4340" t="s">
        <v>226</v>
      </c>
      <c r="E4340" t="s">
        <v>659</v>
      </c>
      <c r="F4340">
        <v>14.39</v>
      </c>
      <c r="G4340">
        <v>15.89</v>
      </c>
    </row>
    <row r="4341" spans="1:7" hidden="1" x14ac:dyDescent="0.25">
      <c r="A4341" t="s">
        <v>660</v>
      </c>
      <c r="B4341">
        <v>38103</v>
      </c>
      <c r="C4341" t="s">
        <v>5011</v>
      </c>
      <c r="D4341" t="s">
        <v>226</v>
      </c>
      <c r="E4341" t="s">
        <v>659</v>
      </c>
      <c r="F4341">
        <v>15.21</v>
      </c>
      <c r="G4341">
        <v>16.8</v>
      </c>
    </row>
    <row r="4342" spans="1:7" hidden="1" x14ac:dyDescent="0.25">
      <c r="A4342" t="s">
        <v>660</v>
      </c>
      <c r="B4342">
        <v>38082</v>
      </c>
      <c r="C4342" t="s">
        <v>5012</v>
      </c>
      <c r="D4342" t="s">
        <v>226</v>
      </c>
      <c r="E4342" t="s">
        <v>659</v>
      </c>
      <c r="F4342">
        <v>18.73</v>
      </c>
      <c r="G4342">
        <v>20.7</v>
      </c>
    </row>
    <row r="4343" spans="1:7" hidden="1" x14ac:dyDescent="0.25">
      <c r="A4343" t="s">
        <v>660</v>
      </c>
      <c r="B4343">
        <v>38104</v>
      </c>
      <c r="C4343" t="s">
        <v>5013</v>
      </c>
      <c r="D4343" t="s">
        <v>226</v>
      </c>
      <c r="E4343" t="s">
        <v>659</v>
      </c>
      <c r="F4343">
        <v>29.78</v>
      </c>
      <c r="G4343">
        <v>32.9</v>
      </c>
    </row>
    <row r="4344" spans="1:7" hidden="1" x14ac:dyDescent="0.25">
      <c r="A4344" t="s">
        <v>660</v>
      </c>
      <c r="B4344">
        <v>38083</v>
      </c>
      <c r="C4344" t="s">
        <v>5014</v>
      </c>
      <c r="D4344" t="s">
        <v>226</v>
      </c>
      <c r="E4344" t="s">
        <v>659</v>
      </c>
      <c r="F4344">
        <v>33.06</v>
      </c>
      <c r="G4344">
        <v>36.520000000000003</v>
      </c>
    </row>
    <row r="4345" spans="1:7" hidden="1" x14ac:dyDescent="0.25">
      <c r="A4345" t="s">
        <v>660</v>
      </c>
      <c r="B4345">
        <v>38076</v>
      </c>
      <c r="C4345" t="s">
        <v>5015</v>
      </c>
      <c r="D4345" t="s">
        <v>226</v>
      </c>
      <c r="E4345" t="s">
        <v>659</v>
      </c>
      <c r="F4345">
        <v>16.5</v>
      </c>
      <c r="G4345">
        <v>18.23</v>
      </c>
    </row>
    <row r="4346" spans="1:7" hidden="1" x14ac:dyDescent="0.25">
      <c r="A4346" t="s">
        <v>807</v>
      </c>
      <c r="B4346">
        <v>7592</v>
      </c>
      <c r="C4346" t="s">
        <v>5016</v>
      </c>
      <c r="D4346" t="s">
        <v>809</v>
      </c>
      <c r="E4346" t="s">
        <v>172</v>
      </c>
      <c r="F4346">
        <v>20.75</v>
      </c>
      <c r="G4346">
        <v>35.81</v>
      </c>
    </row>
    <row r="4347" spans="1:7" hidden="1" x14ac:dyDescent="0.25">
      <c r="A4347" t="s">
        <v>807</v>
      </c>
      <c r="B4347">
        <v>40820</v>
      </c>
      <c r="C4347" t="s">
        <v>5017</v>
      </c>
      <c r="D4347" t="s">
        <v>811</v>
      </c>
      <c r="E4347" t="s">
        <v>659</v>
      </c>
      <c r="F4347" s="538">
        <v>4565</v>
      </c>
      <c r="G4347" s="538">
        <v>7878.2</v>
      </c>
    </row>
    <row r="4348" spans="1:7" hidden="1" x14ac:dyDescent="0.25">
      <c r="A4348" t="s">
        <v>660</v>
      </c>
      <c r="B4348">
        <v>11826</v>
      </c>
      <c r="C4348" t="s">
        <v>5018</v>
      </c>
      <c r="D4348" t="s">
        <v>226</v>
      </c>
      <c r="E4348" t="s">
        <v>659</v>
      </c>
      <c r="F4348">
        <v>47.5</v>
      </c>
      <c r="G4348">
        <v>91.2</v>
      </c>
    </row>
    <row r="4349" spans="1:7" hidden="1" x14ac:dyDescent="0.25">
      <c r="A4349" t="s">
        <v>660</v>
      </c>
      <c r="B4349">
        <v>7606</v>
      </c>
      <c r="C4349" t="s">
        <v>5019</v>
      </c>
      <c r="D4349" t="s">
        <v>226</v>
      </c>
      <c r="E4349" t="s">
        <v>659</v>
      </c>
      <c r="F4349">
        <v>57.12</v>
      </c>
      <c r="G4349">
        <v>109.67</v>
      </c>
    </row>
    <row r="4350" spans="1:7" hidden="1" x14ac:dyDescent="0.25">
      <c r="A4350" t="s">
        <v>660</v>
      </c>
      <c r="B4350">
        <v>11825</v>
      </c>
      <c r="C4350" t="s">
        <v>5020</v>
      </c>
      <c r="D4350" t="s">
        <v>226</v>
      </c>
      <c r="E4350" t="s">
        <v>659</v>
      </c>
      <c r="F4350">
        <v>60.09</v>
      </c>
      <c r="G4350">
        <v>115.37</v>
      </c>
    </row>
    <row r="4351" spans="1:7" hidden="1" x14ac:dyDescent="0.25">
      <c r="A4351" t="s">
        <v>660</v>
      </c>
      <c r="B4351">
        <v>11767</v>
      </c>
      <c r="C4351" t="s">
        <v>5021</v>
      </c>
      <c r="D4351" t="s">
        <v>226</v>
      </c>
      <c r="E4351" t="s">
        <v>659</v>
      </c>
      <c r="F4351">
        <v>160.04</v>
      </c>
      <c r="G4351">
        <v>307.29000000000002</v>
      </c>
    </row>
    <row r="4352" spans="1:7" hidden="1" x14ac:dyDescent="0.25">
      <c r="A4352" t="s">
        <v>660</v>
      </c>
      <c r="B4352">
        <v>11763</v>
      </c>
      <c r="C4352" t="s">
        <v>5022</v>
      </c>
      <c r="D4352" t="s">
        <v>226</v>
      </c>
      <c r="E4352" t="s">
        <v>659</v>
      </c>
      <c r="F4352">
        <v>124.73</v>
      </c>
      <c r="G4352">
        <v>239.5</v>
      </c>
    </row>
    <row r="4353" spans="1:7" hidden="1" x14ac:dyDescent="0.25">
      <c r="A4353" t="s">
        <v>660</v>
      </c>
      <c r="B4353">
        <v>11764</v>
      </c>
      <c r="C4353" t="s">
        <v>5023</v>
      </c>
      <c r="D4353" t="s">
        <v>226</v>
      </c>
      <c r="E4353" t="s">
        <v>659</v>
      </c>
      <c r="F4353">
        <v>102.34</v>
      </c>
      <c r="G4353">
        <v>196.49</v>
      </c>
    </row>
    <row r="4354" spans="1:7" hidden="1" x14ac:dyDescent="0.25">
      <c r="A4354" t="s">
        <v>660</v>
      </c>
      <c r="B4354">
        <v>11829</v>
      </c>
      <c r="C4354" t="s">
        <v>5024</v>
      </c>
      <c r="D4354" t="s">
        <v>226</v>
      </c>
      <c r="E4354" t="s">
        <v>659</v>
      </c>
      <c r="F4354">
        <v>24.73</v>
      </c>
      <c r="G4354">
        <v>47.49</v>
      </c>
    </row>
    <row r="4355" spans="1:7" hidden="1" x14ac:dyDescent="0.25">
      <c r="A4355" t="s">
        <v>660</v>
      </c>
      <c r="B4355">
        <v>11830</v>
      </c>
      <c r="C4355" t="s">
        <v>5025</v>
      </c>
      <c r="D4355" t="s">
        <v>226</v>
      </c>
      <c r="E4355" t="s">
        <v>659</v>
      </c>
      <c r="F4355">
        <v>26.71</v>
      </c>
      <c r="G4355">
        <v>51.28</v>
      </c>
    </row>
    <row r="4356" spans="1:7" hidden="1" x14ac:dyDescent="0.25">
      <c r="A4356" t="s">
        <v>660</v>
      </c>
      <c r="B4356">
        <v>11765</v>
      </c>
      <c r="C4356" t="s">
        <v>5026</v>
      </c>
      <c r="D4356" t="s">
        <v>226</v>
      </c>
      <c r="E4356" t="s">
        <v>659</v>
      </c>
      <c r="F4356">
        <v>68.2</v>
      </c>
      <c r="G4356">
        <v>130.94999999999999</v>
      </c>
    </row>
    <row r="4357" spans="1:7" hidden="1" x14ac:dyDescent="0.25">
      <c r="A4357" t="s">
        <v>660</v>
      </c>
      <c r="B4357">
        <v>11766</v>
      </c>
      <c r="C4357" t="s">
        <v>5027</v>
      </c>
      <c r="D4357" t="s">
        <v>226</v>
      </c>
      <c r="E4357" t="s">
        <v>659</v>
      </c>
      <c r="F4357">
        <v>37.299999999999997</v>
      </c>
      <c r="G4357">
        <v>71.63</v>
      </c>
    </row>
    <row r="4358" spans="1:7" hidden="1" x14ac:dyDescent="0.25">
      <c r="A4358" t="s">
        <v>660</v>
      </c>
      <c r="B4358">
        <v>11824</v>
      </c>
      <c r="C4358" t="s">
        <v>5028</v>
      </c>
      <c r="D4358" t="s">
        <v>226</v>
      </c>
      <c r="E4358" t="s">
        <v>659</v>
      </c>
      <c r="F4358">
        <v>43.88</v>
      </c>
      <c r="G4358">
        <v>84.25</v>
      </c>
    </row>
    <row r="4359" spans="1:7" hidden="1" x14ac:dyDescent="0.25">
      <c r="A4359" t="s">
        <v>660</v>
      </c>
      <c r="B4359">
        <v>44045</v>
      </c>
      <c r="C4359" t="s">
        <v>5029</v>
      </c>
      <c r="D4359" t="s">
        <v>226</v>
      </c>
      <c r="E4359" t="s">
        <v>659</v>
      </c>
      <c r="F4359">
        <v>318.64999999999998</v>
      </c>
      <c r="G4359">
        <v>286.41000000000003</v>
      </c>
    </row>
    <row r="4360" spans="1:7" hidden="1" x14ac:dyDescent="0.25">
      <c r="A4360" t="s">
        <v>660</v>
      </c>
      <c r="B4360">
        <v>39702</v>
      </c>
      <c r="C4360" t="s">
        <v>5030</v>
      </c>
      <c r="D4360" t="s">
        <v>226</v>
      </c>
      <c r="E4360" t="s">
        <v>659</v>
      </c>
      <c r="F4360" s="538">
        <v>2116.3000000000002</v>
      </c>
      <c r="G4360" s="538">
        <v>1902.17</v>
      </c>
    </row>
    <row r="4361" spans="1:7" hidden="1" x14ac:dyDescent="0.25">
      <c r="A4361" t="s">
        <v>660</v>
      </c>
      <c r="B4361">
        <v>13415</v>
      </c>
      <c r="C4361" t="s">
        <v>5031</v>
      </c>
      <c r="D4361" t="s">
        <v>226</v>
      </c>
      <c r="E4361" t="s">
        <v>172</v>
      </c>
      <c r="F4361">
        <v>69.48</v>
      </c>
      <c r="G4361">
        <v>62.45</v>
      </c>
    </row>
    <row r="4362" spans="1:7" hidden="1" x14ac:dyDescent="0.25">
      <c r="A4362" t="s">
        <v>660</v>
      </c>
      <c r="B4362">
        <v>7602</v>
      </c>
      <c r="C4362" t="s">
        <v>5032</v>
      </c>
      <c r="D4362" t="s">
        <v>226</v>
      </c>
      <c r="E4362" t="s">
        <v>659</v>
      </c>
      <c r="F4362">
        <v>44.34</v>
      </c>
      <c r="G4362">
        <v>39.85</v>
      </c>
    </row>
    <row r="4363" spans="1:7" hidden="1" x14ac:dyDescent="0.25">
      <c r="A4363" t="s">
        <v>660</v>
      </c>
      <c r="B4363">
        <v>7603</v>
      </c>
      <c r="C4363" t="s">
        <v>5033</v>
      </c>
      <c r="D4363" t="s">
        <v>226</v>
      </c>
      <c r="E4363" t="s">
        <v>659</v>
      </c>
      <c r="F4363">
        <v>37.61</v>
      </c>
      <c r="G4363">
        <v>33.81</v>
      </c>
    </row>
    <row r="4364" spans="1:7" hidden="1" x14ac:dyDescent="0.25">
      <c r="A4364" t="s">
        <v>660</v>
      </c>
      <c r="B4364">
        <v>11777</v>
      </c>
      <c r="C4364" t="s">
        <v>5034</v>
      </c>
      <c r="D4364" t="s">
        <v>226</v>
      </c>
      <c r="E4364" t="s">
        <v>659</v>
      </c>
      <c r="F4364">
        <v>206</v>
      </c>
      <c r="G4364">
        <v>216.62</v>
      </c>
    </row>
    <row r="4365" spans="1:7" hidden="1" x14ac:dyDescent="0.25">
      <c r="A4365" t="s">
        <v>660</v>
      </c>
      <c r="B4365">
        <v>13417</v>
      </c>
      <c r="C4365" t="s">
        <v>5035</v>
      </c>
      <c r="D4365" t="s">
        <v>226</v>
      </c>
      <c r="E4365" t="s">
        <v>659</v>
      </c>
      <c r="F4365">
        <v>90.49</v>
      </c>
      <c r="G4365">
        <v>81.33</v>
      </c>
    </row>
    <row r="4366" spans="1:7" hidden="1" x14ac:dyDescent="0.25">
      <c r="A4366" t="s">
        <v>660</v>
      </c>
      <c r="B4366">
        <v>36791</v>
      </c>
      <c r="C4366" t="s">
        <v>5036</v>
      </c>
      <c r="D4366" t="s">
        <v>226</v>
      </c>
      <c r="E4366" t="s">
        <v>659</v>
      </c>
      <c r="F4366">
        <v>135.81</v>
      </c>
      <c r="G4366">
        <v>122.07</v>
      </c>
    </row>
    <row r="4367" spans="1:7" hidden="1" x14ac:dyDescent="0.25">
      <c r="A4367" t="s">
        <v>660</v>
      </c>
      <c r="B4367">
        <v>36795</v>
      </c>
      <c r="C4367" t="s">
        <v>5037</v>
      </c>
      <c r="D4367" t="s">
        <v>226</v>
      </c>
      <c r="E4367" t="s">
        <v>659</v>
      </c>
      <c r="F4367" s="538">
        <v>1717.19</v>
      </c>
      <c r="G4367" s="538">
        <v>1543.44</v>
      </c>
    </row>
    <row r="4368" spans="1:7" hidden="1" x14ac:dyDescent="0.25">
      <c r="A4368" t="s">
        <v>660</v>
      </c>
      <c r="B4368">
        <v>36796</v>
      </c>
      <c r="C4368" t="s">
        <v>5038</v>
      </c>
      <c r="D4368" t="s">
        <v>226</v>
      </c>
      <c r="E4368" t="s">
        <v>659</v>
      </c>
      <c r="F4368">
        <v>142.69</v>
      </c>
      <c r="G4368">
        <v>128.26</v>
      </c>
    </row>
    <row r="4369" spans="1:7" hidden="1" x14ac:dyDescent="0.25">
      <c r="A4369" t="s">
        <v>660</v>
      </c>
      <c r="B4369">
        <v>36792</v>
      </c>
      <c r="C4369" t="s">
        <v>5039</v>
      </c>
      <c r="D4369" t="s">
        <v>226</v>
      </c>
      <c r="E4369" t="s">
        <v>659</v>
      </c>
      <c r="F4369">
        <v>180.76</v>
      </c>
      <c r="G4369">
        <v>162.47</v>
      </c>
    </row>
    <row r="4370" spans="1:7" hidden="1" x14ac:dyDescent="0.25">
      <c r="A4370" t="s">
        <v>660</v>
      </c>
      <c r="B4370">
        <v>11773</v>
      </c>
      <c r="C4370" t="s">
        <v>5040</v>
      </c>
      <c r="D4370" t="s">
        <v>226</v>
      </c>
      <c r="E4370" t="s">
        <v>659</v>
      </c>
      <c r="F4370">
        <v>120.33</v>
      </c>
      <c r="G4370">
        <v>108.15</v>
      </c>
    </row>
    <row r="4371" spans="1:7" hidden="1" x14ac:dyDescent="0.25">
      <c r="A4371" t="s">
        <v>660</v>
      </c>
      <c r="B4371">
        <v>11762</v>
      </c>
      <c r="C4371" t="s">
        <v>5041</v>
      </c>
      <c r="D4371" t="s">
        <v>226</v>
      </c>
      <c r="E4371" t="s">
        <v>659</v>
      </c>
      <c r="F4371">
        <v>57.07</v>
      </c>
      <c r="G4371">
        <v>51.3</v>
      </c>
    </row>
    <row r="4372" spans="1:7" hidden="1" x14ac:dyDescent="0.25">
      <c r="A4372" t="s">
        <v>660</v>
      </c>
      <c r="B4372">
        <v>7604</v>
      </c>
      <c r="C4372" t="s">
        <v>5042</v>
      </c>
      <c r="D4372" t="s">
        <v>226</v>
      </c>
      <c r="E4372" t="s">
        <v>659</v>
      </c>
      <c r="F4372">
        <v>48.32</v>
      </c>
      <c r="G4372">
        <v>43.43</v>
      </c>
    </row>
    <row r="4373" spans="1:7" hidden="1" x14ac:dyDescent="0.25">
      <c r="A4373" t="s">
        <v>660</v>
      </c>
      <c r="B4373">
        <v>13984</v>
      </c>
      <c r="C4373" t="s">
        <v>5043</v>
      </c>
      <c r="D4373" t="s">
        <v>226</v>
      </c>
      <c r="E4373" t="s">
        <v>659</v>
      </c>
      <c r="F4373">
        <v>70.23</v>
      </c>
      <c r="G4373">
        <v>63.12</v>
      </c>
    </row>
    <row r="4374" spans="1:7" hidden="1" x14ac:dyDescent="0.25">
      <c r="A4374" t="s">
        <v>660</v>
      </c>
      <c r="B4374">
        <v>11772</v>
      </c>
      <c r="C4374" t="s">
        <v>5044</v>
      </c>
      <c r="D4374" t="s">
        <v>226</v>
      </c>
      <c r="E4374" t="s">
        <v>659</v>
      </c>
      <c r="F4374">
        <v>120.7</v>
      </c>
      <c r="G4374">
        <v>108.49</v>
      </c>
    </row>
    <row r="4375" spans="1:7" hidden="1" x14ac:dyDescent="0.25">
      <c r="A4375" t="s">
        <v>660</v>
      </c>
      <c r="B4375">
        <v>13983</v>
      </c>
      <c r="C4375" t="s">
        <v>5045</v>
      </c>
      <c r="D4375" t="s">
        <v>226</v>
      </c>
      <c r="E4375" t="s">
        <v>659</v>
      </c>
      <c r="F4375">
        <v>91.41</v>
      </c>
      <c r="G4375">
        <v>82.16</v>
      </c>
    </row>
    <row r="4376" spans="1:7" hidden="1" x14ac:dyDescent="0.25">
      <c r="A4376" t="s">
        <v>660</v>
      </c>
      <c r="B4376">
        <v>13416</v>
      </c>
      <c r="C4376" t="s">
        <v>5046</v>
      </c>
      <c r="D4376" t="s">
        <v>226</v>
      </c>
      <c r="E4376" t="s">
        <v>659</v>
      </c>
      <c r="F4376">
        <v>81.19</v>
      </c>
      <c r="G4376">
        <v>72.98</v>
      </c>
    </row>
    <row r="4377" spans="1:7" hidden="1" x14ac:dyDescent="0.25">
      <c r="A4377" t="s">
        <v>660</v>
      </c>
      <c r="B4377">
        <v>40329</v>
      </c>
      <c r="C4377" t="s">
        <v>5047</v>
      </c>
      <c r="D4377" t="s">
        <v>226</v>
      </c>
      <c r="E4377" t="s">
        <v>172</v>
      </c>
      <c r="F4377">
        <v>15.5</v>
      </c>
      <c r="G4377">
        <v>29.76</v>
      </c>
    </row>
    <row r="4378" spans="1:7" hidden="1" x14ac:dyDescent="0.25">
      <c r="A4378" t="s">
        <v>660</v>
      </c>
      <c r="B4378">
        <v>11823</v>
      </c>
      <c r="C4378" t="s">
        <v>5048</v>
      </c>
      <c r="D4378" t="s">
        <v>226</v>
      </c>
      <c r="E4378" t="s">
        <v>659</v>
      </c>
      <c r="F4378">
        <v>6.53</v>
      </c>
      <c r="G4378">
        <v>12.53</v>
      </c>
    </row>
    <row r="4379" spans="1:7" hidden="1" x14ac:dyDescent="0.25">
      <c r="A4379" t="s">
        <v>660</v>
      </c>
      <c r="B4379">
        <v>11822</v>
      </c>
      <c r="C4379" t="s">
        <v>5049</v>
      </c>
      <c r="D4379" t="s">
        <v>226</v>
      </c>
      <c r="E4379" t="s">
        <v>659</v>
      </c>
      <c r="F4379">
        <v>32.43</v>
      </c>
      <c r="G4379">
        <v>34.65</v>
      </c>
    </row>
    <row r="4380" spans="1:7" hidden="1" x14ac:dyDescent="0.25">
      <c r="A4380" t="s">
        <v>660</v>
      </c>
      <c r="B4380">
        <v>11831</v>
      </c>
      <c r="C4380" t="s">
        <v>5050</v>
      </c>
      <c r="D4380" t="s">
        <v>226</v>
      </c>
      <c r="E4380" t="s">
        <v>659</v>
      </c>
      <c r="F4380">
        <v>19.510000000000002</v>
      </c>
      <c r="G4380">
        <v>20.85</v>
      </c>
    </row>
    <row r="4381" spans="1:7" hidden="1" x14ac:dyDescent="0.25">
      <c r="A4381" t="s">
        <v>660</v>
      </c>
      <c r="B4381">
        <v>45249</v>
      </c>
      <c r="C4381" t="s">
        <v>5051</v>
      </c>
      <c r="D4381" t="s">
        <v>226</v>
      </c>
      <c r="E4381" t="s">
        <v>659</v>
      </c>
      <c r="F4381">
        <v>197.21</v>
      </c>
      <c r="G4381">
        <v>170.48</v>
      </c>
    </row>
    <row r="4382" spans="1:7" hidden="1" x14ac:dyDescent="0.25">
      <c r="A4382" t="s">
        <v>660</v>
      </c>
      <c r="B4382">
        <v>7613</v>
      </c>
      <c r="C4382" t="s">
        <v>5052</v>
      </c>
      <c r="D4382" t="s">
        <v>226</v>
      </c>
      <c r="E4382" t="s">
        <v>659</v>
      </c>
      <c r="F4382">
        <f t="shared" ref="F4382:F4393" si="40">G4382</f>
        <v>124299.27</v>
      </c>
      <c r="G4382" s="538">
        <v>124299.27</v>
      </c>
    </row>
    <row r="4383" spans="1:7" hidden="1" x14ac:dyDescent="0.25">
      <c r="A4383" t="s">
        <v>660</v>
      </c>
      <c r="B4383">
        <v>7619</v>
      </c>
      <c r="C4383" t="s">
        <v>5053</v>
      </c>
      <c r="D4383" t="s">
        <v>226</v>
      </c>
      <c r="E4383" t="s">
        <v>659</v>
      </c>
      <c r="F4383">
        <f t="shared" si="40"/>
        <v>19214</v>
      </c>
      <c r="G4383" s="538">
        <v>19214</v>
      </c>
    </row>
    <row r="4384" spans="1:7" hidden="1" x14ac:dyDescent="0.25">
      <c r="A4384" t="s">
        <v>660</v>
      </c>
      <c r="B4384">
        <v>12076</v>
      </c>
      <c r="C4384" t="s">
        <v>5054</v>
      </c>
      <c r="D4384" t="s">
        <v>226</v>
      </c>
      <c r="E4384" t="s">
        <v>659</v>
      </c>
      <c r="F4384">
        <f t="shared" si="40"/>
        <v>8813.76</v>
      </c>
      <c r="G4384" s="538">
        <v>8813.76</v>
      </c>
    </row>
    <row r="4385" spans="1:7" hidden="1" x14ac:dyDescent="0.25">
      <c r="A4385" t="s">
        <v>660</v>
      </c>
      <c r="B4385">
        <v>7614</v>
      </c>
      <c r="C4385" t="s">
        <v>5055</v>
      </c>
      <c r="D4385" t="s">
        <v>226</v>
      </c>
      <c r="E4385" t="s">
        <v>659</v>
      </c>
      <c r="F4385">
        <f t="shared" si="40"/>
        <v>24233.439999999999</v>
      </c>
      <c r="G4385" s="538">
        <v>24233.439999999999</v>
      </c>
    </row>
    <row r="4386" spans="1:7" hidden="1" x14ac:dyDescent="0.25">
      <c r="A4386" t="s">
        <v>660</v>
      </c>
      <c r="B4386">
        <v>7618</v>
      </c>
      <c r="C4386" t="s">
        <v>5056</v>
      </c>
      <c r="D4386" t="s">
        <v>226</v>
      </c>
      <c r="E4386" t="s">
        <v>659</v>
      </c>
      <c r="F4386">
        <f t="shared" si="40"/>
        <v>157172.09</v>
      </c>
      <c r="G4386" s="538">
        <v>157172.09</v>
      </c>
    </row>
    <row r="4387" spans="1:7" hidden="1" x14ac:dyDescent="0.25">
      <c r="A4387" t="s">
        <v>660</v>
      </c>
      <c r="B4387">
        <v>7620</v>
      </c>
      <c r="C4387" t="s">
        <v>5057</v>
      </c>
      <c r="D4387" t="s">
        <v>226</v>
      </c>
      <c r="E4387" t="s">
        <v>659</v>
      </c>
      <c r="F4387">
        <f t="shared" si="40"/>
        <v>33995.949999999997</v>
      </c>
      <c r="G4387" s="538">
        <v>33995.949999999997</v>
      </c>
    </row>
    <row r="4388" spans="1:7" hidden="1" x14ac:dyDescent="0.25">
      <c r="A4388" t="s">
        <v>660</v>
      </c>
      <c r="B4388">
        <v>7610</v>
      </c>
      <c r="C4388" t="s">
        <v>5058</v>
      </c>
      <c r="D4388" t="s">
        <v>226</v>
      </c>
      <c r="E4388" t="s">
        <v>659</v>
      </c>
      <c r="F4388">
        <f t="shared" si="40"/>
        <v>10765.38</v>
      </c>
      <c r="G4388" s="538">
        <v>10765.38</v>
      </c>
    </row>
    <row r="4389" spans="1:7" hidden="1" x14ac:dyDescent="0.25">
      <c r="A4389" t="s">
        <v>660</v>
      </c>
      <c r="B4389">
        <v>7615</v>
      </c>
      <c r="C4389" t="s">
        <v>5059</v>
      </c>
      <c r="D4389" t="s">
        <v>226</v>
      </c>
      <c r="E4389" t="s">
        <v>659</v>
      </c>
      <c r="F4389">
        <f t="shared" si="40"/>
        <v>39661.94</v>
      </c>
      <c r="G4389" s="538">
        <v>39661.94</v>
      </c>
    </row>
    <row r="4390" spans="1:7" hidden="1" x14ac:dyDescent="0.25">
      <c r="A4390" t="s">
        <v>660</v>
      </c>
      <c r="B4390">
        <v>7617</v>
      </c>
      <c r="C4390" t="s">
        <v>5060</v>
      </c>
      <c r="D4390" t="s">
        <v>226</v>
      </c>
      <c r="E4390" t="s">
        <v>659</v>
      </c>
      <c r="F4390">
        <f t="shared" si="40"/>
        <v>12024.49</v>
      </c>
      <c r="G4390" s="538">
        <v>12024.49</v>
      </c>
    </row>
    <row r="4391" spans="1:7" hidden="1" x14ac:dyDescent="0.25">
      <c r="A4391" t="s">
        <v>660</v>
      </c>
      <c r="B4391">
        <v>7616</v>
      </c>
      <c r="C4391" t="s">
        <v>5061</v>
      </c>
      <c r="D4391" t="s">
        <v>226</v>
      </c>
      <c r="E4391" t="s">
        <v>659</v>
      </c>
      <c r="F4391">
        <f t="shared" si="40"/>
        <v>64721.99</v>
      </c>
      <c r="G4391" s="538">
        <v>64721.99</v>
      </c>
    </row>
    <row r="4392" spans="1:7" hidden="1" x14ac:dyDescent="0.25">
      <c r="A4392" t="s">
        <v>660</v>
      </c>
      <c r="B4392">
        <v>7611</v>
      </c>
      <c r="C4392" t="s">
        <v>5062</v>
      </c>
      <c r="D4392" t="s">
        <v>226</v>
      </c>
      <c r="E4392" t="s">
        <v>172</v>
      </c>
      <c r="F4392">
        <f t="shared" si="40"/>
        <v>15550</v>
      </c>
      <c r="G4392" s="538">
        <v>15550</v>
      </c>
    </row>
    <row r="4393" spans="1:7" hidden="1" x14ac:dyDescent="0.25">
      <c r="A4393" t="s">
        <v>660</v>
      </c>
      <c r="B4393">
        <v>7612</v>
      </c>
      <c r="C4393" t="s">
        <v>5063</v>
      </c>
      <c r="D4393" t="s">
        <v>226</v>
      </c>
      <c r="E4393" t="s">
        <v>659</v>
      </c>
      <c r="F4393">
        <f t="shared" si="40"/>
        <v>88777.27</v>
      </c>
      <c r="G4393" s="538">
        <v>88777.27</v>
      </c>
    </row>
    <row r="4394" spans="1:7" hidden="1" x14ac:dyDescent="0.25">
      <c r="A4394" t="s">
        <v>660</v>
      </c>
      <c r="B4394">
        <v>37371</v>
      </c>
      <c r="C4394" t="s">
        <v>5064</v>
      </c>
      <c r="D4394" t="s">
        <v>809</v>
      </c>
      <c r="E4394" t="s">
        <v>172</v>
      </c>
      <c r="F4394">
        <v>0.86</v>
      </c>
      <c r="G4394">
        <v>1.01</v>
      </c>
    </row>
    <row r="4395" spans="1:7" hidden="1" x14ac:dyDescent="0.25">
      <c r="A4395" t="s">
        <v>660</v>
      </c>
      <c r="B4395">
        <v>40861</v>
      </c>
      <c r="C4395" t="s">
        <v>5065</v>
      </c>
      <c r="D4395" t="s">
        <v>811</v>
      </c>
      <c r="E4395" t="s">
        <v>172</v>
      </c>
      <c r="F4395">
        <v>162.4</v>
      </c>
      <c r="G4395">
        <v>189.56</v>
      </c>
    </row>
    <row r="4396" spans="1:7" hidden="1" x14ac:dyDescent="0.25">
      <c r="A4396" t="s">
        <v>842</v>
      </c>
      <c r="B4396">
        <v>36509</v>
      </c>
      <c r="C4396" t="s">
        <v>5066</v>
      </c>
      <c r="D4396" t="s">
        <v>226</v>
      </c>
      <c r="E4396" t="s">
        <v>659</v>
      </c>
      <c r="F4396" s="538">
        <v>1166605.43</v>
      </c>
      <c r="G4396" s="538">
        <v>1130275.1599999999</v>
      </c>
    </row>
    <row r="4397" spans="1:7" hidden="1" x14ac:dyDescent="0.25">
      <c r="A4397" t="s">
        <v>842</v>
      </c>
      <c r="B4397">
        <v>36510</v>
      </c>
      <c r="C4397" t="s">
        <v>5067</v>
      </c>
      <c r="D4397" t="s">
        <v>226</v>
      </c>
      <c r="E4397" t="s">
        <v>659</v>
      </c>
      <c r="F4397" s="538">
        <v>1148929.6100000001</v>
      </c>
      <c r="G4397" s="538">
        <v>1113149.8</v>
      </c>
    </row>
    <row r="4398" spans="1:7" hidden="1" x14ac:dyDescent="0.25">
      <c r="A4398" t="s">
        <v>842</v>
      </c>
      <c r="B4398">
        <v>25020</v>
      </c>
      <c r="C4398" t="s">
        <v>5068</v>
      </c>
      <c r="D4398" t="s">
        <v>226</v>
      </c>
      <c r="E4398" t="s">
        <v>659</v>
      </c>
      <c r="F4398" s="538">
        <v>4733185.78</v>
      </c>
      <c r="G4398" s="538">
        <v>4585785.54</v>
      </c>
    </row>
    <row r="4399" spans="1:7" hidden="1" x14ac:dyDescent="0.25">
      <c r="A4399" t="s">
        <v>842</v>
      </c>
      <c r="B4399">
        <v>7622</v>
      </c>
      <c r="C4399" t="s">
        <v>5069</v>
      </c>
      <c r="D4399" t="s">
        <v>226</v>
      </c>
      <c r="E4399" t="s">
        <v>659</v>
      </c>
      <c r="F4399" s="538">
        <v>1114629.6499999999</v>
      </c>
      <c r="G4399" s="538">
        <v>1079918</v>
      </c>
    </row>
    <row r="4400" spans="1:7" hidden="1" x14ac:dyDescent="0.25">
      <c r="A4400" t="s">
        <v>842</v>
      </c>
      <c r="B4400">
        <v>7624</v>
      </c>
      <c r="C4400" t="s">
        <v>5070</v>
      </c>
      <c r="D4400" t="s">
        <v>226</v>
      </c>
      <c r="E4400" t="s">
        <v>172</v>
      </c>
      <c r="F4400" s="538">
        <v>1445000</v>
      </c>
      <c r="G4400" s="538">
        <v>1400000</v>
      </c>
    </row>
    <row r="4401" spans="1:7" hidden="1" x14ac:dyDescent="0.25">
      <c r="A4401" t="s">
        <v>842</v>
      </c>
      <c r="B4401">
        <v>7625</v>
      </c>
      <c r="C4401" t="s">
        <v>5071</v>
      </c>
      <c r="D4401" t="s">
        <v>226</v>
      </c>
      <c r="E4401" t="s">
        <v>659</v>
      </c>
      <c r="F4401" s="538">
        <v>1436161.94</v>
      </c>
      <c r="G4401" s="538">
        <v>1391437.18</v>
      </c>
    </row>
    <row r="4402" spans="1:7" hidden="1" x14ac:dyDescent="0.25">
      <c r="A4402" t="s">
        <v>842</v>
      </c>
      <c r="B4402">
        <v>7623</v>
      </c>
      <c r="C4402" t="s">
        <v>5072</v>
      </c>
      <c r="D4402" t="s">
        <v>226</v>
      </c>
      <c r="E4402" t="s">
        <v>659</v>
      </c>
      <c r="F4402" s="538">
        <v>4733185.78</v>
      </c>
      <c r="G4402" s="538">
        <v>4585785.54</v>
      </c>
    </row>
    <row r="4403" spans="1:7" hidden="1" x14ac:dyDescent="0.25">
      <c r="A4403" t="s">
        <v>842</v>
      </c>
      <c r="B4403">
        <v>36508</v>
      </c>
      <c r="C4403" t="s">
        <v>5073</v>
      </c>
      <c r="D4403" t="s">
        <v>226</v>
      </c>
      <c r="E4403" t="s">
        <v>659</v>
      </c>
      <c r="F4403" s="538">
        <v>2128701.46</v>
      </c>
      <c r="G4403" s="538">
        <v>2062409.72</v>
      </c>
    </row>
    <row r="4404" spans="1:7" hidden="1" x14ac:dyDescent="0.25">
      <c r="A4404" t="s">
        <v>842</v>
      </c>
      <c r="B4404">
        <v>13238</v>
      </c>
      <c r="C4404" t="s">
        <v>5074</v>
      </c>
      <c r="D4404" t="s">
        <v>226</v>
      </c>
      <c r="E4404" t="s">
        <v>659</v>
      </c>
      <c r="F4404" s="538">
        <v>353271</v>
      </c>
      <c r="G4404" s="538">
        <v>312056.05</v>
      </c>
    </row>
    <row r="4405" spans="1:7" hidden="1" x14ac:dyDescent="0.25">
      <c r="A4405" t="s">
        <v>842</v>
      </c>
      <c r="B4405">
        <v>36511</v>
      </c>
      <c r="C4405" t="s">
        <v>5075</v>
      </c>
      <c r="D4405" t="s">
        <v>226</v>
      </c>
      <c r="E4405" t="s">
        <v>659</v>
      </c>
      <c r="F4405" s="538">
        <v>409345.77</v>
      </c>
      <c r="G4405" s="538">
        <v>361588.76</v>
      </c>
    </row>
    <row r="4406" spans="1:7" hidden="1" x14ac:dyDescent="0.25">
      <c r="A4406" t="s">
        <v>842</v>
      </c>
      <c r="B4406">
        <v>36515</v>
      </c>
      <c r="C4406" t="s">
        <v>5076</v>
      </c>
      <c r="D4406" t="s">
        <v>226</v>
      </c>
      <c r="E4406" t="s">
        <v>659</v>
      </c>
      <c r="F4406" s="538">
        <v>120560.73</v>
      </c>
      <c r="G4406" s="538">
        <v>106495.31</v>
      </c>
    </row>
    <row r="4407" spans="1:7" hidden="1" x14ac:dyDescent="0.25">
      <c r="A4407" t="s">
        <v>842</v>
      </c>
      <c r="B4407">
        <v>10598</v>
      </c>
      <c r="C4407" t="s">
        <v>5077</v>
      </c>
      <c r="D4407" t="s">
        <v>226</v>
      </c>
      <c r="E4407" t="s">
        <v>659</v>
      </c>
      <c r="F4407" s="538">
        <v>195507.45</v>
      </c>
      <c r="G4407" s="538">
        <v>172698.23999999999</v>
      </c>
    </row>
    <row r="4408" spans="1:7" hidden="1" x14ac:dyDescent="0.25">
      <c r="A4408" t="s">
        <v>842</v>
      </c>
      <c r="B4408">
        <v>7640</v>
      </c>
      <c r="C4408" t="s">
        <v>5078</v>
      </c>
      <c r="D4408" t="s">
        <v>226</v>
      </c>
      <c r="E4408" t="s">
        <v>172</v>
      </c>
      <c r="F4408" s="538">
        <v>300000</v>
      </c>
      <c r="G4408" s="538">
        <v>265000</v>
      </c>
    </row>
    <row r="4409" spans="1:7" hidden="1" x14ac:dyDescent="0.25">
      <c r="A4409" t="s">
        <v>842</v>
      </c>
      <c r="B4409">
        <v>36513</v>
      </c>
      <c r="C4409" t="s">
        <v>5079</v>
      </c>
      <c r="D4409" t="s">
        <v>226</v>
      </c>
      <c r="E4409" t="s">
        <v>659</v>
      </c>
      <c r="F4409" s="538">
        <v>288995.31</v>
      </c>
      <c r="G4409" s="538">
        <v>255279.19</v>
      </c>
    </row>
    <row r="4410" spans="1:7" hidden="1" x14ac:dyDescent="0.25">
      <c r="A4410" t="s">
        <v>842</v>
      </c>
      <c r="B4410">
        <v>36514</v>
      </c>
      <c r="C4410" t="s">
        <v>5080</v>
      </c>
      <c r="D4410" t="s">
        <v>226</v>
      </c>
      <c r="E4410" t="s">
        <v>659</v>
      </c>
      <c r="F4410" s="538">
        <v>322429.89</v>
      </c>
      <c r="G4410" s="538">
        <v>284813.06</v>
      </c>
    </row>
    <row r="4411" spans="1:7" hidden="1" x14ac:dyDescent="0.25">
      <c r="A4411" t="s">
        <v>660</v>
      </c>
      <c r="B4411">
        <v>11572</v>
      </c>
      <c r="C4411" t="s">
        <v>5081</v>
      </c>
      <c r="D4411" t="s">
        <v>226</v>
      </c>
      <c r="E4411" t="s">
        <v>659</v>
      </c>
      <c r="F4411">
        <v>34.86</v>
      </c>
      <c r="G4411">
        <v>31.13</v>
      </c>
    </row>
    <row r="4412" spans="1:7" hidden="1" x14ac:dyDescent="0.25">
      <c r="A4412" t="s">
        <v>660</v>
      </c>
      <c r="B4412">
        <v>36149</v>
      </c>
      <c r="C4412" t="s">
        <v>5082</v>
      </c>
      <c r="D4412" t="s">
        <v>226</v>
      </c>
      <c r="E4412" t="s">
        <v>659</v>
      </c>
      <c r="F4412">
        <v>171.6</v>
      </c>
      <c r="G4412">
        <v>192.18</v>
      </c>
    </row>
    <row r="4413" spans="1:7" hidden="1" x14ac:dyDescent="0.25">
      <c r="A4413" t="s">
        <v>660</v>
      </c>
      <c r="B4413">
        <v>42407</v>
      </c>
      <c r="C4413" t="s">
        <v>5083</v>
      </c>
      <c r="D4413" t="s">
        <v>704</v>
      </c>
      <c r="E4413" t="s">
        <v>659</v>
      </c>
      <c r="F4413">
        <v>5.67</v>
      </c>
      <c r="G4413">
        <v>5.0599999999999996</v>
      </c>
    </row>
    <row r="4414" spans="1:7" hidden="1" x14ac:dyDescent="0.25">
      <c r="A4414" t="s">
        <v>660</v>
      </c>
      <c r="B4414">
        <v>45200</v>
      </c>
      <c r="C4414" t="s">
        <v>5084</v>
      </c>
      <c r="D4414" t="s">
        <v>226</v>
      </c>
      <c r="E4414" t="s">
        <v>659</v>
      </c>
      <c r="F4414">
        <v>31.59</v>
      </c>
      <c r="G4414">
        <v>27.3</v>
      </c>
    </row>
    <row r="4415" spans="1:7" hidden="1" x14ac:dyDescent="0.25">
      <c r="A4415" t="s">
        <v>660</v>
      </c>
      <c r="B4415">
        <v>11581</v>
      </c>
      <c r="C4415" t="s">
        <v>5085</v>
      </c>
      <c r="D4415" t="s">
        <v>704</v>
      </c>
      <c r="E4415" t="s">
        <v>659</v>
      </c>
      <c r="F4415">
        <v>23.01</v>
      </c>
      <c r="G4415">
        <v>20.54</v>
      </c>
    </row>
    <row r="4416" spans="1:7" hidden="1" x14ac:dyDescent="0.25">
      <c r="A4416" t="s">
        <v>660</v>
      </c>
      <c r="B4416">
        <v>43605</v>
      </c>
      <c r="C4416" t="s">
        <v>5086</v>
      </c>
      <c r="D4416" t="s">
        <v>704</v>
      </c>
      <c r="E4416" t="s">
        <v>659</v>
      </c>
      <c r="F4416">
        <v>47.08</v>
      </c>
      <c r="G4416">
        <v>42.04</v>
      </c>
    </row>
    <row r="4417" spans="1:7" hidden="1" x14ac:dyDescent="0.25">
      <c r="A4417" t="s">
        <v>660</v>
      </c>
      <c r="B4417">
        <v>11580</v>
      </c>
      <c r="C4417" t="s">
        <v>5087</v>
      </c>
      <c r="D4417" t="s">
        <v>704</v>
      </c>
      <c r="E4417" t="s">
        <v>659</v>
      </c>
      <c r="F4417">
        <v>9.23</v>
      </c>
      <c r="G4417">
        <v>8.24</v>
      </c>
    </row>
    <row r="4418" spans="1:7" hidden="1" x14ac:dyDescent="0.25">
      <c r="A4418" t="s">
        <v>660</v>
      </c>
      <c r="B4418">
        <v>38386</v>
      </c>
      <c r="C4418" t="s">
        <v>5088</v>
      </c>
      <c r="D4418" t="s">
        <v>226</v>
      </c>
      <c r="E4418" t="s">
        <v>659</v>
      </c>
      <c r="F4418">
        <v>6.7</v>
      </c>
      <c r="G4418">
        <v>6.39</v>
      </c>
    </row>
    <row r="4419" spans="1:7" hidden="1" x14ac:dyDescent="0.25">
      <c r="A4419" t="s">
        <v>660</v>
      </c>
      <c r="B4419">
        <v>45231</v>
      </c>
      <c r="C4419" t="s">
        <v>5089</v>
      </c>
      <c r="D4419" t="s">
        <v>226</v>
      </c>
      <c r="E4419" t="s">
        <v>659</v>
      </c>
      <c r="F4419">
        <v>6.12</v>
      </c>
      <c r="G4419">
        <v>5.84</v>
      </c>
    </row>
    <row r="4420" spans="1:7" hidden="1" x14ac:dyDescent="0.25">
      <c r="A4420" t="s">
        <v>660</v>
      </c>
      <c r="B4420">
        <v>45232</v>
      </c>
      <c r="C4420" t="s">
        <v>5090</v>
      </c>
      <c r="D4420" t="s">
        <v>226</v>
      </c>
      <c r="E4420" t="s">
        <v>659</v>
      </c>
      <c r="F4420">
        <v>10.77</v>
      </c>
      <c r="G4420">
        <v>10.28</v>
      </c>
    </row>
    <row r="4421" spans="1:7" hidden="1" x14ac:dyDescent="0.25">
      <c r="A4421" t="s">
        <v>842</v>
      </c>
      <c r="B4421">
        <v>10743</v>
      </c>
      <c r="C4421" t="s">
        <v>5091</v>
      </c>
      <c r="D4421" t="s">
        <v>226</v>
      </c>
      <c r="E4421" t="s">
        <v>659</v>
      </c>
      <c r="F4421">
        <v>469.46</v>
      </c>
      <c r="G4421">
        <v>604.79999999999995</v>
      </c>
    </row>
    <row r="4422" spans="1:7" x14ac:dyDescent="0.25">
      <c r="A4422" t="s">
        <v>660</v>
      </c>
      <c r="B4422">
        <v>39848</v>
      </c>
      <c r="C4422" t="s">
        <v>5092</v>
      </c>
      <c r="D4422" t="s">
        <v>704</v>
      </c>
      <c r="E4422" t="s">
        <v>659</v>
      </c>
      <c r="F4422">
        <f>G4422</f>
        <v>1.93</v>
      </c>
      <c r="G4422">
        <v>1.93</v>
      </c>
    </row>
    <row r="4423" spans="1:7" hidden="1" x14ac:dyDescent="0.25">
      <c r="A4423" t="s">
        <v>660</v>
      </c>
      <c r="B4423">
        <v>7667</v>
      </c>
      <c r="C4423" t="s">
        <v>5093</v>
      </c>
      <c r="D4423" t="s">
        <v>704</v>
      </c>
      <c r="E4423" t="s">
        <v>659</v>
      </c>
      <c r="F4423">
        <f>G4423</f>
        <v>3383.58</v>
      </c>
      <c r="G4423" s="538">
        <v>3383.58</v>
      </c>
    </row>
    <row r="4424" spans="1:7" hidden="1" x14ac:dyDescent="0.25">
      <c r="A4424" t="s">
        <v>660</v>
      </c>
      <c r="B4424">
        <v>7660</v>
      </c>
      <c r="C4424" t="s">
        <v>5094</v>
      </c>
      <c r="D4424" t="s">
        <v>704</v>
      </c>
      <c r="E4424" t="s">
        <v>659</v>
      </c>
      <c r="F4424">
        <f>G4424</f>
        <v>4313.25</v>
      </c>
      <c r="G4424" s="538">
        <v>4313.25</v>
      </c>
    </row>
    <row r="4425" spans="1:7" hidden="1" x14ac:dyDescent="0.25">
      <c r="A4425" t="s">
        <v>660</v>
      </c>
      <c r="B4425">
        <v>7676</v>
      </c>
      <c r="C4425" t="s">
        <v>5095</v>
      </c>
      <c r="D4425" t="s">
        <v>704</v>
      </c>
      <c r="E4425" t="s">
        <v>659</v>
      </c>
      <c r="F4425">
        <f>G4425</f>
        <v>4362.55</v>
      </c>
      <c r="G4425" s="538">
        <v>4362.55</v>
      </c>
    </row>
    <row r="4426" spans="1:7" hidden="1" x14ac:dyDescent="0.25">
      <c r="A4426" t="s">
        <v>660</v>
      </c>
      <c r="B4426">
        <v>20999</v>
      </c>
      <c r="C4426" t="s">
        <v>5096</v>
      </c>
      <c r="D4426" t="s">
        <v>704</v>
      </c>
      <c r="E4426" t="s">
        <v>659</v>
      </c>
      <c r="F4426">
        <v>15</v>
      </c>
      <c r="G4426">
        <v>12.4</v>
      </c>
    </row>
    <row r="4427" spans="1:7" hidden="1" x14ac:dyDescent="0.25">
      <c r="A4427" t="s">
        <v>660</v>
      </c>
      <c r="B4427">
        <v>21001</v>
      </c>
      <c r="C4427" t="s">
        <v>5097</v>
      </c>
      <c r="D4427" t="s">
        <v>704</v>
      </c>
      <c r="E4427" t="s">
        <v>172</v>
      </c>
      <c r="F4427">
        <v>28</v>
      </c>
      <c r="G4427">
        <v>23.14</v>
      </c>
    </row>
    <row r="4428" spans="1:7" hidden="1" x14ac:dyDescent="0.25">
      <c r="A4428" t="s">
        <v>660</v>
      </c>
      <c r="B4428">
        <v>21003</v>
      </c>
      <c r="C4428" t="s">
        <v>5098</v>
      </c>
      <c r="D4428" t="s">
        <v>704</v>
      </c>
      <c r="E4428" t="s">
        <v>659</v>
      </c>
      <c r="F4428">
        <v>46.01</v>
      </c>
      <c r="G4428">
        <v>38.020000000000003</v>
      </c>
    </row>
    <row r="4429" spans="1:7" hidden="1" x14ac:dyDescent="0.25">
      <c r="A4429" t="s">
        <v>660</v>
      </c>
      <c r="B4429">
        <v>21006</v>
      </c>
      <c r="C4429" t="s">
        <v>5099</v>
      </c>
      <c r="D4429" t="s">
        <v>704</v>
      </c>
      <c r="E4429" t="s">
        <v>659</v>
      </c>
      <c r="F4429">
        <v>97.65</v>
      </c>
      <c r="G4429">
        <v>80.7</v>
      </c>
    </row>
    <row r="4430" spans="1:7" hidden="1" x14ac:dyDescent="0.25">
      <c r="A4430" t="s">
        <v>660</v>
      </c>
      <c r="B4430">
        <v>21019</v>
      </c>
      <c r="C4430" t="s">
        <v>5100</v>
      </c>
      <c r="D4430" t="s">
        <v>704</v>
      </c>
      <c r="E4430" t="s">
        <v>659</v>
      </c>
      <c r="F4430">
        <v>33.94</v>
      </c>
      <c r="G4430">
        <v>28.05</v>
      </c>
    </row>
    <row r="4431" spans="1:7" hidden="1" x14ac:dyDescent="0.25">
      <c r="A4431" t="s">
        <v>660</v>
      </c>
      <c r="B4431">
        <v>21021</v>
      </c>
      <c r="C4431" t="s">
        <v>5101</v>
      </c>
      <c r="D4431" t="s">
        <v>704</v>
      </c>
      <c r="E4431" t="s">
        <v>659</v>
      </c>
      <c r="F4431">
        <v>53.66</v>
      </c>
      <c r="G4431">
        <v>44.34</v>
      </c>
    </row>
    <row r="4432" spans="1:7" hidden="1" x14ac:dyDescent="0.25">
      <c r="A4432" t="s">
        <v>660</v>
      </c>
      <c r="B4432">
        <v>21024</v>
      </c>
      <c r="C4432" t="s">
        <v>5102</v>
      </c>
      <c r="D4432" t="s">
        <v>704</v>
      </c>
      <c r="E4432" t="s">
        <v>659</v>
      </c>
      <c r="F4432">
        <v>114.96</v>
      </c>
      <c r="G4432">
        <v>95.01</v>
      </c>
    </row>
    <row r="4433" spans="1:7" hidden="1" x14ac:dyDescent="0.25">
      <c r="A4433" t="s">
        <v>660</v>
      </c>
      <c r="B4433">
        <v>40624</v>
      </c>
      <c r="C4433" t="s">
        <v>5103</v>
      </c>
      <c r="D4433" t="s">
        <v>704</v>
      </c>
      <c r="E4433" t="s">
        <v>659</v>
      </c>
      <c r="F4433">
        <f t="shared" ref="F4433:F4454" si="41">G4433</f>
        <v>93.41</v>
      </c>
      <c r="G4433">
        <v>93.41</v>
      </c>
    </row>
    <row r="4434" spans="1:7" hidden="1" x14ac:dyDescent="0.25">
      <c r="A4434" t="s">
        <v>660</v>
      </c>
      <c r="B4434">
        <v>42575</v>
      </c>
      <c r="C4434" t="s">
        <v>5104</v>
      </c>
      <c r="D4434" t="s">
        <v>704</v>
      </c>
      <c r="E4434" t="s">
        <v>659</v>
      </c>
      <c r="F4434">
        <f t="shared" si="41"/>
        <v>85.72</v>
      </c>
      <c r="G4434">
        <v>85.72</v>
      </c>
    </row>
    <row r="4435" spans="1:7" hidden="1" x14ac:dyDescent="0.25">
      <c r="A4435" t="s">
        <v>660</v>
      </c>
      <c r="B4435">
        <v>42574</v>
      </c>
      <c r="C4435" t="s">
        <v>5105</v>
      </c>
      <c r="D4435" t="s">
        <v>704</v>
      </c>
      <c r="E4435" t="s">
        <v>659</v>
      </c>
      <c r="F4435">
        <f t="shared" si="41"/>
        <v>63.97</v>
      </c>
      <c r="G4435">
        <v>63.97</v>
      </c>
    </row>
    <row r="4436" spans="1:7" hidden="1" x14ac:dyDescent="0.25">
      <c r="A4436" t="s">
        <v>660</v>
      </c>
      <c r="B4436">
        <v>13127</v>
      </c>
      <c r="C4436" t="s">
        <v>5106</v>
      </c>
      <c r="D4436" t="s">
        <v>704</v>
      </c>
      <c r="E4436" t="s">
        <v>659</v>
      </c>
      <c r="F4436">
        <f t="shared" si="41"/>
        <v>41.66</v>
      </c>
      <c r="G4436">
        <v>41.66</v>
      </c>
    </row>
    <row r="4437" spans="1:7" hidden="1" x14ac:dyDescent="0.25">
      <c r="A4437" t="s">
        <v>660</v>
      </c>
      <c r="B4437">
        <v>13137</v>
      </c>
      <c r="C4437" t="s">
        <v>5107</v>
      </c>
      <c r="D4437" t="s">
        <v>704</v>
      </c>
      <c r="E4437" t="s">
        <v>659</v>
      </c>
      <c r="F4437">
        <f t="shared" si="41"/>
        <v>55.29</v>
      </c>
      <c r="G4437">
        <v>55.29</v>
      </c>
    </row>
    <row r="4438" spans="1:7" hidden="1" x14ac:dyDescent="0.25">
      <c r="A4438" t="s">
        <v>660</v>
      </c>
      <c r="B4438">
        <v>20989</v>
      </c>
      <c r="C4438" t="s">
        <v>5108</v>
      </c>
      <c r="D4438" t="s">
        <v>704</v>
      </c>
      <c r="E4438" t="s">
        <v>659</v>
      </c>
      <c r="F4438">
        <f t="shared" si="41"/>
        <v>1980.83</v>
      </c>
      <c r="G4438" s="538">
        <v>1980.83</v>
      </c>
    </row>
    <row r="4439" spans="1:7" hidden="1" x14ac:dyDescent="0.25">
      <c r="A4439" t="s">
        <v>660</v>
      </c>
      <c r="B4439">
        <v>21147</v>
      </c>
      <c r="C4439" t="s">
        <v>5109</v>
      </c>
      <c r="D4439" t="s">
        <v>704</v>
      </c>
      <c r="E4439" t="s">
        <v>659</v>
      </c>
      <c r="F4439">
        <f t="shared" si="41"/>
        <v>185.72</v>
      </c>
      <c r="G4439">
        <v>185.72</v>
      </c>
    </row>
    <row r="4440" spans="1:7" hidden="1" x14ac:dyDescent="0.25">
      <c r="A4440" t="s">
        <v>660</v>
      </c>
      <c r="B4440">
        <v>21148</v>
      </c>
      <c r="C4440" t="s">
        <v>5110</v>
      </c>
      <c r="D4440" t="s">
        <v>704</v>
      </c>
      <c r="E4440" t="s">
        <v>172</v>
      </c>
      <c r="F4440">
        <f t="shared" si="41"/>
        <v>114.63</v>
      </c>
      <c r="G4440">
        <v>114.63</v>
      </c>
    </row>
    <row r="4441" spans="1:7" hidden="1" x14ac:dyDescent="0.25">
      <c r="A4441" t="s">
        <v>660</v>
      </c>
      <c r="B4441">
        <v>20984</v>
      </c>
      <c r="C4441" t="s">
        <v>5111</v>
      </c>
      <c r="D4441" t="s">
        <v>704</v>
      </c>
      <c r="E4441" t="s">
        <v>659</v>
      </c>
      <c r="F4441">
        <f t="shared" si="41"/>
        <v>3800.83</v>
      </c>
      <c r="G4441" s="538">
        <v>3800.83</v>
      </c>
    </row>
    <row r="4442" spans="1:7" hidden="1" x14ac:dyDescent="0.25">
      <c r="A4442" t="s">
        <v>660</v>
      </c>
      <c r="B4442">
        <v>13042</v>
      </c>
      <c r="C4442" t="s">
        <v>5112</v>
      </c>
      <c r="D4442" t="s">
        <v>704</v>
      </c>
      <c r="E4442" t="s">
        <v>659</v>
      </c>
      <c r="F4442">
        <f t="shared" si="41"/>
        <v>2106.2199999999998</v>
      </c>
      <c r="G4442" s="538">
        <v>2106.2199999999998</v>
      </c>
    </row>
    <row r="4443" spans="1:7" hidden="1" x14ac:dyDescent="0.25">
      <c r="A4443" t="s">
        <v>660</v>
      </c>
      <c r="B4443">
        <v>42576</v>
      </c>
      <c r="C4443" t="s">
        <v>5113</v>
      </c>
      <c r="D4443" t="s">
        <v>704</v>
      </c>
      <c r="E4443" t="s">
        <v>659</v>
      </c>
      <c r="F4443">
        <f t="shared" si="41"/>
        <v>233.83</v>
      </c>
      <c r="G4443">
        <v>233.83</v>
      </c>
    </row>
    <row r="4444" spans="1:7" hidden="1" x14ac:dyDescent="0.25">
      <c r="A4444" t="s">
        <v>660</v>
      </c>
      <c r="B4444">
        <v>21150</v>
      </c>
      <c r="C4444" t="s">
        <v>5114</v>
      </c>
      <c r="D4444" t="s">
        <v>704</v>
      </c>
      <c r="E4444" t="s">
        <v>659</v>
      </c>
      <c r="F4444">
        <f t="shared" si="41"/>
        <v>56.84</v>
      </c>
      <c r="G4444">
        <v>56.84</v>
      </c>
    </row>
    <row r="4445" spans="1:7" hidden="1" x14ac:dyDescent="0.25">
      <c r="A4445" t="s">
        <v>660</v>
      </c>
      <c r="B4445">
        <v>13141</v>
      </c>
      <c r="C4445" t="s">
        <v>5115</v>
      </c>
      <c r="D4445" t="s">
        <v>704</v>
      </c>
      <c r="E4445" t="s">
        <v>659</v>
      </c>
      <c r="F4445">
        <f t="shared" si="41"/>
        <v>71.61</v>
      </c>
      <c r="G4445">
        <v>71.61</v>
      </c>
    </row>
    <row r="4446" spans="1:7" hidden="1" x14ac:dyDescent="0.25">
      <c r="A4446" t="s">
        <v>660</v>
      </c>
      <c r="B4446">
        <v>21151</v>
      </c>
      <c r="C4446" t="s">
        <v>5116</v>
      </c>
      <c r="D4446" t="s">
        <v>704</v>
      </c>
      <c r="E4446" t="s">
        <v>659</v>
      </c>
      <c r="F4446">
        <f t="shared" si="41"/>
        <v>340.22</v>
      </c>
      <c r="G4446">
        <v>340.22</v>
      </c>
    </row>
    <row r="4447" spans="1:7" hidden="1" x14ac:dyDescent="0.25">
      <c r="A4447" t="s">
        <v>660</v>
      </c>
      <c r="B4447">
        <v>13142</v>
      </c>
      <c r="C4447" t="s">
        <v>5117</v>
      </c>
      <c r="D4447" t="s">
        <v>704</v>
      </c>
      <c r="E4447" t="s">
        <v>659</v>
      </c>
      <c r="F4447">
        <f t="shared" si="41"/>
        <v>486.37</v>
      </c>
      <c r="G4447">
        <v>486.37</v>
      </c>
    </row>
    <row r="4448" spans="1:7" hidden="1" x14ac:dyDescent="0.25">
      <c r="A4448" t="s">
        <v>660</v>
      </c>
      <c r="B4448">
        <v>42577</v>
      </c>
      <c r="C4448" t="s">
        <v>5118</v>
      </c>
      <c r="D4448" t="s">
        <v>704</v>
      </c>
      <c r="E4448" t="s">
        <v>659</v>
      </c>
      <c r="F4448">
        <f t="shared" si="41"/>
        <v>533.67999999999995</v>
      </c>
      <c r="G4448">
        <v>533.67999999999995</v>
      </c>
    </row>
    <row r="4449" spans="1:7" hidden="1" x14ac:dyDescent="0.25">
      <c r="A4449" t="s">
        <v>660</v>
      </c>
      <c r="B4449">
        <v>20994</v>
      </c>
      <c r="C4449" t="s">
        <v>5119</v>
      </c>
      <c r="D4449" t="s">
        <v>704</v>
      </c>
      <c r="E4449" t="s">
        <v>659</v>
      </c>
      <c r="F4449">
        <f t="shared" si="41"/>
        <v>917.02</v>
      </c>
      <c r="G4449">
        <v>917.02</v>
      </c>
    </row>
    <row r="4450" spans="1:7" hidden="1" x14ac:dyDescent="0.25">
      <c r="A4450" t="s">
        <v>660</v>
      </c>
      <c r="B4450">
        <v>7672</v>
      </c>
      <c r="C4450" t="s">
        <v>5120</v>
      </c>
      <c r="D4450" t="s">
        <v>704</v>
      </c>
      <c r="E4450" t="s">
        <v>659</v>
      </c>
      <c r="F4450">
        <f t="shared" si="41"/>
        <v>600.75</v>
      </c>
      <c r="G4450">
        <v>600.75</v>
      </c>
    </row>
    <row r="4451" spans="1:7" hidden="1" x14ac:dyDescent="0.25">
      <c r="A4451" t="s">
        <v>660</v>
      </c>
      <c r="B4451">
        <v>20995</v>
      </c>
      <c r="C4451" t="s">
        <v>5121</v>
      </c>
      <c r="D4451" t="s">
        <v>704</v>
      </c>
      <c r="E4451" t="s">
        <v>659</v>
      </c>
      <c r="F4451">
        <f t="shared" si="41"/>
        <v>1205.1400000000001</v>
      </c>
      <c r="G4451" s="538">
        <v>1205.1400000000001</v>
      </c>
    </row>
    <row r="4452" spans="1:7" hidden="1" x14ac:dyDescent="0.25">
      <c r="A4452" t="s">
        <v>660</v>
      </c>
      <c r="B4452">
        <v>7690</v>
      </c>
      <c r="C4452" t="s">
        <v>5122</v>
      </c>
      <c r="D4452" t="s">
        <v>704</v>
      </c>
      <c r="E4452" t="s">
        <v>659</v>
      </c>
      <c r="F4452">
        <f t="shared" si="41"/>
        <v>697.01</v>
      </c>
      <c r="G4452">
        <v>697.01</v>
      </c>
    </row>
    <row r="4453" spans="1:7" hidden="1" x14ac:dyDescent="0.25">
      <c r="A4453" t="s">
        <v>660</v>
      </c>
      <c r="B4453">
        <v>20980</v>
      </c>
      <c r="C4453" t="s">
        <v>5123</v>
      </c>
      <c r="D4453" t="s">
        <v>704</v>
      </c>
      <c r="E4453" t="s">
        <v>659</v>
      </c>
      <c r="F4453">
        <f t="shared" si="41"/>
        <v>760.38</v>
      </c>
      <c r="G4453">
        <v>760.38</v>
      </c>
    </row>
    <row r="4454" spans="1:7" hidden="1" x14ac:dyDescent="0.25">
      <c r="A4454" t="s">
        <v>660</v>
      </c>
      <c r="B4454">
        <v>7661</v>
      </c>
      <c r="C4454" t="s">
        <v>5124</v>
      </c>
      <c r="D4454" t="s">
        <v>704</v>
      </c>
      <c r="E4454" t="s">
        <v>659</v>
      </c>
      <c r="F4454">
        <f t="shared" si="41"/>
        <v>904.53</v>
      </c>
      <c r="G4454">
        <v>904.53</v>
      </c>
    </row>
    <row r="4455" spans="1:7" hidden="1" x14ac:dyDescent="0.25">
      <c r="A4455" t="s">
        <v>660</v>
      </c>
      <c r="B4455">
        <v>21016</v>
      </c>
      <c r="C4455" t="s">
        <v>5125</v>
      </c>
      <c r="D4455" t="s">
        <v>704</v>
      </c>
      <c r="E4455" t="s">
        <v>659</v>
      </c>
      <c r="F4455">
        <v>222.55</v>
      </c>
      <c r="G4455">
        <v>156.54</v>
      </c>
    </row>
    <row r="4456" spans="1:7" hidden="1" x14ac:dyDescent="0.25">
      <c r="A4456" t="s">
        <v>660</v>
      </c>
      <c r="B4456">
        <v>21008</v>
      </c>
      <c r="C4456" t="s">
        <v>5126</v>
      </c>
      <c r="D4456" t="s">
        <v>704</v>
      </c>
      <c r="E4456" t="s">
        <v>659</v>
      </c>
      <c r="F4456">
        <v>26</v>
      </c>
      <c r="G4456">
        <v>18.29</v>
      </c>
    </row>
    <row r="4457" spans="1:7" hidden="1" x14ac:dyDescent="0.25">
      <c r="A4457" t="s">
        <v>660</v>
      </c>
      <c r="B4457">
        <v>21009</v>
      </c>
      <c r="C4457" t="s">
        <v>5127</v>
      </c>
      <c r="D4457" t="s">
        <v>704</v>
      </c>
      <c r="E4457" t="s">
        <v>659</v>
      </c>
      <c r="F4457">
        <v>33.85</v>
      </c>
      <c r="G4457">
        <v>23.81</v>
      </c>
    </row>
    <row r="4458" spans="1:7" hidden="1" x14ac:dyDescent="0.25">
      <c r="A4458" t="s">
        <v>660</v>
      </c>
      <c r="B4458">
        <v>21010</v>
      </c>
      <c r="C4458" t="s">
        <v>5128</v>
      </c>
      <c r="D4458" t="s">
        <v>704</v>
      </c>
      <c r="E4458" t="s">
        <v>172</v>
      </c>
      <c r="F4458">
        <v>45.45</v>
      </c>
      <c r="G4458">
        <v>31.97</v>
      </c>
    </row>
    <row r="4459" spans="1:7" hidden="1" x14ac:dyDescent="0.25">
      <c r="A4459" t="s">
        <v>660</v>
      </c>
      <c r="B4459">
        <v>21011</v>
      </c>
      <c r="C4459" t="s">
        <v>5129</v>
      </c>
      <c r="D4459" t="s">
        <v>704</v>
      </c>
      <c r="E4459" t="s">
        <v>659</v>
      </c>
      <c r="F4459">
        <v>66.239999999999995</v>
      </c>
      <c r="G4459">
        <v>46.59</v>
      </c>
    </row>
    <row r="4460" spans="1:7" hidden="1" x14ac:dyDescent="0.25">
      <c r="A4460" t="s">
        <v>660</v>
      </c>
      <c r="B4460">
        <v>21012</v>
      </c>
      <c r="C4460" t="s">
        <v>5130</v>
      </c>
      <c r="D4460" t="s">
        <v>704</v>
      </c>
      <c r="E4460" t="s">
        <v>659</v>
      </c>
      <c r="F4460">
        <v>73.2</v>
      </c>
      <c r="G4460">
        <v>51.49</v>
      </c>
    </row>
    <row r="4461" spans="1:7" hidden="1" x14ac:dyDescent="0.25">
      <c r="A4461" t="s">
        <v>660</v>
      </c>
      <c r="B4461">
        <v>21013</v>
      </c>
      <c r="C4461" t="s">
        <v>5131</v>
      </c>
      <c r="D4461" t="s">
        <v>704</v>
      </c>
      <c r="E4461" t="s">
        <v>659</v>
      </c>
      <c r="F4461">
        <v>95.53</v>
      </c>
      <c r="G4461">
        <v>67.19</v>
      </c>
    </row>
    <row r="4462" spans="1:7" hidden="1" x14ac:dyDescent="0.25">
      <c r="A4462" t="s">
        <v>660</v>
      </c>
      <c r="B4462">
        <v>21014</v>
      </c>
      <c r="C4462" t="s">
        <v>5132</v>
      </c>
      <c r="D4462" t="s">
        <v>704</v>
      </c>
      <c r="E4462" t="s">
        <v>659</v>
      </c>
      <c r="F4462">
        <v>133.66</v>
      </c>
      <c r="G4462">
        <v>94.02</v>
      </c>
    </row>
    <row r="4463" spans="1:7" hidden="1" x14ac:dyDescent="0.25">
      <c r="A4463" t="s">
        <v>660</v>
      </c>
      <c r="B4463">
        <v>21015</v>
      </c>
      <c r="C4463" t="s">
        <v>5133</v>
      </c>
      <c r="D4463" t="s">
        <v>704</v>
      </c>
      <c r="E4463" t="s">
        <v>659</v>
      </c>
      <c r="F4463">
        <v>153.56</v>
      </c>
      <c r="G4463">
        <v>108.01</v>
      </c>
    </row>
    <row r="4464" spans="1:7" hidden="1" x14ac:dyDescent="0.25">
      <c r="A4464" t="s">
        <v>660</v>
      </c>
      <c r="B4464">
        <v>40626</v>
      </c>
      <c r="C4464" t="s">
        <v>5134</v>
      </c>
      <c r="D4464" t="s">
        <v>704</v>
      </c>
      <c r="E4464" t="s">
        <v>659</v>
      </c>
      <c r="F4464">
        <v>50.02</v>
      </c>
      <c r="G4464">
        <v>35.18</v>
      </c>
    </row>
    <row r="4465" spans="1:7" hidden="1" x14ac:dyDescent="0.25">
      <c r="A4465" t="s">
        <v>660</v>
      </c>
      <c r="B4465">
        <v>7697</v>
      </c>
      <c r="C4465" t="s">
        <v>5135</v>
      </c>
      <c r="D4465" t="s">
        <v>704</v>
      </c>
      <c r="E4465" t="s">
        <v>659</v>
      </c>
      <c r="F4465">
        <v>73.28</v>
      </c>
      <c r="G4465">
        <v>51.54</v>
      </c>
    </row>
    <row r="4466" spans="1:7" hidden="1" x14ac:dyDescent="0.25">
      <c r="A4466" t="s">
        <v>660</v>
      </c>
      <c r="B4466">
        <v>7698</v>
      </c>
      <c r="C4466" t="s">
        <v>5136</v>
      </c>
      <c r="D4466" t="s">
        <v>704</v>
      </c>
      <c r="E4466" t="s">
        <v>659</v>
      </c>
      <c r="F4466">
        <v>63.08</v>
      </c>
      <c r="G4466">
        <v>44.37</v>
      </c>
    </row>
    <row r="4467" spans="1:7" hidden="1" x14ac:dyDescent="0.25">
      <c r="A4467" t="s">
        <v>660</v>
      </c>
      <c r="B4467">
        <v>7691</v>
      </c>
      <c r="C4467" t="s">
        <v>5137</v>
      </c>
      <c r="D4467" t="s">
        <v>704</v>
      </c>
      <c r="E4467" t="s">
        <v>659</v>
      </c>
      <c r="F4467">
        <v>26.65</v>
      </c>
      <c r="G4467">
        <v>18.75</v>
      </c>
    </row>
    <row r="4468" spans="1:7" hidden="1" x14ac:dyDescent="0.25">
      <c r="A4468" t="s">
        <v>660</v>
      </c>
      <c r="B4468">
        <v>7696</v>
      </c>
      <c r="C4468" t="s">
        <v>5138</v>
      </c>
      <c r="D4468" t="s">
        <v>704</v>
      </c>
      <c r="E4468" t="s">
        <v>659</v>
      </c>
      <c r="F4468">
        <v>105.67</v>
      </c>
      <c r="G4468">
        <v>74.33</v>
      </c>
    </row>
    <row r="4469" spans="1:7" hidden="1" x14ac:dyDescent="0.25">
      <c r="A4469" t="s">
        <v>660</v>
      </c>
      <c r="B4469">
        <v>7701</v>
      </c>
      <c r="C4469" t="s">
        <v>5139</v>
      </c>
      <c r="D4469" t="s">
        <v>704</v>
      </c>
      <c r="E4469" t="s">
        <v>659</v>
      </c>
      <c r="F4469">
        <v>131.13</v>
      </c>
      <c r="G4469">
        <v>92.24</v>
      </c>
    </row>
    <row r="4470" spans="1:7" hidden="1" x14ac:dyDescent="0.25">
      <c r="A4470" t="s">
        <v>660</v>
      </c>
      <c r="B4470">
        <v>7694</v>
      </c>
      <c r="C4470" t="s">
        <v>5140</v>
      </c>
      <c r="D4470" t="s">
        <v>704</v>
      </c>
      <c r="E4470" t="s">
        <v>659</v>
      </c>
      <c r="F4470">
        <v>176.46</v>
      </c>
      <c r="G4470">
        <v>124.12</v>
      </c>
    </row>
    <row r="4471" spans="1:7" hidden="1" x14ac:dyDescent="0.25">
      <c r="A4471" t="s">
        <v>660</v>
      </c>
      <c r="B4471">
        <v>7700</v>
      </c>
      <c r="C4471" t="s">
        <v>5141</v>
      </c>
      <c r="D4471" t="s">
        <v>704</v>
      </c>
      <c r="E4471" t="s">
        <v>659</v>
      </c>
      <c r="F4471">
        <v>33.71</v>
      </c>
      <c r="G4471">
        <v>23.71</v>
      </c>
    </row>
    <row r="4472" spans="1:7" hidden="1" x14ac:dyDescent="0.25">
      <c r="A4472" t="s">
        <v>660</v>
      </c>
      <c r="B4472">
        <v>7693</v>
      </c>
      <c r="C4472" t="s">
        <v>5142</v>
      </c>
      <c r="D4472" t="s">
        <v>704</v>
      </c>
      <c r="E4472" t="s">
        <v>659</v>
      </c>
      <c r="F4472">
        <v>243.02</v>
      </c>
      <c r="G4472">
        <v>170.94</v>
      </c>
    </row>
    <row r="4473" spans="1:7" hidden="1" x14ac:dyDescent="0.25">
      <c r="A4473" t="s">
        <v>660</v>
      </c>
      <c r="B4473">
        <v>7692</v>
      </c>
      <c r="C4473" t="s">
        <v>5143</v>
      </c>
      <c r="D4473" t="s">
        <v>704</v>
      </c>
      <c r="E4473" t="s">
        <v>659</v>
      </c>
      <c r="F4473">
        <v>363.85</v>
      </c>
      <c r="G4473">
        <v>255.93</v>
      </c>
    </row>
    <row r="4474" spans="1:7" hidden="1" x14ac:dyDescent="0.25">
      <c r="A4474" t="s">
        <v>660</v>
      </c>
      <c r="B4474">
        <v>7695</v>
      </c>
      <c r="C4474" t="s">
        <v>5144</v>
      </c>
      <c r="D4474" t="s">
        <v>704</v>
      </c>
      <c r="E4474" t="s">
        <v>659</v>
      </c>
      <c r="F4474">
        <v>394.6</v>
      </c>
      <c r="G4474">
        <v>277.57</v>
      </c>
    </row>
    <row r="4475" spans="1:7" hidden="1" x14ac:dyDescent="0.25">
      <c r="A4475" t="s">
        <v>660</v>
      </c>
      <c r="B4475">
        <v>13356</v>
      </c>
      <c r="C4475" t="s">
        <v>5145</v>
      </c>
      <c r="D4475" t="s">
        <v>704</v>
      </c>
      <c r="E4475" t="s">
        <v>659</v>
      </c>
      <c r="F4475">
        <v>28.61</v>
      </c>
      <c r="G4475">
        <v>20.12</v>
      </c>
    </row>
    <row r="4476" spans="1:7" hidden="1" x14ac:dyDescent="0.25">
      <c r="A4476" t="s">
        <v>660</v>
      </c>
      <c r="B4476">
        <v>36365</v>
      </c>
      <c r="C4476" t="s">
        <v>5146</v>
      </c>
      <c r="D4476" t="s">
        <v>704</v>
      </c>
      <c r="E4476" t="s">
        <v>659</v>
      </c>
      <c r="F4476">
        <v>42.15</v>
      </c>
      <c r="G4476">
        <v>43.57</v>
      </c>
    </row>
    <row r="4477" spans="1:7" hidden="1" x14ac:dyDescent="0.25">
      <c r="A4477" t="s">
        <v>660</v>
      </c>
      <c r="B4477">
        <v>41930</v>
      </c>
      <c r="C4477" t="s">
        <v>5147</v>
      </c>
      <c r="D4477" t="s">
        <v>704</v>
      </c>
      <c r="E4477" t="s">
        <v>659</v>
      </c>
      <c r="F4477">
        <v>140.38</v>
      </c>
      <c r="G4477">
        <v>145.13999999999999</v>
      </c>
    </row>
    <row r="4478" spans="1:7" hidden="1" x14ac:dyDescent="0.25">
      <c r="A4478" t="s">
        <v>660</v>
      </c>
      <c r="B4478">
        <v>41931</v>
      </c>
      <c r="C4478" t="s">
        <v>5148</v>
      </c>
      <c r="D4478" t="s">
        <v>704</v>
      </c>
      <c r="E4478" t="s">
        <v>659</v>
      </c>
      <c r="F4478">
        <v>219.87</v>
      </c>
      <c r="G4478">
        <v>227.32</v>
      </c>
    </row>
    <row r="4479" spans="1:7" hidden="1" x14ac:dyDescent="0.25">
      <c r="A4479" t="s">
        <v>660</v>
      </c>
      <c r="B4479">
        <v>41932</v>
      </c>
      <c r="C4479" t="s">
        <v>5149</v>
      </c>
      <c r="D4479" t="s">
        <v>704</v>
      </c>
      <c r="E4479" t="s">
        <v>659</v>
      </c>
      <c r="F4479">
        <v>338.42</v>
      </c>
      <c r="G4479">
        <v>349.88</v>
      </c>
    </row>
    <row r="4480" spans="1:7" hidden="1" x14ac:dyDescent="0.25">
      <c r="A4480" t="s">
        <v>660</v>
      </c>
      <c r="B4480">
        <v>41933</v>
      </c>
      <c r="C4480" t="s">
        <v>5150</v>
      </c>
      <c r="D4480" t="s">
        <v>704</v>
      </c>
      <c r="E4480" t="s">
        <v>659</v>
      </c>
      <c r="F4480">
        <v>478.27</v>
      </c>
      <c r="G4480">
        <v>494.47</v>
      </c>
    </row>
    <row r="4481" spans="1:7" hidden="1" x14ac:dyDescent="0.25">
      <c r="A4481" t="s">
        <v>660</v>
      </c>
      <c r="B4481">
        <v>41934</v>
      </c>
      <c r="C4481" t="s">
        <v>5151</v>
      </c>
      <c r="D4481" t="s">
        <v>704</v>
      </c>
      <c r="E4481" t="s">
        <v>659</v>
      </c>
      <c r="F4481">
        <v>557.01</v>
      </c>
      <c r="G4481">
        <v>575.87</v>
      </c>
    </row>
    <row r="4482" spans="1:7" hidden="1" x14ac:dyDescent="0.25">
      <c r="A4482" t="s">
        <v>660</v>
      </c>
      <c r="B4482">
        <v>41936</v>
      </c>
      <c r="C4482" t="s">
        <v>5152</v>
      </c>
      <c r="D4482" t="s">
        <v>704</v>
      </c>
      <c r="E4482" t="s">
        <v>659</v>
      </c>
      <c r="F4482">
        <v>82.66</v>
      </c>
      <c r="G4482">
        <v>85.46</v>
      </c>
    </row>
    <row r="4483" spans="1:7" hidden="1" x14ac:dyDescent="0.25">
      <c r="A4483" t="s">
        <v>660</v>
      </c>
      <c r="B4483">
        <v>44812</v>
      </c>
      <c r="C4483" t="s">
        <v>5153</v>
      </c>
      <c r="D4483" t="s">
        <v>704</v>
      </c>
      <c r="E4483" t="s">
        <v>659</v>
      </c>
      <c r="F4483">
        <v>353.49</v>
      </c>
      <c r="G4483">
        <v>444.83</v>
      </c>
    </row>
    <row r="4484" spans="1:7" hidden="1" x14ac:dyDescent="0.25">
      <c r="A4484" t="s">
        <v>660</v>
      </c>
      <c r="B4484">
        <v>41785</v>
      </c>
      <c r="C4484" t="s">
        <v>5154</v>
      </c>
      <c r="D4484" t="s">
        <v>704</v>
      </c>
      <c r="E4484" t="s">
        <v>659</v>
      </c>
      <c r="F4484" s="538">
        <v>1310.03</v>
      </c>
      <c r="G4484" s="538">
        <v>1648.51</v>
      </c>
    </row>
    <row r="4485" spans="1:7" hidden="1" x14ac:dyDescent="0.25">
      <c r="A4485" t="s">
        <v>660</v>
      </c>
      <c r="B4485">
        <v>41781</v>
      </c>
      <c r="C4485" t="s">
        <v>5155</v>
      </c>
      <c r="D4485" t="s">
        <v>704</v>
      </c>
      <c r="E4485" t="s">
        <v>659</v>
      </c>
      <c r="F4485">
        <v>236.54</v>
      </c>
      <c r="G4485">
        <v>297.66000000000003</v>
      </c>
    </row>
    <row r="4486" spans="1:7" hidden="1" x14ac:dyDescent="0.25">
      <c r="A4486" t="s">
        <v>660</v>
      </c>
      <c r="B4486">
        <v>41783</v>
      </c>
      <c r="C4486" t="s">
        <v>5156</v>
      </c>
      <c r="D4486" t="s">
        <v>704</v>
      </c>
      <c r="E4486" t="s">
        <v>659</v>
      </c>
      <c r="F4486">
        <v>850.4</v>
      </c>
      <c r="G4486" s="538">
        <v>1070.1300000000001</v>
      </c>
    </row>
    <row r="4487" spans="1:7" hidden="1" x14ac:dyDescent="0.25">
      <c r="A4487" t="s">
        <v>660</v>
      </c>
      <c r="B4487">
        <v>41786</v>
      </c>
      <c r="C4487" t="s">
        <v>5157</v>
      </c>
      <c r="D4487" t="s">
        <v>704</v>
      </c>
      <c r="E4487" t="s">
        <v>659</v>
      </c>
      <c r="F4487" s="538">
        <v>1810.54</v>
      </c>
      <c r="G4487" s="538">
        <v>2278.35</v>
      </c>
    </row>
    <row r="4488" spans="1:7" hidden="1" x14ac:dyDescent="0.25">
      <c r="A4488" t="s">
        <v>660</v>
      </c>
      <c r="B4488">
        <v>41779</v>
      </c>
      <c r="C4488" t="s">
        <v>5158</v>
      </c>
      <c r="D4488" t="s">
        <v>704</v>
      </c>
      <c r="E4488" t="s">
        <v>659</v>
      </c>
      <c r="F4488">
        <v>93.16</v>
      </c>
      <c r="G4488">
        <v>117.23</v>
      </c>
    </row>
    <row r="4489" spans="1:7" hidden="1" x14ac:dyDescent="0.25">
      <c r="A4489" t="s">
        <v>660</v>
      </c>
      <c r="B4489">
        <v>41780</v>
      </c>
      <c r="C4489" t="s">
        <v>5159</v>
      </c>
      <c r="D4489" t="s">
        <v>704</v>
      </c>
      <c r="E4489" t="s">
        <v>659</v>
      </c>
      <c r="F4489">
        <v>145.94999999999999</v>
      </c>
      <c r="G4489">
        <v>183.66</v>
      </c>
    </row>
    <row r="4490" spans="1:7" hidden="1" x14ac:dyDescent="0.25">
      <c r="A4490" t="s">
        <v>660</v>
      </c>
      <c r="B4490">
        <v>41782</v>
      </c>
      <c r="C4490" t="s">
        <v>5160</v>
      </c>
      <c r="D4490" t="s">
        <v>704</v>
      </c>
      <c r="E4490" t="s">
        <v>659</v>
      </c>
      <c r="F4490">
        <v>522.83000000000004</v>
      </c>
      <c r="G4490">
        <v>657.92</v>
      </c>
    </row>
    <row r="4491" spans="1:7" hidden="1" x14ac:dyDescent="0.25">
      <c r="A4491" t="s">
        <v>660</v>
      </c>
      <c r="B4491">
        <v>38130</v>
      </c>
      <c r="C4491" t="s">
        <v>5161</v>
      </c>
      <c r="D4491" t="s">
        <v>704</v>
      </c>
      <c r="E4491" t="s">
        <v>659</v>
      </c>
      <c r="F4491">
        <v>46.79</v>
      </c>
      <c r="G4491">
        <v>44.66</v>
      </c>
    </row>
    <row r="4492" spans="1:7" hidden="1" x14ac:dyDescent="0.25">
      <c r="A4492" t="s">
        <v>660</v>
      </c>
      <c r="B4492">
        <v>44260</v>
      </c>
      <c r="C4492" t="s">
        <v>5162</v>
      </c>
      <c r="D4492" t="s">
        <v>704</v>
      </c>
      <c r="E4492" t="s">
        <v>659</v>
      </c>
      <c r="F4492">
        <v>442.82</v>
      </c>
      <c r="G4492">
        <v>422.75</v>
      </c>
    </row>
    <row r="4493" spans="1:7" hidden="1" x14ac:dyDescent="0.25">
      <c r="A4493" t="s">
        <v>660</v>
      </c>
      <c r="B4493">
        <v>21123</v>
      </c>
      <c r="C4493" t="s">
        <v>5163</v>
      </c>
      <c r="D4493" t="s">
        <v>704</v>
      </c>
      <c r="E4493" t="s">
        <v>172</v>
      </c>
      <c r="F4493">
        <v>13.02</v>
      </c>
      <c r="G4493">
        <v>12.43</v>
      </c>
    </row>
    <row r="4494" spans="1:7" hidden="1" x14ac:dyDescent="0.25">
      <c r="A4494" t="s">
        <v>660</v>
      </c>
      <c r="B4494">
        <v>21124</v>
      </c>
      <c r="C4494" t="s">
        <v>5164</v>
      </c>
      <c r="D4494" t="s">
        <v>704</v>
      </c>
      <c r="E4494" t="s">
        <v>659</v>
      </c>
      <c r="F4494">
        <v>20.8</v>
      </c>
      <c r="G4494">
        <v>19.86</v>
      </c>
    </row>
    <row r="4495" spans="1:7" hidden="1" x14ac:dyDescent="0.25">
      <c r="A4495" t="s">
        <v>660</v>
      </c>
      <c r="B4495">
        <v>21125</v>
      </c>
      <c r="C4495" t="s">
        <v>5165</v>
      </c>
      <c r="D4495" t="s">
        <v>704</v>
      </c>
      <c r="E4495" t="s">
        <v>659</v>
      </c>
      <c r="F4495">
        <v>35.82</v>
      </c>
      <c r="G4495">
        <v>34.200000000000003</v>
      </c>
    </row>
    <row r="4496" spans="1:7" hidden="1" x14ac:dyDescent="0.25">
      <c r="A4496" t="s">
        <v>660</v>
      </c>
      <c r="B4496">
        <v>38028</v>
      </c>
      <c r="C4496" t="s">
        <v>5166</v>
      </c>
      <c r="D4496" t="s">
        <v>704</v>
      </c>
      <c r="E4496" t="s">
        <v>659</v>
      </c>
      <c r="F4496">
        <v>62.63</v>
      </c>
      <c r="G4496">
        <v>59.79</v>
      </c>
    </row>
    <row r="4497" spans="1:7" hidden="1" x14ac:dyDescent="0.25">
      <c r="A4497" t="s">
        <v>660</v>
      </c>
      <c r="B4497">
        <v>38029</v>
      </c>
      <c r="C4497" t="s">
        <v>5167</v>
      </c>
      <c r="D4497" t="s">
        <v>704</v>
      </c>
      <c r="E4497" t="s">
        <v>659</v>
      </c>
      <c r="F4497">
        <v>91.67</v>
      </c>
      <c r="G4497">
        <v>87.52</v>
      </c>
    </row>
    <row r="4498" spans="1:7" hidden="1" x14ac:dyDescent="0.25">
      <c r="A4498" t="s">
        <v>660</v>
      </c>
      <c r="B4498">
        <v>38030</v>
      </c>
      <c r="C4498" t="s">
        <v>5168</v>
      </c>
      <c r="D4498" t="s">
        <v>704</v>
      </c>
      <c r="E4498" t="s">
        <v>659</v>
      </c>
      <c r="F4498">
        <v>148.24</v>
      </c>
      <c r="G4498">
        <v>141.52000000000001</v>
      </c>
    </row>
    <row r="4499" spans="1:7" hidden="1" x14ac:dyDescent="0.25">
      <c r="A4499" t="s">
        <v>660</v>
      </c>
      <c r="B4499">
        <v>38031</v>
      </c>
      <c r="C4499" t="s">
        <v>5169</v>
      </c>
      <c r="D4499" t="s">
        <v>704</v>
      </c>
      <c r="E4499" t="s">
        <v>659</v>
      </c>
      <c r="F4499">
        <v>232.67</v>
      </c>
      <c r="G4499">
        <v>222.13</v>
      </c>
    </row>
    <row r="4500" spans="1:7" hidden="1" x14ac:dyDescent="0.25">
      <c r="A4500" t="s">
        <v>660</v>
      </c>
      <c r="B4500">
        <v>39735</v>
      </c>
      <c r="C4500" t="s">
        <v>5170</v>
      </c>
      <c r="D4500" t="s">
        <v>704</v>
      </c>
      <c r="E4500" t="s">
        <v>659</v>
      </c>
      <c r="F4500">
        <v>73.25</v>
      </c>
      <c r="G4500">
        <v>60.82</v>
      </c>
    </row>
    <row r="4501" spans="1:7" hidden="1" x14ac:dyDescent="0.25">
      <c r="A4501" t="s">
        <v>660</v>
      </c>
      <c r="B4501">
        <v>39734</v>
      </c>
      <c r="C4501" t="s">
        <v>5171</v>
      </c>
      <c r="D4501" t="s">
        <v>704</v>
      </c>
      <c r="E4501" t="s">
        <v>659</v>
      </c>
      <c r="F4501">
        <v>86.89</v>
      </c>
      <c r="G4501">
        <v>72.14</v>
      </c>
    </row>
    <row r="4502" spans="1:7" hidden="1" x14ac:dyDescent="0.25">
      <c r="A4502" t="s">
        <v>660</v>
      </c>
      <c r="B4502">
        <v>39736</v>
      </c>
      <c r="C4502" t="s">
        <v>5172</v>
      </c>
      <c r="D4502" t="s">
        <v>704</v>
      </c>
      <c r="E4502" t="s">
        <v>659</v>
      </c>
      <c r="F4502">
        <v>99.16</v>
      </c>
      <c r="G4502">
        <v>82.33</v>
      </c>
    </row>
    <row r="4503" spans="1:7" hidden="1" x14ac:dyDescent="0.25">
      <c r="A4503" t="s">
        <v>660</v>
      </c>
      <c r="B4503">
        <v>39739</v>
      </c>
      <c r="C4503" t="s">
        <v>5173</v>
      </c>
      <c r="D4503" t="s">
        <v>704</v>
      </c>
      <c r="E4503" t="s">
        <v>659</v>
      </c>
      <c r="F4503">
        <v>68.569999999999993</v>
      </c>
      <c r="G4503">
        <v>56.93</v>
      </c>
    </row>
    <row r="4504" spans="1:7" hidden="1" x14ac:dyDescent="0.25">
      <c r="A4504" t="s">
        <v>660</v>
      </c>
      <c r="B4504">
        <v>39737</v>
      </c>
      <c r="C4504" t="s">
        <v>5174</v>
      </c>
      <c r="D4504" t="s">
        <v>704</v>
      </c>
      <c r="E4504" t="s">
        <v>659</v>
      </c>
      <c r="F4504">
        <v>13.34</v>
      </c>
      <c r="G4504">
        <v>11.07</v>
      </c>
    </row>
    <row r="4505" spans="1:7" hidden="1" x14ac:dyDescent="0.25">
      <c r="A4505" t="s">
        <v>660</v>
      </c>
      <c r="B4505">
        <v>39738</v>
      </c>
      <c r="C4505" t="s">
        <v>5175</v>
      </c>
      <c r="D4505" t="s">
        <v>704</v>
      </c>
      <c r="E4505" t="s">
        <v>659</v>
      </c>
      <c r="F4505">
        <v>4.82</v>
      </c>
      <c r="G4505">
        <v>4</v>
      </c>
    </row>
    <row r="4506" spans="1:7" hidden="1" x14ac:dyDescent="0.25">
      <c r="A4506" t="s">
        <v>660</v>
      </c>
      <c r="B4506">
        <v>39733</v>
      </c>
      <c r="C4506" t="s">
        <v>5176</v>
      </c>
      <c r="D4506" t="s">
        <v>704</v>
      </c>
      <c r="E4506" t="s">
        <v>659</v>
      </c>
      <c r="F4506">
        <v>118.67</v>
      </c>
      <c r="G4506">
        <v>98.53</v>
      </c>
    </row>
    <row r="4507" spans="1:7" hidden="1" x14ac:dyDescent="0.25">
      <c r="A4507" t="s">
        <v>660</v>
      </c>
      <c r="B4507">
        <v>39854</v>
      </c>
      <c r="C4507" t="s">
        <v>5177</v>
      </c>
      <c r="D4507" t="s">
        <v>704</v>
      </c>
      <c r="E4507" t="s">
        <v>659</v>
      </c>
      <c r="F4507">
        <v>120.35</v>
      </c>
      <c r="G4507">
        <v>99.92</v>
      </c>
    </row>
    <row r="4508" spans="1:7" hidden="1" x14ac:dyDescent="0.25">
      <c r="A4508" t="s">
        <v>660</v>
      </c>
      <c r="B4508">
        <v>39740</v>
      </c>
      <c r="C4508" t="s">
        <v>5178</v>
      </c>
      <c r="D4508" t="s">
        <v>704</v>
      </c>
      <c r="E4508" t="s">
        <v>659</v>
      </c>
      <c r="F4508">
        <v>65.849999999999994</v>
      </c>
      <c r="G4508">
        <v>54.67</v>
      </c>
    </row>
    <row r="4509" spans="1:7" hidden="1" x14ac:dyDescent="0.25">
      <c r="A4509" t="s">
        <v>660</v>
      </c>
      <c r="B4509">
        <v>39741</v>
      </c>
      <c r="C4509" t="s">
        <v>5179</v>
      </c>
      <c r="D4509" t="s">
        <v>704</v>
      </c>
      <c r="E4509" t="s">
        <v>659</v>
      </c>
      <c r="F4509">
        <v>12.13</v>
      </c>
      <c r="G4509">
        <v>10.07</v>
      </c>
    </row>
    <row r="4510" spans="1:7" hidden="1" x14ac:dyDescent="0.25">
      <c r="A4510" t="s">
        <v>660</v>
      </c>
      <c r="B4510">
        <v>39853</v>
      </c>
      <c r="C4510" t="s">
        <v>5180</v>
      </c>
      <c r="D4510" t="s">
        <v>704</v>
      </c>
      <c r="E4510" t="s">
        <v>659</v>
      </c>
      <c r="F4510">
        <v>15.94</v>
      </c>
      <c r="G4510">
        <v>13.23</v>
      </c>
    </row>
    <row r="4511" spans="1:7" hidden="1" x14ac:dyDescent="0.25">
      <c r="A4511" t="s">
        <v>660</v>
      </c>
      <c r="B4511">
        <v>39742</v>
      </c>
      <c r="C4511" t="s">
        <v>5181</v>
      </c>
      <c r="D4511" t="s">
        <v>704</v>
      </c>
      <c r="E4511" t="s">
        <v>659</v>
      </c>
      <c r="F4511">
        <v>52.93</v>
      </c>
      <c r="G4511">
        <v>43.94</v>
      </c>
    </row>
    <row r="4512" spans="1:7" hidden="1" x14ac:dyDescent="0.25">
      <c r="A4512" t="s">
        <v>660</v>
      </c>
      <c r="B4512">
        <v>39751</v>
      </c>
      <c r="C4512" t="s">
        <v>5182</v>
      </c>
      <c r="D4512" t="s">
        <v>704</v>
      </c>
      <c r="E4512" t="s">
        <v>659</v>
      </c>
      <c r="F4512">
        <f t="shared" ref="F4512:F4536" si="42">G4512</f>
        <v>189.02</v>
      </c>
      <c r="G4512">
        <v>189.02</v>
      </c>
    </row>
    <row r="4513" spans="1:7" hidden="1" x14ac:dyDescent="0.25">
      <c r="A4513" t="s">
        <v>660</v>
      </c>
      <c r="B4513">
        <v>39750</v>
      </c>
      <c r="C4513" t="s">
        <v>5183</v>
      </c>
      <c r="D4513" t="s">
        <v>704</v>
      </c>
      <c r="E4513" t="s">
        <v>659</v>
      </c>
      <c r="F4513">
        <f t="shared" si="42"/>
        <v>157.11000000000001</v>
      </c>
      <c r="G4513">
        <v>157.11000000000001</v>
      </c>
    </row>
    <row r="4514" spans="1:7" hidden="1" x14ac:dyDescent="0.25">
      <c r="A4514" t="s">
        <v>660</v>
      </c>
      <c r="B4514">
        <v>39749</v>
      </c>
      <c r="C4514" t="s">
        <v>5184</v>
      </c>
      <c r="D4514" t="s">
        <v>704</v>
      </c>
      <c r="E4514" t="s">
        <v>659</v>
      </c>
      <c r="F4514">
        <f t="shared" si="42"/>
        <v>104.02</v>
      </c>
      <c r="G4514">
        <v>104.02</v>
      </c>
    </row>
    <row r="4515" spans="1:7" hidden="1" x14ac:dyDescent="0.25">
      <c r="A4515" t="s">
        <v>660</v>
      </c>
      <c r="B4515">
        <v>39747</v>
      </c>
      <c r="C4515" t="s">
        <v>5185</v>
      </c>
      <c r="D4515" t="s">
        <v>704</v>
      </c>
      <c r="E4515" t="s">
        <v>659</v>
      </c>
      <c r="F4515">
        <f t="shared" si="42"/>
        <v>50.53</v>
      </c>
      <c r="G4515">
        <v>50.53</v>
      </c>
    </row>
    <row r="4516" spans="1:7" hidden="1" x14ac:dyDescent="0.25">
      <c r="A4516" t="s">
        <v>660</v>
      </c>
      <c r="B4516">
        <v>39753</v>
      </c>
      <c r="C4516" t="s">
        <v>5186</v>
      </c>
      <c r="D4516" t="s">
        <v>704</v>
      </c>
      <c r="E4516" t="s">
        <v>659</v>
      </c>
      <c r="F4516">
        <f t="shared" si="42"/>
        <v>347.94</v>
      </c>
      <c r="G4516">
        <v>347.94</v>
      </c>
    </row>
    <row r="4517" spans="1:7" hidden="1" x14ac:dyDescent="0.25">
      <c r="A4517" t="s">
        <v>660</v>
      </c>
      <c r="B4517">
        <v>39752</v>
      </c>
      <c r="C4517" t="s">
        <v>5187</v>
      </c>
      <c r="D4517" t="s">
        <v>704</v>
      </c>
      <c r="E4517" t="s">
        <v>659</v>
      </c>
      <c r="F4517">
        <f t="shared" si="42"/>
        <v>268.95</v>
      </c>
      <c r="G4517">
        <v>268.95</v>
      </c>
    </row>
    <row r="4518" spans="1:7" hidden="1" x14ac:dyDescent="0.25">
      <c r="A4518" t="s">
        <v>660</v>
      </c>
      <c r="B4518">
        <v>39754</v>
      </c>
      <c r="C4518" t="s">
        <v>5188</v>
      </c>
      <c r="D4518" t="s">
        <v>704</v>
      </c>
      <c r="E4518" t="s">
        <v>659</v>
      </c>
      <c r="F4518">
        <f t="shared" si="42"/>
        <v>512.6</v>
      </c>
      <c r="G4518">
        <v>512.6</v>
      </c>
    </row>
    <row r="4519" spans="1:7" hidden="1" x14ac:dyDescent="0.25">
      <c r="A4519" t="s">
        <v>660</v>
      </c>
      <c r="B4519">
        <v>39748</v>
      </c>
      <c r="C4519" t="s">
        <v>5189</v>
      </c>
      <c r="D4519" t="s">
        <v>704</v>
      </c>
      <c r="E4519" t="s">
        <v>659</v>
      </c>
      <c r="F4519">
        <f t="shared" si="42"/>
        <v>81.77</v>
      </c>
      <c r="G4519">
        <v>81.77</v>
      </c>
    </row>
    <row r="4520" spans="1:7" hidden="1" x14ac:dyDescent="0.25">
      <c r="A4520" t="s">
        <v>660</v>
      </c>
      <c r="B4520">
        <v>39755</v>
      </c>
      <c r="C4520" t="s">
        <v>5190</v>
      </c>
      <c r="D4520" t="s">
        <v>704</v>
      </c>
      <c r="E4520" t="s">
        <v>659</v>
      </c>
      <c r="F4520">
        <f t="shared" si="42"/>
        <v>777.22</v>
      </c>
      <c r="G4520">
        <v>777.22</v>
      </c>
    </row>
    <row r="4521" spans="1:7" hidden="1" x14ac:dyDescent="0.25">
      <c r="A4521" t="s">
        <v>660</v>
      </c>
      <c r="B4521">
        <v>12742</v>
      </c>
      <c r="C4521" t="s">
        <v>5191</v>
      </c>
      <c r="D4521" t="s">
        <v>704</v>
      </c>
      <c r="E4521" t="s">
        <v>659</v>
      </c>
      <c r="F4521">
        <f t="shared" si="42"/>
        <v>615.42999999999995</v>
      </c>
      <c r="G4521">
        <v>615.42999999999995</v>
      </c>
    </row>
    <row r="4522" spans="1:7" hidden="1" x14ac:dyDescent="0.25">
      <c r="A4522" t="s">
        <v>660</v>
      </c>
      <c r="B4522">
        <v>12713</v>
      </c>
      <c r="C4522" t="s">
        <v>5192</v>
      </c>
      <c r="D4522" t="s">
        <v>704</v>
      </c>
      <c r="E4522" t="s">
        <v>172</v>
      </c>
      <c r="F4522">
        <f t="shared" si="42"/>
        <v>32.64</v>
      </c>
      <c r="G4522">
        <v>32.64</v>
      </c>
    </row>
    <row r="4523" spans="1:7" hidden="1" x14ac:dyDescent="0.25">
      <c r="A4523" t="s">
        <v>660</v>
      </c>
      <c r="B4523">
        <v>12743</v>
      </c>
      <c r="C4523" t="s">
        <v>5193</v>
      </c>
      <c r="D4523" t="s">
        <v>704</v>
      </c>
      <c r="E4523" t="s">
        <v>659</v>
      </c>
      <c r="F4523">
        <f t="shared" si="42"/>
        <v>56.15</v>
      </c>
      <c r="G4523">
        <v>56.15</v>
      </c>
    </row>
    <row r="4524" spans="1:7" hidden="1" x14ac:dyDescent="0.25">
      <c r="A4524" t="s">
        <v>660</v>
      </c>
      <c r="B4524">
        <v>12744</v>
      </c>
      <c r="C4524" t="s">
        <v>5194</v>
      </c>
      <c r="D4524" t="s">
        <v>704</v>
      </c>
      <c r="E4524" t="s">
        <v>659</v>
      </c>
      <c r="F4524">
        <f t="shared" si="42"/>
        <v>71.260000000000005</v>
      </c>
      <c r="G4524">
        <v>71.260000000000005</v>
      </c>
    </row>
    <row r="4525" spans="1:7" hidden="1" x14ac:dyDescent="0.25">
      <c r="A4525" t="s">
        <v>660</v>
      </c>
      <c r="B4525">
        <v>12745</v>
      </c>
      <c r="C4525" t="s">
        <v>5195</v>
      </c>
      <c r="D4525" t="s">
        <v>704</v>
      </c>
      <c r="E4525" t="s">
        <v>659</v>
      </c>
      <c r="F4525">
        <f t="shared" si="42"/>
        <v>103.48</v>
      </c>
      <c r="G4525">
        <v>103.48</v>
      </c>
    </row>
    <row r="4526" spans="1:7" hidden="1" x14ac:dyDescent="0.25">
      <c r="A4526" t="s">
        <v>660</v>
      </c>
      <c r="B4526">
        <v>12746</v>
      </c>
      <c r="C4526" t="s">
        <v>5196</v>
      </c>
      <c r="D4526" t="s">
        <v>704</v>
      </c>
      <c r="E4526" t="s">
        <v>659</v>
      </c>
      <c r="F4526">
        <f t="shared" si="42"/>
        <v>139.74</v>
      </c>
      <c r="G4526">
        <v>139.74</v>
      </c>
    </row>
    <row r="4527" spans="1:7" hidden="1" x14ac:dyDescent="0.25">
      <c r="A4527" t="s">
        <v>660</v>
      </c>
      <c r="B4527">
        <v>12747</v>
      </c>
      <c r="C4527" t="s">
        <v>5197</v>
      </c>
      <c r="D4527" t="s">
        <v>704</v>
      </c>
      <c r="E4527" t="s">
        <v>659</v>
      </c>
      <c r="F4527">
        <f t="shared" si="42"/>
        <v>202.66</v>
      </c>
      <c r="G4527">
        <v>202.66</v>
      </c>
    </row>
    <row r="4528" spans="1:7" hidden="1" x14ac:dyDescent="0.25">
      <c r="A4528" t="s">
        <v>660</v>
      </c>
      <c r="B4528">
        <v>12748</v>
      </c>
      <c r="C4528" t="s">
        <v>5198</v>
      </c>
      <c r="D4528" t="s">
        <v>704</v>
      </c>
      <c r="E4528" t="s">
        <v>659</v>
      </c>
      <c r="F4528">
        <f t="shared" si="42"/>
        <v>285.5</v>
      </c>
      <c r="G4528">
        <v>285.5</v>
      </c>
    </row>
    <row r="4529" spans="1:7" hidden="1" x14ac:dyDescent="0.25">
      <c r="A4529" t="s">
        <v>660</v>
      </c>
      <c r="B4529">
        <v>12749</v>
      </c>
      <c r="C4529" t="s">
        <v>5199</v>
      </c>
      <c r="D4529" t="s">
        <v>704</v>
      </c>
      <c r="E4529" t="s">
        <v>659</v>
      </c>
      <c r="F4529">
        <f t="shared" si="42"/>
        <v>417.36</v>
      </c>
      <c r="G4529">
        <v>417.36</v>
      </c>
    </row>
    <row r="4530" spans="1:7" hidden="1" x14ac:dyDescent="0.25">
      <c r="A4530" t="s">
        <v>660</v>
      </c>
      <c r="B4530">
        <v>39660</v>
      </c>
      <c r="C4530" t="s">
        <v>5200</v>
      </c>
      <c r="D4530" t="s">
        <v>704</v>
      </c>
      <c r="E4530" t="s">
        <v>659</v>
      </c>
      <c r="F4530">
        <f t="shared" si="42"/>
        <v>43</v>
      </c>
      <c r="G4530">
        <v>43</v>
      </c>
    </row>
    <row r="4531" spans="1:7" hidden="1" x14ac:dyDescent="0.25">
      <c r="A4531" t="s">
        <v>660</v>
      </c>
      <c r="B4531">
        <v>39662</v>
      </c>
      <c r="C4531" t="s">
        <v>5201</v>
      </c>
      <c r="D4531" t="s">
        <v>704</v>
      </c>
      <c r="E4531" t="s">
        <v>659</v>
      </c>
      <c r="F4531">
        <f t="shared" si="42"/>
        <v>20.61</v>
      </c>
      <c r="G4531">
        <v>20.61</v>
      </c>
    </row>
    <row r="4532" spans="1:7" hidden="1" x14ac:dyDescent="0.25">
      <c r="A4532" t="s">
        <v>660</v>
      </c>
      <c r="B4532">
        <v>39661</v>
      </c>
      <c r="C4532" t="s">
        <v>5202</v>
      </c>
      <c r="D4532" t="s">
        <v>704</v>
      </c>
      <c r="E4532" t="s">
        <v>659</v>
      </c>
      <c r="F4532">
        <f t="shared" si="42"/>
        <v>14.05</v>
      </c>
      <c r="G4532">
        <v>14.05</v>
      </c>
    </row>
    <row r="4533" spans="1:7" hidden="1" x14ac:dyDescent="0.25">
      <c r="A4533" t="s">
        <v>660</v>
      </c>
      <c r="B4533">
        <v>39666</v>
      </c>
      <c r="C4533" t="s">
        <v>5203</v>
      </c>
      <c r="D4533" t="s">
        <v>704</v>
      </c>
      <c r="E4533" t="s">
        <v>659</v>
      </c>
      <c r="F4533">
        <f t="shared" si="42"/>
        <v>64.69</v>
      </c>
      <c r="G4533">
        <v>64.69</v>
      </c>
    </row>
    <row r="4534" spans="1:7" hidden="1" x14ac:dyDescent="0.25">
      <c r="A4534" t="s">
        <v>660</v>
      </c>
      <c r="B4534">
        <v>39664</v>
      </c>
      <c r="C4534" t="s">
        <v>5204</v>
      </c>
      <c r="D4534" t="s">
        <v>704</v>
      </c>
      <c r="E4534" t="s">
        <v>659</v>
      </c>
      <c r="F4534">
        <f t="shared" si="42"/>
        <v>31.7</v>
      </c>
      <c r="G4534">
        <v>31.7</v>
      </c>
    </row>
    <row r="4535" spans="1:7" hidden="1" x14ac:dyDescent="0.25">
      <c r="A4535" t="s">
        <v>660</v>
      </c>
      <c r="B4535">
        <v>39663</v>
      </c>
      <c r="C4535" t="s">
        <v>5205</v>
      </c>
      <c r="D4535" t="s">
        <v>704</v>
      </c>
      <c r="E4535" t="s">
        <v>659</v>
      </c>
      <c r="F4535">
        <f t="shared" si="42"/>
        <v>25.35</v>
      </c>
      <c r="G4535">
        <v>25.35</v>
      </c>
    </row>
    <row r="4536" spans="1:7" hidden="1" x14ac:dyDescent="0.25">
      <c r="A4536" t="s">
        <v>660</v>
      </c>
      <c r="B4536">
        <v>39665</v>
      </c>
      <c r="C4536" t="s">
        <v>5206</v>
      </c>
      <c r="D4536" t="s">
        <v>704</v>
      </c>
      <c r="E4536" t="s">
        <v>659</v>
      </c>
      <c r="F4536">
        <f t="shared" si="42"/>
        <v>53.49</v>
      </c>
      <c r="G4536">
        <v>53.49</v>
      </c>
    </row>
    <row r="4537" spans="1:7" hidden="1" x14ac:dyDescent="0.25">
      <c r="A4537" t="s">
        <v>660</v>
      </c>
      <c r="B4537">
        <v>7753</v>
      </c>
      <c r="C4537" t="s">
        <v>5207</v>
      </c>
      <c r="D4537" t="s">
        <v>704</v>
      </c>
      <c r="E4537" t="s">
        <v>659</v>
      </c>
      <c r="F4537">
        <v>458.15</v>
      </c>
      <c r="G4537">
        <v>592.66999999999996</v>
      </c>
    </row>
    <row r="4538" spans="1:7" hidden="1" x14ac:dyDescent="0.25">
      <c r="A4538" t="s">
        <v>660</v>
      </c>
      <c r="B4538">
        <v>13256</v>
      </c>
      <c r="C4538" t="s">
        <v>5208</v>
      </c>
      <c r="D4538" t="s">
        <v>704</v>
      </c>
      <c r="E4538" t="s">
        <v>659</v>
      </c>
      <c r="F4538">
        <v>641.79999999999995</v>
      </c>
      <c r="G4538">
        <v>830.25</v>
      </c>
    </row>
    <row r="4539" spans="1:7" hidden="1" x14ac:dyDescent="0.25">
      <c r="A4539" t="s">
        <v>660</v>
      </c>
      <c r="B4539">
        <v>7757</v>
      </c>
      <c r="C4539" t="s">
        <v>5209</v>
      </c>
      <c r="D4539" t="s">
        <v>704</v>
      </c>
      <c r="E4539" t="s">
        <v>659</v>
      </c>
      <c r="F4539">
        <v>684.26</v>
      </c>
      <c r="G4539">
        <v>885.17</v>
      </c>
    </row>
    <row r="4540" spans="1:7" hidden="1" x14ac:dyDescent="0.25">
      <c r="A4540" t="s">
        <v>660</v>
      </c>
      <c r="B4540">
        <v>7758</v>
      </c>
      <c r="C4540" t="s">
        <v>5210</v>
      </c>
      <c r="D4540" t="s">
        <v>704</v>
      </c>
      <c r="E4540" t="s">
        <v>659</v>
      </c>
      <c r="F4540">
        <v>991.34</v>
      </c>
      <c r="G4540" s="538">
        <v>1282.42</v>
      </c>
    </row>
    <row r="4541" spans="1:7" hidden="1" x14ac:dyDescent="0.25">
      <c r="A4541" t="s">
        <v>660</v>
      </c>
      <c r="B4541">
        <v>7759</v>
      </c>
      <c r="C4541" t="s">
        <v>5211</v>
      </c>
      <c r="D4541" t="s">
        <v>704</v>
      </c>
      <c r="E4541" t="s">
        <v>659</v>
      </c>
      <c r="F4541" s="538">
        <v>2747.01</v>
      </c>
      <c r="G4541" s="538">
        <v>3553.58</v>
      </c>
    </row>
    <row r="4542" spans="1:7" hidden="1" x14ac:dyDescent="0.25">
      <c r="A4542" t="s">
        <v>660</v>
      </c>
      <c r="B4542">
        <v>40334</v>
      </c>
      <c r="C4542" t="s">
        <v>5212</v>
      </c>
      <c r="D4542" t="s">
        <v>704</v>
      </c>
      <c r="E4542" t="s">
        <v>659</v>
      </c>
      <c r="F4542">
        <v>107.62</v>
      </c>
      <c r="G4542">
        <v>139.22</v>
      </c>
    </row>
    <row r="4543" spans="1:7" hidden="1" x14ac:dyDescent="0.25">
      <c r="A4543" t="s">
        <v>660</v>
      </c>
      <c r="B4543">
        <v>7745</v>
      </c>
      <c r="C4543" t="s">
        <v>5213</v>
      </c>
      <c r="D4543" t="s">
        <v>704</v>
      </c>
      <c r="E4543" t="s">
        <v>659</v>
      </c>
      <c r="F4543">
        <v>121.44</v>
      </c>
      <c r="G4543">
        <v>157.1</v>
      </c>
    </row>
    <row r="4544" spans="1:7" hidden="1" x14ac:dyDescent="0.25">
      <c r="A4544" t="s">
        <v>660</v>
      </c>
      <c r="B4544">
        <v>7742</v>
      </c>
      <c r="C4544" t="s">
        <v>5214</v>
      </c>
      <c r="D4544" t="s">
        <v>704</v>
      </c>
      <c r="E4544" t="s">
        <v>659</v>
      </c>
      <c r="F4544">
        <v>320.31</v>
      </c>
      <c r="G4544">
        <v>414.35</v>
      </c>
    </row>
    <row r="4545" spans="1:7" hidden="1" x14ac:dyDescent="0.25">
      <c r="A4545" t="s">
        <v>660</v>
      </c>
      <c r="B4545">
        <v>7750</v>
      </c>
      <c r="C4545" t="s">
        <v>5215</v>
      </c>
      <c r="D4545" t="s">
        <v>704</v>
      </c>
      <c r="E4545" t="s">
        <v>659</v>
      </c>
      <c r="F4545">
        <v>391</v>
      </c>
      <c r="G4545">
        <v>505.81</v>
      </c>
    </row>
    <row r="4546" spans="1:7" hidden="1" x14ac:dyDescent="0.25">
      <c r="A4546" t="s">
        <v>660</v>
      </c>
      <c r="B4546">
        <v>7756</v>
      </c>
      <c r="C4546" t="s">
        <v>5216</v>
      </c>
      <c r="D4546" t="s">
        <v>704</v>
      </c>
      <c r="E4546" t="s">
        <v>659</v>
      </c>
      <c r="F4546">
        <v>449.26</v>
      </c>
      <c r="G4546">
        <v>581.16999999999996</v>
      </c>
    </row>
    <row r="4547" spans="1:7" hidden="1" x14ac:dyDescent="0.25">
      <c r="A4547" t="s">
        <v>660</v>
      </c>
      <c r="B4547">
        <v>7725</v>
      </c>
      <c r="C4547" t="s">
        <v>5217</v>
      </c>
      <c r="D4547" t="s">
        <v>704</v>
      </c>
      <c r="E4547" t="s">
        <v>172</v>
      </c>
      <c r="F4547">
        <v>235</v>
      </c>
      <c r="G4547">
        <v>304</v>
      </c>
    </row>
    <row r="4548" spans="1:7" hidden="1" x14ac:dyDescent="0.25">
      <c r="A4548" t="s">
        <v>660</v>
      </c>
      <c r="B4548">
        <v>7765</v>
      </c>
      <c r="C4548" t="s">
        <v>5218</v>
      </c>
      <c r="D4548" t="s">
        <v>704</v>
      </c>
      <c r="E4548" t="s">
        <v>659</v>
      </c>
      <c r="F4548">
        <v>503.57</v>
      </c>
      <c r="G4548">
        <v>651.41999999999996</v>
      </c>
    </row>
    <row r="4549" spans="1:7" hidden="1" x14ac:dyDescent="0.25">
      <c r="A4549" t="s">
        <v>660</v>
      </c>
      <c r="B4549">
        <v>12569</v>
      </c>
      <c r="C4549" t="s">
        <v>5219</v>
      </c>
      <c r="D4549" t="s">
        <v>704</v>
      </c>
      <c r="E4549" t="s">
        <v>659</v>
      </c>
      <c r="F4549">
        <v>695.12</v>
      </c>
      <c r="G4549">
        <v>899.22</v>
      </c>
    </row>
    <row r="4550" spans="1:7" hidden="1" x14ac:dyDescent="0.25">
      <c r="A4550" t="s">
        <v>660</v>
      </c>
      <c r="B4550">
        <v>7766</v>
      </c>
      <c r="C4550" t="s">
        <v>5220</v>
      </c>
      <c r="D4550" t="s">
        <v>704</v>
      </c>
      <c r="E4550" t="s">
        <v>659</v>
      </c>
      <c r="F4550">
        <v>738.57</v>
      </c>
      <c r="G4550">
        <v>955.42</v>
      </c>
    </row>
    <row r="4551" spans="1:7" hidden="1" x14ac:dyDescent="0.25">
      <c r="A4551" t="s">
        <v>660</v>
      </c>
      <c r="B4551">
        <v>7767</v>
      </c>
      <c r="C4551" t="s">
        <v>5221</v>
      </c>
      <c r="D4551" t="s">
        <v>704</v>
      </c>
      <c r="E4551" t="s">
        <v>659</v>
      </c>
      <c r="F4551" s="538">
        <v>1060.46</v>
      </c>
      <c r="G4551" s="538">
        <v>1371.83</v>
      </c>
    </row>
    <row r="4552" spans="1:7" hidden="1" x14ac:dyDescent="0.25">
      <c r="A4552" t="s">
        <v>660</v>
      </c>
      <c r="B4552">
        <v>7727</v>
      </c>
      <c r="C4552" t="s">
        <v>5222</v>
      </c>
      <c r="D4552" t="s">
        <v>704</v>
      </c>
      <c r="E4552" t="s">
        <v>659</v>
      </c>
      <c r="F4552" s="538">
        <v>3080.67</v>
      </c>
      <c r="G4552" s="538">
        <v>3985.21</v>
      </c>
    </row>
    <row r="4553" spans="1:7" hidden="1" x14ac:dyDescent="0.25">
      <c r="A4553" t="s">
        <v>660</v>
      </c>
      <c r="B4553">
        <v>7760</v>
      </c>
      <c r="C4553" t="s">
        <v>5223</v>
      </c>
      <c r="D4553" t="s">
        <v>704</v>
      </c>
      <c r="E4553" t="s">
        <v>659</v>
      </c>
      <c r="F4553">
        <v>122.43</v>
      </c>
      <c r="G4553">
        <v>158.38</v>
      </c>
    </row>
    <row r="4554" spans="1:7" hidden="1" x14ac:dyDescent="0.25">
      <c r="A4554" t="s">
        <v>660</v>
      </c>
      <c r="B4554">
        <v>7761</v>
      </c>
      <c r="C4554" t="s">
        <v>5224</v>
      </c>
      <c r="D4554" t="s">
        <v>704</v>
      </c>
      <c r="E4554" t="s">
        <v>659</v>
      </c>
      <c r="F4554">
        <v>128.36000000000001</v>
      </c>
      <c r="G4554">
        <v>166.05</v>
      </c>
    </row>
    <row r="4555" spans="1:7" hidden="1" x14ac:dyDescent="0.25">
      <c r="A4555" t="s">
        <v>660</v>
      </c>
      <c r="B4555">
        <v>7752</v>
      </c>
      <c r="C4555" t="s">
        <v>5225</v>
      </c>
      <c r="D4555" t="s">
        <v>704</v>
      </c>
      <c r="E4555" t="s">
        <v>659</v>
      </c>
      <c r="F4555">
        <v>156</v>
      </c>
      <c r="G4555">
        <v>201.81</v>
      </c>
    </row>
    <row r="4556" spans="1:7" hidden="1" x14ac:dyDescent="0.25">
      <c r="A4556" t="s">
        <v>660</v>
      </c>
      <c r="B4556">
        <v>7762</v>
      </c>
      <c r="C4556" t="s">
        <v>5226</v>
      </c>
      <c r="D4556" t="s">
        <v>704</v>
      </c>
      <c r="E4556" t="s">
        <v>659</v>
      </c>
      <c r="F4556">
        <v>203.89</v>
      </c>
      <c r="G4556">
        <v>263.76</v>
      </c>
    </row>
    <row r="4557" spans="1:7" hidden="1" x14ac:dyDescent="0.25">
      <c r="A4557" t="s">
        <v>660</v>
      </c>
      <c r="B4557">
        <v>7722</v>
      </c>
      <c r="C4557" t="s">
        <v>5227</v>
      </c>
      <c r="D4557" t="s">
        <v>704</v>
      </c>
      <c r="E4557" t="s">
        <v>659</v>
      </c>
      <c r="F4557">
        <v>312.01</v>
      </c>
      <c r="G4557">
        <v>403.63</v>
      </c>
    </row>
    <row r="4558" spans="1:7" hidden="1" x14ac:dyDescent="0.25">
      <c r="A4558" t="s">
        <v>660</v>
      </c>
      <c r="B4558">
        <v>7763</v>
      </c>
      <c r="C4558" t="s">
        <v>5228</v>
      </c>
      <c r="D4558" t="s">
        <v>704</v>
      </c>
      <c r="E4558" t="s">
        <v>659</v>
      </c>
      <c r="F4558">
        <v>380.14</v>
      </c>
      <c r="G4558">
        <v>491.76</v>
      </c>
    </row>
    <row r="4559" spans="1:7" hidden="1" x14ac:dyDescent="0.25">
      <c r="A4559" t="s">
        <v>660</v>
      </c>
      <c r="B4559">
        <v>7764</v>
      </c>
      <c r="C4559" t="s">
        <v>5229</v>
      </c>
      <c r="D4559" t="s">
        <v>704</v>
      </c>
      <c r="E4559" t="s">
        <v>659</v>
      </c>
      <c r="F4559">
        <v>454.2</v>
      </c>
      <c r="G4559">
        <v>587.55999999999995</v>
      </c>
    </row>
    <row r="4560" spans="1:7" hidden="1" x14ac:dyDescent="0.25">
      <c r="A4560" t="s">
        <v>660</v>
      </c>
      <c r="B4560">
        <v>12572</v>
      </c>
      <c r="C4560" t="s">
        <v>5230</v>
      </c>
      <c r="D4560" t="s">
        <v>704</v>
      </c>
      <c r="E4560" t="s">
        <v>659</v>
      </c>
      <c r="F4560">
        <v>641.79999999999995</v>
      </c>
      <c r="G4560">
        <v>830.25</v>
      </c>
    </row>
    <row r="4561" spans="1:7" hidden="1" x14ac:dyDescent="0.25">
      <c r="A4561" t="s">
        <v>660</v>
      </c>
      <c r="B4561">
        <v>12573</v>
      </c>
      <c r="C4561" t="s">
        <v>5231</v>
      </c>
      <c r="D4561" t="s">
        <v>704</v>
      </c>
      <c r="E4561" t="s">
        <v>659</v>
      </c>
      <c r="F4561">
        <v>844.22</v>
      </c>
      <c r="G4561" s="538">
        <v>1092.0999999999999</v>
      </c>
    </row>
    <row r="4562" spans="1:7" hidden="1" x14ac:dyDescent="0.25">
      <c r="A4562" t="s">
        <v>660</v>
      </c>
      <c r="B4562">
        <v>12574</v>
      </c>
      <c r="C4562" t="s">
        <v>5232</v>
      </c>
      <c r="D4562" t="s">
        <v>704</v>
      </c>
      <c r="E4562" t="s">
        <v>659</v>
      </c>
      <c r="F4562" s="538">
        <v>1020.76</v>
      </c>
      <c r="G4562" s="538">
        <v>1320.48</v>
      </c>
    </row>
    <row r="4563" spans="1:7" hidden="1" x14ac:dyDescent="0.25">
      <c r="A4563" t="s">
        <v>660</v>
      </c>
      <c r="B4563">
        <v>12575</v>
      </c>
      <c r="C4563" t="s">
        <v>5233</v>
      </c>
      <c r="D4563" t="s">
        <v>704</v>
      </c>
      <c r="E4563" t="s">
        <v>659</v>
      </c>
      <c r="F4563" s="538">
        <v>1550.21</v>
      </c>
      <c r="G4563" s="538">
        <v>2005.37</v>
      </c>
    </row>
    <row r="4564" spans="1:7" hidden="1" x14ac:dyDescent="0.25">
      <c r="A4564" t="s">
        <v>660</v>
      </c>
      <c r="B4564">
        <v>12576</v>
      </c>
      <c r="C4564" t="s">
        <v>5234</v>
      </c>
      <c r="D4564" t="s">
        <v>704</v>
      </c>
      <c r="E4564" t="s">
        <v>659</v>
      </c>
      <c r="F4564">
        <v>187.6</v>
      </c>
      <c r="G4564">
        <v>242.68</v>
      </c>
    </row>
    <row r="4565" spans="1:7" hidden="1" x14ac:dyDescent="0.25">
      <c r="A4565" t="s">
        <v>660</v>
      </c>
      <c r="B4565">
        <v>12577</v>
      </c>
      <c r="C4565" t="s">
        <v>5235</v>
      </c>
      <c r="D4565" t="s">
        <v>704</v>
      </c>
      <c r="E4565" t="s">
        <v>659</v>
      </c>
      <c r="F4565">
        <v>252.77</v>
      </c>
      <c r="G4565">
        <v>326.99</v>
      </c>
    </row>
    <row r="4566" spans="1:7" hidden="1" x14ac:dyDescent="0.25">
      <c r="A4566" t="s">
        <v>660</v>
      </c>
      <c r="B4566">
        <v>12578</v>
      </c>
      <c r="C4566" t="s">
        <v>5236</v>
      </c>
      <c r="D4566" t="s">
        <v>704</v>
      </c>
      <c r="E4566" t="s">
        <v>659</v>
      </c>
      <c r="F4566">
        <v>306.08999999999997</v>
      </c>
      <c r="G4566">
        <v>395.96</v>
      </c>
    </row>
    <row r="4567" spans="1:7" hidden="1" x14ac:dyDescent="0.25">
      <c r="A4567" t="s">
        <v>660</v>
      </c>
      <c r="B4567">
        <v>12579</v>
      </c>
      <c r="C4567" t="s">
        <v>5237</v>
      </c>
      <c r="D4567" t="s">
        <v>704</v>
      </c>
      <c r="E4567" t="s">
        <v>659</v>
      </c>
      <c r="F4567">
        <v>527.26</v>
      </c>
      <c r="G4567">
        <v>682.08</v>
      </c>
    </row>
    <row r="4568" spans="1:7" hidden="1" x14ac:dyDescent="0.25">
      <c r="A4568" t="s">
        <v>660</v>
      </c>
      <c r="B4568">
        <v>12580</v>
      </c>
      <c r="C4568" t="s">
        <v>5238</v>
      </c>
      <c r="D4568" t="s">
        <v>704</v>
      </c>
      <c r="E4568" t="s">
        <v>659</v>
      </c>
      <c r="F4568">
        <v>549.38</v>
      </c>
      <c r="G4568">
        <v>710.69</v>
      </c>
    </row>
    <row r="4569" spans="1:7" hidden="1" x14ac:dyDescent="0.25">
      <c r="A4569" t="s">
        <v>660</v>
      </c>
      <c r="B4569">
        <v>12581</v>
      </c>
      <c r="C4569" t="s">
        <v>5239</v>
      </c>
      <c r="D4569" t="s">
        <v>704</v>
      </c>
      <c r="E4569" t="s">
        <v>659</v>
      </c>
      <c r="F4569">
        <v>588.48</v>
      </c>
      <c r="G4569">
        <v>761.27</v>
      </c>
    </row>
    <row r="4570" spans="1:7" hidden="1" x14ac:dyDescent="0.25">
      <c r="A4570" t="s">
        <v>660</v>
      </c>
      <c r="B4570">
        <v>7720</v>
      </c>
      <c r="C4570" t="s">
        <v>5240</v>
      </c>
      <c r="D4570" t="s">
        <v>704</v>
      </c>
      <c r="E4570" t="s">
        <v>659</v>
      </c>
      <c r="F4570">
        <v>920.25</v>
      </c>
      <c r="G4570" s="538">
        <v>1190.45</v>
      </c>
    </row>
    <row r="4571" spans="1:7" hidden="1" x14ac:dyDescent="0.25">
      <c r="A4571" t="s">
        <v>660</v>
      </c>
      <c r="B4571">
        <v>40335</v>
      </c>
      <c r="C4571" t="s">
        <v>5241</v>
      </c>
      <c r="D4571" t="s">
        <v>704</v>
      </c>
      <c r="E4571" t="s">
        <v>659</v>
      </c>
      <c r="F4571">
        <v>192.54</v>
      </c>
      <c r="G4571">
        <v>249.07</v>
      </c>
    </row>
    <row r="4572" spans="1:7" hidden="1" x14ac:dyDescent="0.25">
      <c r="A4572" t="s">
        <v>660</v>
      </c>
      <c r="B4572">
        <v>7740</v>
      </c>
      <c r="C4572" t="s">
        <v>5242</v>
      </c>
      <c r="D4572" t="s">
        <v>704</v>
      </c>
      <c r="E4572" t="s">
        <v>659</v>
      </c>
      <c r="F4572">
        <v>197.47</v>
      </c>
      <c r="G4572">
        <v>255.46</v>
      </c>
    </row>
    <row r="4573" spans="1:7" hidden="1" x14ac:dyDescent="0.25">
      <c r="A4573" t="s">
        <v>660</v>
      </c>
      <c r="B4573">
        <v>7741</v>
      </c>
      <c r="C4573" t="s">
        <v>5243</v>
      </c>
      <c r="D4573" t="s">
        <v>704</v>
      </c>
      <c r="E4573" t="s">
        <v>659</v>
      </c>
      <c r="F4573">
        <v>365.33</v>
      </c>
      <c r="G4573">
        <v>472.6</v>
      </c>
    </row>
    <row r="4574" spans="1:7" hidden="1" x14ac:dyDescent="0.25">
      <c r="A4574" t="s">
        <v>660</v>
      </c>
      <c r="B4574">
        <v>7774</v>
      </c>
      <c r="C4574" t="s">
        <v>5244</v>
      </c>
      <c r="D4574" t="s">
        <v>704</v>
      </c>
      <c r="E4574" t="s">
        <v>659</v>
      </c>
      <c r="F4574">
        <v>448.27</v>
      </c>
      <c r="G4574">
        <v>579.89</v>
      </c>
    </row>
    <row r="4575" spans="1:7" hidden="1" x14ac:dyDescent="0.25">
      <c r="A4575" t="s">
        <v>660</v>
      </c>
      <c r="B4575">
        <v>7744</v>
      </c>
      <c r="C4575" t="s">
        <v>5245</v>
      </c>
      <c r="D4575" t="s">
        <v>704</v>
      </c>
      <c r="E4575" t="s">
        <v>659</v>
      </c>
      <c r="F4575">
        <v>585.52</v>
      </c>
      <c r="G4575">
        <v>757.44</v>
      </c>
    </row>
    <row r="4576" spans="1:7" hidden="1" x14ac:dyDescent="0.25">
      <c r="A4576" t="s">
        <v>660</v>
      </c>
      <c r="B4576">
        <v>7773</v>
      </c>
      <c r="C4576" t="s">
        <v>5246</v>
      </c>
      <c r="D4576" t="s">
        <v>704</v>
      </c>
      <c r="E4576" t="s">
        <v>659</v>
      </c>
      <c r="F4576">
        <v>598.46</v>
      </c>
      <c r="G4576">
        <v>774.17</v>
      </c>
    </row>
    <row r="4577" spans="1:7" hidden="1" x14ac:dyDescent="0.25">
      <c r="A4577" t="s">
        <v>660</v>
      </c>
      <c r="B4577">
        <v>7754</v>
      </c>
      <c r="C4577" t="s">
        <v>5247</v>
      </c>
      <c r="D4577" t="s">
        <v>704</v>
      </c>
      <c r="E4577" t="s">
        <v>659</v>
      </c>
      <c r="F4577">
        <v>907.41</v>
      </c>
      <c r="G4577" s="538">
        <v>1173.8399999999999</v>
      </c>
    </row>
    <row r="4578" spans="1:7" hidden="1" x14ac:dyDescent="0.25">
      <c r="A4578" t="s">
        <v>660</v>
      </c>
      <c r="B4578">
        <v>7735</v>
      </c>
      <c r="C4578" t="s">
        <v>5248</v>
      </c>
      <c r="D4578" t="s">
        <v>704</v>
      </c>
      <c r="E4578" t="s">
        <v>659</v>
      </c>
      <c r="F4578" s="538">
        <v>1175</v>
      </c>
      <c r="G4578" s="538">
        <v>1520</v>
      </c>
    </row>
    <row r="4579" spans="1:7" hidden="1" x14ac:dyDescent="0.25">
      <c r="A4579" t="s">
        <v>660</v>
      </c>
      <c r="B4579">
        <v>7755</v>
      </c>
      <c r="C4579" t="s">
        <v>5249</v>
      </c>
      <c r="D4579" t="s">
        <v>704</v>
      </c>
      <c r="E4579" t="s">
        <v>659</v>
      </c>
      <c r="F4579">
        <v>233.02</v>
      </c>
      <c r="G4579">
        <v>301.44</v>
      </c>
    </row>
    <row r="4580" spans="1:7" hidden="1" x14ac:dyDescent="0.25">
      <c r="A4580" t="s">
        <v>660</v>
      </c>
      <c r="B4580">
        <v>7776</v>
      </c>
      <c r="C4580" t="s">
        <v>5250</v>
      </c>
      <c r="D4580" t="s">
        <v>704</v>
      </c>
      <c r="E4580" t="s">
        <v>659</v>
      </c>
      <c r="F4580">
        <v>485.79</v>
      </c>
      <c r="G4580">
        <v>628.42999999999995</v>
      </c>
    </row>
    <row r="4581" spans="1:7" hidden="1" x14ac:dyDescent="0.25">
      <c r="A4581" t="s">
        <v>660</v>
      </c>
      <c r="B4581">
        <v>7743</v>
      </c>
      <c r="C4581" t="s">
        <v>5251</v>
      </c>
      <c r="D4581" t="s">
        <v>704</v>
      </c>
      <c r="E4581" t="s">
        <v>659</v>
      </c>
      <c r="F4581">
        <v>514.42999999999995</v>
      </c>
      <c r="G4581">
        <v>665.47</v>
      </c>
    </row>
    <row r="4582" spans="1:7" hidden="1" x14ac:dyDescent="0.25">
      <c r="A4582" t="s">
        <v>660</v>
      </c>
      <c r="B4582">
        <v>7733</v>
      </c>
      <c r="C4582" t="s">
        <v>5252</v>
      </c>
      <c r="D4582" t="s">
        <v>704</v>
      </c>
      <c r="E4582" t="s">
        <v>659</v>
      </c>
      <c r="F4582">
        <v>671.42</v>
      </c>
      <c r="G4582">
        <v>868.57</v>
      </c>
    </row>
    <row r="4583" spans="1:7" hidden="1" x14ac:dyDescent="0.25">
      <c r="A4583" t="s">
        <v>660</v>
      </c>
      <c r="B4583">
        <v>7775</v>
      </c>
      <c r="C4583" t="s">
        <v>5253</v>
      </c>
      <c r="D4583" t="s">
        <v>704</v>
      </c>
      <c r="E4583" t="s">
        <v>659</v>
      </c>
      <c r="F4583">
        <v>735.6</v>
      </c>
      <c r="G4583">
        <v>951.59</v>
      </c>
    </row>
    <row r="4584" spans="1:7" hidden="1" x14ac:dyDescent="0.25">
      <c r="A4584" t="s">
        <v>660</v>
      </c>
      <c r="B4584">
        <v>7734</v>
      </c>
      <c r="C4584" t="s">
        <v>5254</v>
      </c>
      <c r="D4584" t="s">
        <v>704</v>
      </c>
      <c r="E4584" t="s">
        <v>659</v>
      </c>
      <c r="F4584" s="538">
        <v>1041.7</v>
      </c>
      <c r="G4584" s="538">
        <v>1347.56</v>
      </c>
    </row>
    <row r="4585" spans="1:7" hidden="1" x14ac:dyDescent="0.25">
      <c r="A4585" t="s">
        <v>660</v>
      </c>
      <c r="B4585">
        <v>7714</v>
      </c>
      <c r="C4585" t="s">
        <v>5255</v>
      </c>
      <c r="D4585" t="s">
        <v>704</v>
      </c>
      <c r="E4585" t="s">
        <v>659</v>
      </c>
      <c r="F4585">
        <v>145.13999999999999</v>
      </c>
      <c r="G4585">
        <v>187.76</v>
      </c>
    </row>
    <row r="4586" spans="1:7" hidden="1" x14ac:dyDescent="0.25">
      <c r="A4586" t="s">
        <v>660</v>
      </c>
      <c r="B4586">
        <v>37449</v>
      </c>
      <c r="C4586" t="s">
        <v>5256</v>
      </c>
      <c r="D4586" t="s">
        <v>704</v>
      </c>
      <c r="E4586" t="s">
        <v>659</v>
      </c>
      <c r="F4586">
        <v>55</v>
      </c>
      <c r="G4586">
        <v>40.43</v>
      </c>
    </row>
    <row r="4587" spans="1:7" hidden="1" x14ac:dyDescent="0.25">
      <c r="A4587" t="s">
        <v>660</v>
      </c>
      <c r="B4587">
        <v>37450</v>
      </c>
      <c r="C4587" t="s">
        <v>5257</v>
      </c>
      <c r="D4587" t="s">
        <v>704</v>
      </c>
      <c r="E4587" t="s">
        <v>659</v>
      </c>
      <c r="F4587">
        <v>76.989999999999995</v>
      </c>
      <c r="G4587">
        <v>56.6</v>
      </c>
    </row>
    <row r="4588" spans="1:7" hidden="1" x14ac:dyDescent="0.25">
      <c r="A4588" t="s">
        <v>660</v>
      </c>
      <c r="B4588">
        <v>37451</v>
      </c>
      <c r="C4588" t="s">
        <v>5258</v>
      </c>
      <c r="D4588" t="s">
        <v>704</v>
      </c>
      <c r="E4588" t="s">
        <v>659</v>
      </c>
      <c r="F4588">
        <v>107.5</v>
      </c>
      <c r="G4588">
        <v>79.02</v>
      </c>
    </row>
    <row r="4589" spans="1:7" hidden="1" x14ac:dyDescent="0.25">
      <c r="A4589" t="s">
        <v>660</v>
      </c>
      <c r="B4589">
        <v>37452</v>
      </c>
      <c r="C4589" t="s">
        <v>5259</v>
      </c>
      <c r="D4589" t="s">
        <v>704</v>
      </c>
      <c r="E4589" t="s">
        <v>659</v>
      </c>
      <c r="F4589">
        <v>156.25</v>
      </c>
      <c r="G4589">
        <v>114.86</v>
      </c>
    </row>
    <row r="4590" spans="1:7" hidden="1" x14ac:dyDescent="0.25">
      <c r="A4590" t="s">
        <v>660</v>
      </c>
      <c r="B4590">
        <v>37453</v>
      </c>
      <c r="C4590" t="s">
        <v>5260</v>
      </c>
      <c r="D4590" t="s">
        <v>704</v>
      </c>
      <c r="E4590" t="s">
        <v>659</v>
      </c>
      <c r="F4590">
        <v>179.93</v>
      </c>
      <c r="G4590">
        <v>132.27000000000001</v>
      </c>
    </row>
    <row r="4591" spans="1:7" hidden="1" x14ac:dyDescent="0.25">
      <c r="A4591" t="s">
        <v>660</v>
      </c>
      <c r="B4591">
        <v>7778</v>
      </c>
      <c r="C4591" t="s">
        <v>5261</v>
      </c>
      <c r="D4591" t="s">
        <v>704</v>
      </c>
      <c r="E4591" t="s">
        <v>659</v>
      </c>
      <c r="F4591">
        <v>67.489999999999995</v>
      </c>
      <c r="G4591">
        <v>49.62</v>
      </c>
    </row>
    <row r="4592" spans="1:7" hidden="1" x14ac:dyDescent="0.25">
      <c r="A4592" t="s">
        <v>660</v>
      </c>
      <c r="B4592">
        <v>7796</v>
      </c>
      <c r="C4592" t="s">
        <v>5262</v>
      </c>
      <c r="D4592" t="s">
        <v>704</v>
      </c>
      <c r="E4592" t="s">
        <v>172</v>
      </c>
      <c r="F4592">
        <v>92.5</v>
      </c>
      <c r="G4592">
        <v>68</v>
      </c>
    </row>
    <row r="4593" spans="1:7" hidden="1" x14ac:dyDescent="0.25">
      <c r="A4593" t="s">
        <v>660</v>
      </c>
      <c r="B4593">
        <v>7781</v>
      </c>
      <c r="C4593" t="s">
        <v>5263</v>
      </c>
      <c r="D4593" t="s">
        <v>704</v>
      </c>
      <c r="E4593" t="s">
        <v>659</v>
      </c>
      <c r="F4593">
        <v>109.31</v>
      </c>
      <c r="G4593">
        <v>80.349999999999994</v>
      </c>
    </row>
    <row r="4594" spans="1:7" hidden="1" x14ac:dyDescent="0.25">
      <c r="A4594" t="s">
        <v>660</v>
      </c>
      <c r="B4594">
        <v>7795</v>
      </c>
      <c r="C4594" t="s">
        <v>5264</v>
      </c>
      <c r="D4594" t="s">
        <v>704</v>
      </c>
      <c r="E4594" t="s">
        <v>659</v>
      </c>
      <c r="F4594">
        <v>162.68</v>
      </c>
      <c r="G4594">
        <v>119.59</v>
      </c>
    </row>
    <row r="4595" spans="1:7" hidden="1" x14ac:dyDescent="0.25">
      <c r="A4595" t="s">
        <v>660</v>
      </c>
      <c r="B4595">
        <v>7791</v>
      </c>
      <c r="C4595" t="s">
        <v>5265</v>
      </c>
      <c r="D4595" t="s">
        <v>704</v>
      </c>
      <c r="E4595" t="s">
        <v>659</v>
      </c>
      <c r="F4595">
        <v>194.74</v>
      </c>
      <c r="G4595">
        <v>143.16</v>
      </c>
    </row>
    <row r="4596" spans="1:7" hidden="1" x14ac:dyDescent="0.25">
      <c r="A4596" t="s">
        <v>660</v>
      </c>
      <c r="B4596">
        <v>7783</v>
      </c>
      <c r="C4596" t="s">
        <v>5266</v>
      </c>
      <c r="D4596" t="s">
        <v>704</v>
      </c>
      <c r="E4596" t="s">
        <v>659</v>
      </c>
      <c r="F4596">
        <v>69.010000000000005</v>
      </c>
      <c r="G4596">
        <v>50.73</v>
      </c>
    </row>
    <row r="4597" spans="1:7" hidden="1" x14ac:dyDescent="0.25">
      <c r="A4597" t="s">
        <v>660</v>
      </c>
      <c r="B4597">
        <v>7790</v>
      </c>
      <c r="C4597" t="s">
        <v>5267</v>
      </c>
      <c r="D4597" t="s">
        <v>704</v>
      </c>
      <c r="E4597" t="s">
        <v>659</v>
      </c>
      <c r="F4597">
        <v>108.75</v>
      </c>
      <c r="G4597">
        <v>79.94</v>
      </c>
    </row>
    <row r="4598" spans="1:7" hidden="1" x14ac:dyDescent="0.25">
      <c r="A4598" t="s">
        <v>660</v>
      </c>
      <c r="B4598">
        <v>7785</v>
      </c>
      <c r="C4598" t="s">
        <v>5268</v>
      </c>
      <c r="D4598" t="s">
        <v>704</v>
      </c>
      <c r="E4598" t="s">
        <v>659</v>
      </c>
      <c r="F4598">
        <v>120</v>
      </c>
      <c r="G4598">
        <v>88.21</v>
      </c>
    </row>
    <row r="4599" spans="1:7" hidden="1" x14ac:dyDescent="0.25">
      <c r="A4599" t="s">
        <v>660</v>
      </c>
      <c r="B4599">
        <v>7792</v>
      </c>
      <c r="C4599" t="s">
        <v>5269</v>
      </c>
      <c r="D4599" t="s">
        <v>704</v>
      </c>
      <c r="E4599" t="s">
        <v>659</v>
      </c>
      <c r="F4599">
        <v>170.18</v>
      </c>
      <c r="G4599">
        <v>125.11</v>
      </c>
    </row>
    <row r="4600" spans="1:7" hidden="1" x14ac:dyDescent="0.25">
      <c r="A4600" t="s">
        <v>660</v>
      </c>
      <c r="B4600">
        <v>7793</v>
      </c>
      <c r="C4600" t="s">
        <v>5270</v>
      </c>
      <c r="D4600" t="s">
        <v>704</v>
      </c>
      <c r="E4600" t="s">
        <v>659</v>
      </c>
      <c r="F4600">
        <v>201</v>
      </c>
      <c r="G4600">
        <v>147.76</v>
      </c>
    </row>
    <row r="4601" spans="1:7" hidden="1" x14ac:dyDescent="0.25">
      <c r="A4601" t="s">
        <v>660</v>
      </c>
      <c r="B4601">
        <v>13159</v>
      </c>
      <c r="C4601" t="s">
        <v>5271</v>
      </c>
      <c r="D4601" t="s">
        <v>704</v>
      </c>
      <c r="E4601" t="s">
        <v>659</v>
      </c>
      <c r="F4601">
        <v>175</v>
      </c>
      <c r="G4601">
        <v>128.63999999999999</v>
      </c>
    </row>
    <row r="4602" spans="1:7" hidden="1" x14ac:dyDescent="0.25">
      <c r="A4602" t="s">
        <v>660</v>
      </c>
      <c r="B4602">
        <v>13168</v>
      </c>
      <c r="C4602" t="s">
        <v>5272</v>
      </c>
      <c r="D4602" t="s">
        <v>704</v>
      </c>
      <c r="E4602" t="s">
        <v>659</v>
      </c>
      <c r="F4602">
        <v>212.5</v>
      </c>
      <c r="G4602">
        <v>156.21</v>
      </c>
    </row>
    <row r="4603" spans="1:7" hidden="1" x14ac:dyDescent="0.25">
      <c r="A4603" t="s">
        <v>660</v>
      </c>
      <c r="B4603">
        <v>13173</v>
      </c>
      <c r="C4603" t="s">
        <v>5273</v>
      </c>
      <c r="D4603" t="s">
        <v>704</v>
      </c>
      <c r="E4603" t="s">
        <v>659</v>
      </c>
      <c r="F4603">
        <v>287.49</v>
      </c>
      <c r="G4603">
        <v>211.35</v>
      </c>
    </row>
    <row r="4604" spans="1:7" hidden="1" x14ac:dyDescent="0.25">
      <c r="A4604" t="s">
        <v>660</v>
      </c>
      <c r="B4604">
        <v>12583</v>
      </c>
      <c r="C4604" t="s">
        <v>5274</v>
      </c>
      <c r="D4604" t="s">
        <v>704</v>
      </c>
      <c r="E4604" t="s">
        <v>659</v>
      </c>
      <c r="F4604">
        <v>57.49</v>
      </c>
      <c r="G4604">
        <v>42.27</v>
      </c>
    </row>
    <row r="4605" spans="1:7" hidden="1" x14ac:dyDescent="0.25">
      <c r="A4605" t="s">
        <v>660</v>
      </c>
      <c r="B4605">
        <v>12584</v>
      </c>
      <c r="C4605" t="s">
        <v>5275</v>
      </c>
      <c r="D4605" t="s">
        <v>704</v>
      </c>
      <c r="E4605" t="s">
        <v>659</v>
      </c>
      <c r="F4605">
        <v>74.989999999999995</v>
      </c>
      <c r="G4605">
        <v>55.13</v>
      </c>
    </row>
    <row r="4606" spans="1:7" hidden="1" x14ac:dyDescent="0.25">
      <c r="A4606" t="s">
        <v>660</v>
      </c>
      <c r="B4606">
        <v>12613</v>
      </c>
      <c r="C4606" t="s">
        <v>5276</v>
      </c>
      <c r="D4606" t="s">
        <v>226</v>
      </c>
      <c r="E4606" t="s">
        <v>659</v>
      </c>
      <c r="F4606">
        <v>19.32</v>
      </c>
      <c r="G4606">
        <v>19.28</v>
      </c>
    </row>
    <row r="4607" spans="1:7" hidden="1" x14ac:dyDescent="0.25">
      <c r="A4607" t="s">
        <v>660</v>
      </c>
      <c r="B4607">
        <v>1031</v>
      </c>
      <c r="C4607" t="s">
        <v>5277</v>
      </c>
      <c r="D4607" t="s">
        <v>226</v>
      </c>
      <c r="E4607" t="s">
        <v>659</v>
      </c>
      <c r="F4607">
        <v>15.3</v>
      </c>
      <c r="G4607">
        <v>15.01</v>
      </c>
    </row>
    <row r="4608" spans="1:7" hidden="1" x14ac:dyDescent="0.25">
      <c r="A4608" t="s">
        <v>660</v>
      </c>
      <c r="B4608">
        <v>39707</v>
      </c>
      <c r="C4608" t="s">
        <v>5278</v>
      </c>
      <c r="D4608" t="s">
        <v>704</v>
      </c>
      <c r="E4608" t="s">
        <v>659</v>
      </c>
      <c r="F4608">
        <v>5.85</v>
      </c>
      <c r="G4608">
        <v>4.8600000000000003</v>
      </c>
    </row>
    <row r="4609" spans="1:7" hidden="1" x14ac:dyDescent="0.25">
      <c r="A4609" t="s">
        <v>660</v>
      </c>
      <c r="B4609">
        <v>39708</v>
      </c>
      <c r="C4609" t="s">
        <v>5279</v>
      </c>
      <c r="D4609" t="s">
        <v>704</v>
      </c>
      <c r="E4609" t="s">
        <v>659</v>
      </c>
      <c r="F4609">
        <v>5.67</v>
      </c>
      <c r="G4609">
        <v>4.71</v>
      </c>
    </row>
    <row r="4610" spans="1:7" hidden="1" x14ac:dyDescent="0.25">
      <c r="A4610" t="s">
        <v>660</v>
      </c>
      <c r="B4610">
        <v>39710</v>
      </c>
      <c r="C4610" t="s">
        <v>5280</v>
      </c>
      <c r="D4610" t="s">
        <v>704</v>
      </c>
      <c r="E4610" t="s">
        <v>659</v>
      </c>
      <c r="F4610">
        <v>3.99</v>
      </c>
      <c r="G4610">
        <v>3.31</v>
      </c>
    </row>
    <row r="4611" spans="1:7" hidden="1" x14ac:dyDescent="0.25">
      <c r="A4611" t="s">
        <v>660</v>
      </c>
      <c r="B4611">
        <v>39709</v>
      </c>
      <c r="C4611" t="s">
        <v>5281</v>
      </c>
      <c r="D4611" t="s">
        <v>704</v>
      </c>
      <c r="E4611" t="s">
        <v>659</v>
      </c>
      <c r="F4611">
        <v>5.54</v>
      </c>
      <c r="G4611">
        <v>4.5999999999999996</v>
      </c>
    </row>
    <row r="4612" spans="1:7" hidden="1" x14ac:dyDescent="0.25">
      <c r="A4612" t="s">
        <v>660</v>
      </c>
      <c r="B4612">
        <v>39711</v>
      </c>
      <c r="C4612" t="s">
        <v>5282</v>
      </c>
      <c r="D4612" t="s">
        <v>704</v>
      </c>
      <c r="E4612" t="s">
        <v>659</v>
      </c>
      <c r="F4612">
        <v>6.22</v>
      </c>
      <c r="G4612">
        <v>5.16</v>
      </c>
    </row>
    <row r="4613" spans="1:7" hidden="1" x14ac:dyDescent="0.25">
      <c r="A4613" t="s">
        <v>660</v>
      </c>
      <c r="B4613">
        <v>39714</v>
      </c>
      <c r="C4613" t="s">
        <v>5283</v>
      </c>
      <c r="D4613" t="s">
        <v>704</v>
      </c>
      <c r="E4613" t="s">
        <v>659</v>
      </c>
      <c r="F4613">
        <v>3.95</v>
      </c>
      <c r="G4613">
        <v>3.28</v>
      </c>
    </row>
    <row r="4614" spans="1:7" hidden="1" x14ac:dyDescent="0.25">
      <c r="A4614" t="s">
        <v>660</v>
      </c>
      <c r="B4614">
        <v>39712</v>
      </c>
      <c r="C4614" t="s">
        <v>5284</v>
      </c>
      <c r="D4614" t="s">
        <v>704</v>
      </c>
      <c r="E4614" t="s">
        <v>172</v>
      </c>
      <c r="F4614">
        <v>2.1800000000000002</v>
      </c>
      <c r="G4614">
        <v>1.81</v>
      </c>
    </row>
    <row r="4615" spans="1:7" hidden="1" x14ac:dyDescent="0.25">
      <c r="A4615" t="s">
        <v>660</v>
      </c>
      <c r="B4615">
        <v>39713</v>
      </c>
      <c r="C4615" t="s">
        <v>5285</v>
      </c>
      <c r="D4615" t="s">
        <v>704</v>
      </c>
      <c r="E4615" t="s">
        <v>659</v>
      </c>
      <c r="F4615">
        <v>1.72</v>
      </c>
      <c r="G4615">
        <v>1.43</v>
      </c>
    </row>
    <row r="4616" spans="1:7" hidden="1" x14ac:dyDescent="0.25">
      <c r="A4616" t="s">
        <v>660</v>
      </c>
      <c r="B4616">
        <v>39715</v>
      </c>
      <c r="C4616" t="s">
        <v>5286</v>
      </c>
      <c r="D4616" t="s">
        <v>704</v>
      </c>
      <c r="E4616" t="s">
        <v>659</v>
      </c>
      <c r="F4616">
        <v>2.81</v>
      </c>
      <c r="G4616">
        <v>2.33</v>
      </c>
    </row>
    <row r="4617" spans="1:7" hidden="1" x14ac:dyDescent="0.25">
      <c r="A4617" t="s">
        <v>660</v>
      </c>
      <c r="B4617">
        <v>39716</v>
      </c>
      <c r="C4617" t="s">
        <v>5287</v>
      </c>
      <c r="D4617" t="s">
        <v>704</v>
      </c>
      <c r="E4617" t="s">
        <v>659</v>
      </c>
      <c r="F4617">
        <v>2.13</v>
      </c>
      <c r="G4617">
        <v>1.77</v>
      </c>
    </row>
    <row r="4618" spans="1:7" hidden="1" x14ac:dyDescent="0.25">
      <c r="A4618" t="s">
        <v>660</v>
      </c>
      <c r="B4618">
        <v>39718</v>
      </c>
      <c r="C4618" t="s">
        <v>5288</v>
      </c>
      <c r="D4618" t="s">
        <v>704</v>
      </c>
      <c r="E4618" t="s">
        <v>659</v>
      </c>
      <c r="F4618">
        <v>3.63</v>
      </c>
      <c r="G4618">
        <v>3.01</v>
      </c>
    </row>
    <row r="4619" spans="1:7" hidden="1" x14ac:dyDescent="0.25">
      <c r="A4619" t="s">
        <v>660</v>
      </c>
      <c r="B4619">
        <v>9813</v>
      </c>
      <c r="C4619" t="s">
        <v>5289</v>
      </c>
      <c r="D4619" t="s">
        <v>704</v>
      </c>
      <c r="E4619" t="s">
        <v>172</v>
      </c>
      <c r="F4619">
        <f t="shared" ref="F4619:F4633" si="43">G4619</f>
        <v>5.51</v>
      </c>
      <c r="G4619">
        <v>5.51</v>
      </c>
    </row>
    <row r="4620" spans="1:7" hidden="1" x14ac:dyDescent="0.25">
      <c r="A4620" t="s">
        <v>660</v>
      </c>
      <c r="B4620">
        <v>9815</v>
      </c>
      <c r="C4620" t="s">
        <v>5290</v>
      </c>
      <c r="D4620" t="s">
        <v>704</v>
      </c>
      <c r="E4620" t="s">
        <v>659</v>
      </c>
      <c r="F4620">
        <f t="shared" si="43"/>
        <v>10.88</v>
      </c>
      <c r="G4620">
        <v>10.88</v>
      </c>
    </row>
    <row r="4621" spans="1:7" hidden="1" x14ac:dyDescent="0.25">
      <c r="A4621" t="s">
        <v>660</v>
      </c>
      <c r="B4621">
        <v>44543</v>
      </c>
      <c r="C4621" t="s">
        <v>5291</v>
      </c>
      <c r="D4621" t="s">
        <v>704</v>
      </c>
      <c r="E4621" t="s">
        <v>659</v>
      </c>
      <c r="F4621">
        <f t="shared" si="43"/>
        <v>5414.49</v>
      </c>
      <c r="G4621" s="538">
        <v>5414.49</v>
      </c>
    </row>
    <row r="4622" spans="1:7" hidden="1" x14ac:dyDescent="0.25">
      <c r="A4622" t="s">
        <v>660</v>
      </c>
      <c r="B4622">
        <v>44526</v>
      </c>
      <c r="C4622" t="s">
        <v>5292</v>
      </c>
      <c r="D4622" t="s">
        <v>704</v>
      </c>
      <c r="E4622" t="s">
        <v>659</v>
      </c>
      <c r="F4622">
        <f t="shared" si="43"/>
        <v>132.69999999999999</v>
      </c>
      <c r="G4622">
        <v>132.69999999999999</v>
      </c>
    </row>
    <row r="4623" spans="1:7" hidden="1" x14ac:dyDescent="0.25">
      <c r="A4623" t="s">
        <v>660</v>
      </c>
      <c r="B4623">
        <v>44545</v>
      </c>
      <c r="C4623" t="s">
        <v>5293</v>
      </c>
      <c r="D4623" t="s">
        <v>704</v>
      </c>
      <c r="E4623" t="s">
        <v>659</v>
      </c>
      <c r="F4623">
        <f t="shared" si="43"/>
        <v>284.85000000000002</v>
      </c>
      <c r="G4623">
        <v>284.85000000000002</v>
      </c>
    </row>
    <row r="4624" spans="1:7" hidden="1" x14ac:dyDescent="0.25">
      <c r="A4624" t="s">
        <v>660</v>
      </c>
      <c r="B4624">
        <v>44525</v>
      </c>
      <c r="C4624" t="s">
        <v>5294</v>
      </c>
      <c r="D4624" t="s">
        <v>704</v>
      </c>
      <c r="E4624" t="s">
        <v>659</v>
      </c>
      <c r="F4624">
        <f t="shared" si="43"/>
        <v>4910.91</v>
      </c>
      <c r="G4624" s="538">
        <v>4910.91</v>
      </c>
    </row>
    <row r="4625" spans="1:7" hidden="1" x14ac:dyDescent="0.25">
      <c r="A4625" t="s">
        <v>660</v>
      </c>
      <c r="B4625">
        <v>44547</v>
      </c>
      <c r="C4625" t="s">
        <v>5295</v>
      </c>
      <c r="D4625" t="s">
        <v>704</v>
      </c>
      <c r="E4625" t="s">
        <v>659</v>
      </c>
      <c r="F4625">
        <f t="shared" si="43"/>
        <v>444.04</v>
      </c>
      <c r="G4625">
        <v>444.04</v>
      </c>
    </row>
    <row r="4626" spans="1:7" hidden="1" x14ac:dyDescent="0.25">
      <c r="A4626" t="s">
        <v>660</v>
      </c>
      <c r="B4626">
        <v>44519</v>
      </c>
      <c r="C4626" t="s">
        <v>5296</v>
      </c>
      <c r="D4626" t="s">
        <v>704</v>
      </c>
      <c r="E4626" t="s">
        <v>659</v>
      </c>
      <c r="F4626">
        <f t="shared" si="43"/>
        <v>1088.01</v>
      </c>
      <c r="G4626" s="538">
        <v>1088.01</v>
      </c>
    </row>
    <row r="4627" spans="1:7" hidden="1" x14ac:dyDescent="0.25">
      <c r="A4627" t="s">
        <v>660</v>
      </c>
      <c r="B4627">
        <v>44520</v>
      </c>
      <c r="C4627" t="s">
        <v>5297</v>
      </c>
      <c r="D4627" t="s">
        <v>704</v>
      </c>
      <c r="E4627" t="s">
        <v>659</v>
      </c>
      <c r="F4627">
        <f t="shared" si="43"/>
        <v>1752.39</v>
      </c>
      <c r="G4627" s="538">
        <v>1752.39</v>
      </c>
    </row>
    <row r="4628" spans="1:7" hidden="1" x14ac:dyDescent="0.25">
      <c r="A4628" t="s">
        <v>660</v>
      </c>
      <c r="B4628">
        <v>44521</v>
      </c>
      <c r="C4628" t="s">
        <v>5298</v>
      </c>
      <c r="D4628" t="s">
        <v>704</v>
      </c>
      <c r="E4628" t="s">
        <v>659</v>
      </c>
      <c r="F4628">
        <f t="shared" si="43"/>
        <v>28.27</v>
      </c>
      <c r="G4628">
        <v>28.27</v>
      </c>
    </row>
    <row r="4629" spans="1:7" hidden="1" x14ac:dyDescent="0.25">
      <c r="A4629" t="s">
        <v>660</v>
      </c>
      <c r="B4629">
        <v>44522</v>
      </c>
      <c r="C4629" t="s">
        <v>5299</v>
      </c>
      <c r="D4629" t="s">
        <v>704</v>
      </c>
      <c r="E4629" t="s">
        <v>659</v>
      </c>
      <c r="F4629">
        <f t="shared" si="43"/>
        <v>3076.55</v>
      </c>
      <c r="G4629" s="538">
        <v>3076.55</v>
      </c>
    </row>
    <row r="4630" spans="1:7" hidden="1" x14ac:dyDescent="0.25">
      <c r="A4630" t="s">
        <v>660</v>
      </c>
      <c r="B4630">
        <v>44523</v>
      </c>
      <c r="C4630" t="s">
        <v>5300</v>
      </c>
      <c r="D4630" t="s">
        <v>704</v>
      </c>
      <c r="E4630" t="s">
        <v>659</v>
      </c>
      <c r="F4630">
        <f t="shared" si="43"/>
        <v>4575.7</v>
      </c>
      <c r="G4630" s="538">
        <v>4575.7</v>
      </c>
    </row>
    <row r="4631" spans="1:7" hidden="1" x14ac:dyDescent="0.25">
      <c r="A4631" t="s">
        <v>660</v>
      </c>
      <c r="B4631">
        <v>44527</v>
      </c>
      <c r="C4631" t="s">
        <v>5301</v>
      </c>
      <c r="D4631" t="s">
        <v>704</v>
      </c>
      <c r="E4631" t="s">
        <v>659</v>
      </c>
      <c r="F4631">
        <f t="shared" si="43"/>
        <v>2294.59</v>
      </c>
      <c r="G4631" s="538">
        <v>2294.59</v>
      </c>
    </row>
    <row r="4632" spans="1:7" hidden="1" x14ac:dyDescent="0.25">
      <c r="A4632" t="s">
        <v>660</v>
      </c>
      <c r="B4632">
        <v>44524</v>
      </c>
      <c r="C4632" t="s">
        <v>5302</v>
      </c>
      <c r="D4632" t="s">
        <v>704</v>
      </c>
      <c r="E4632" t="s">
        <v>659</v>
      </c>
      <c r="F4632">
        <f t="shared" si="43"/>
        <v>63.22</v>
      </c>
      <c r="G4632">
        <v>63.22</v>
      </c>
    </row>
    <row r="4633" spans="1:7" hidden="1" x14ac:dyDescent="0.25">
      <c r="A4633" t="s">
        <v>660</v>
      </c>
      <c r="B4633">
        <v>44542</v>
      </c>
      <c r="C4633" t="s">
        <v>5303</v>
      </c>
      <c r="D4633" t="s">
        <v>704</v>
      </c>
      <c r="E4633" t="s">
        <v>659</v>
      </c>
      <c r="F4633">
        <f t="shared" si="43"/>
        <v>2993.68</v>
      </c>
      <c r="G4633" s="538">
        <v>2993.68</v>
      </c>
    </row>
    <row r="4634" spans="1:7" hidden="1" x14ac:dyDescent="0.25">
      <c r="A4634" t="s">
        <v>660</v>
      </c>
      <c r="B4634">
        <v>9877</v>
      </c>
      <c r="C4634" t="s">
        <v>5304</v>
      </c>
      <c r="D4634" t="s">
        <v>704</v>
      </c>
      <c r="E4634" t="s">
        <v>659</v>
      </c>
      <c r="F4634">
        <v>129.86000000000001</v>
      </c>
      <c r="G4634">
        <v>134.26</v>
      </c>
    </row>
    <row r="4635" spans="1:7" hidden="1" x14ac:dyDescent="0.25">
      <c r="A4635" t="s">
        <v>660</v>
      </c>
      <c r="B4635">
        <v>9878</v>
      </c>
      <c r="C4635" t="s">
        <v>5305</v>
      </c>
      <c r="D4635" t="s">
        <v>704</v>
      </c>
      <c r="E4635" t="s">
        <v>659</v>
      </c>
      <c r="F4635">
        <v>159.86000000000001</v>
      </c>
      <c r="G4635">
        <v>165.28</v>
      </c>
    </row>
    <row r="4636" spans="1:7" hidden="1" x14ac:dyDescent="0.25">
      <c r="A4636" t="s">
        <v>660</v>
      </c>
      <c r="B4636">
        <v>41986</v>
      </c>
      <c r="C4636" t="s">
        <v>5306</v>
      </c>
      <c r="D4636" t="s">
        <v>704</v>
      </c>
      <c r="E4636" t="s">
        <v>659</v>
      </c>
      <c r="F4636">
        <f t="shared" ref="F4636:F4673" si="44">G4636</f>
        <v>3585.02</v>
      </c>
      <c r="G4636" s="538">
        <v>3585.02</v>
      </c>
    </row>
    <row r="4637" spans="1:7" hidden="1" x14ac:dyDescent="0.25">
      <c r="A4637" t="s">
        <v>660</v>
      </c>
      <c r="B4637">
        <v>43422</v>
      </c>
      <c r="C4637" t="s">
        <v>5307</v>
      </c>
      <c r="D4637" t="s">
        <v>704</v>
      </c>
      <c r="E4637" t="s">
        <v>659</v>
      </c>
      <c r="F4637">
        <f t="shared" si="44"/>
        <v>4396.67</v>
      </c>
      <c r="G4637" s="538">
        <v>4396.67</v>
      </c>
    </row>
    <row r="4638" spans="1:7" hidden="1" x14ac:dyDescent="0.25">
      <c r="A4638" t="s">
        <v>660</v>
      </c>
      <c r="B4638">
        <v>41987</v>
      </c>
      <c r="C4638" t="s">
        <v>5308</v>
      </c>
      <c r="D4638" t="s">
        <v>704</v>
      </c>
      <c r="E4638" t="s">
        <v>659</v>
      </c>
      <c r="F4638">
        <f t="shared" si="44"/>
        <v>5096.1099999999997</v>
      </c>
      <c r="G4638" s="538">
        <v>5096.1099999999997</v>
      </c>
    </row>
    <row r="4639" spans="1:7" hidden="1" x14ac:dyDescent="0.25">
      <c r="A4639" t="s">
        <v>660</v>
      </c>
      <c r="B4639">
        <v>41988</v>
      </c>
      <c r="C4639" t="s">
        <v>5309</v>
      </c>
      <c r="D4639" t="s">
        <v>704</v>
      </c>
      <c r="E4639" t="s">
        <v>659</v>
      </c>
      <c r="F4639">
        <f t="shared" si="44"/>
        <v>6731.24</v>
      </c>
      <c r="G4639" s="538">
        <v>6731.24</v>
      </c>
    </row>
    <row r="4640" spans="1:7" hidden="1" x14ac:dyDescent="0.25">
      <c r="A4640" t="s">
        <v>660</v>
      </c>
      <c r="B4640">
        <v>41697</v>
      </c>
      <c r="C4640" t="s">
        <v>5310</v>
      </c>
      <c r="D4640" t="s">
        <v>704</v>
      </c>
      <c r="E4640" t="s">
        <v>659</v>
      </c>
      <c r="F4640">
        <f t="shared" si="44"/>
        <v>1193.0899999999999</v>
      </c>
      <c r="G4640" s="538">
        <v>1193.0899999999999</v>
      </c>
    </row>
    <row r="4641" spans="1:7" hidden="1" x14ac:dyDescent="0.25">
      <c r="A4641" t="s">
        <v>660</v>
      </c>
      <c r="B4641">
        <v>41985</v>
      </c>
      <c r="C4641" t="s">
        <v>5311</v>
      </c>
      <c r="D4641" t="s">
        <v>704</v>
      </c>
      <c r="E4641" t="s">
        <v>659</v>
      </c>
      <c r="F4641">
        <f t="shared" si="44"/>
        <v>1661.66</v>
      </c>
      <c r="G4641" s="538">
        <v>1661.66</v>
      </c>
    </row>
    <row r="4642" spans="1:7" hidden="1" x14ac:dyDescent="0.25">
      <c r="A4642" t="s">
        <v>660</v>
      </c>
      <c r="B4642">
        <v>41699</v>
      </c>
      <c r="C4642" t="s">
        <v>5312</v>
      </c>
      <c r="D4642" t="s">
        <v>704</v>
      </c>
      <c r="E4642" t="s">
        <v>659</v>
      </c>
      <c r="F4642">
        <f t="shared" si="44"/>
        <v>2366.11</v>
      </c>
      <c r="G4642" s="538">
        <v>2366.11</v>
      </c>
    </row>
    <row r="4643" spans="1:7" hidden="1" x14ac:dyDescent="0.25">
      <c r="A4643" t="s">
        <v>660</v>
      </c>
      <c r="B4643">
        <v>38053</v>
      </c>
      <c r="C4643" t="s">
        <v>5313</v>
      </c>
      <c r="D4643" t="s">
        <v>704</v>
      </c>
      <c r="E4643" t="s">
        <v>659</v>
      </c>
      <c r="F4643">
        <f t="shared" si="44"/>
        <v>22.55</v>
      </c>
      <c r="G4643">
        <v>22.55</v>
      </c>
    </row>
    <row r="4644" spans="1:7" hidden="1" x14ac:dyDescent="0.25">
      <c r="A4644" t="s">
        <v>660</v>
      </c>
      <c r="B4644">
        <v>38054</v>
      </c>
      <c r="C4644" t="s">
        <v>5314</v>
      </c>
      <c r="D4644" t="s">
        <v>704</v>
      </c>
      <c r="E4644" t="s">
        <v>659</v>
      </c>
      <c r="F4644">
        <f t="shared" si="44"/>
        <v>38.770000000000003</v>
      </c>
      <c r="G4644">
        <v>38.770000000000003</v>
      </c>
    </row>
    <row r="4645" spans="1:7" hidden="1" x14ac:dyDescent="0.25">
      <c r="A4645" t="s">
        <v>660</v>
      </c>
      <c r="B4645">
        <v>38052</v>
      </c>
      <c r="C4645" t="s">
        <v>5315</v>
      </c>
      <c r="D4645" t="s">
        <v>704</v>
      </c>
      <c r="E4645" t="s">
        <v>172</v>
      </c>
      <c r="F4645">
        <f t="shared" si="44"/>
        <v>10.92</v>
      </c>
      <c r="G4645">
        <v>10.92</v>
      </c>
    </row>
    <row r="4646" spans="1:7" hidden="1" x14ac:dyDescent="0.25">
      <c r="A4646" t="s">
        <v>660</v>
      </c>
      <c r="B4646">
        <v>38051</v>
      </c>
      <c r="C4646" t="s">
        <v>5316</v>
      </c>
      <c r="D4646" t="s">
        <v>704</v>
      </c>
      <c r="E4646" t="s">
        <v>659</v>
      </c>
      <c r="F4646">
        <f t="shared" si="44"/>
        <v>6.81</v>
      </c>
      <c r="G4646">
        <v>6.81</v>
      </c>
    </row>
    <row r="4647" spans="1:7" hidden="1" x14ac:dyDescent="0.25">
      <c r="A4647" t="s">
        <v>660</v>
      </c>
      <c r="B4647">
        <v>38787</v>
      </c>
      <c r="C4647" t="s">
        <v>5317</v>
      </c>
      <c r="D4647" t="s">
        <v>704</v>
      </c>
      <c r="E4647" t="s">
        <v>172</v>
      </c>
      <c r="F4647">
        <f t="shared" si="44"/>
        <v>4.58</v>
      </c>
      <c r="G4647">
        <v>4.58</v>
      </c>
    </row>
    <row r="4648" spans="1:7" hidden="1" x14ac:dyDescent="0.25">
      <c r="A4648" t="s">
        <v>660</v>
      </c>
      <c r="B4648">
        <v>38825</v>
      </c>
      <c r="C4648" t="s">
        <v>5318</v>
      </c>
      <c r="D4648" t="s">
        <v>704</v>
      </c>
      <c r="E4648" t="s">
        <v>659</v>
      </c>
      <c r="F4648">
        <f t="shared" si="44"/>
        <v>5.92</v>
      </c>
      <c r="G4648">
        <v>5.92</v>
      </c>
    </row>
    <row r="4649" spans="1:7" hidden="1" x14ac:dyDescent="0.25">
      <c r="A4649" t="s">
        <v>660</v>
      </c>
      <c r="B4649">
        <v>38826</v>
      </c>
      <c r="C4649" t="s">
        <v>5319</v>
      </c>
      <c r="D4649" t="s">
        <v>704</v>
      </c>
      <c r="E4649" t="s">
        <v>659</v>
      </c>
      <c r="F4649">
        <f t="shared" si="44"/>
        <v>8.42</v>
      </c>
      <c r="G4649">
        <v>8.42</v>
      </c>
    </row>
    <row r="4650" spans="1:7" hidden="1" x14ac:dyDescent="0.25">
      <c r="A4650" t="s">
        <v>660</v>
      </c>
      <c r="B4650">
        <v>38827</v>
      </c>
      <c r="C4650" t="s">
        <v>5320</v>
      </c>
      <c r="D4650" t="s">
        <v>704</v>
      </c>
      <c r="E4650" t="s">
        <v>659</v>
      </c>
      <c r="F4650">
        <f t="shared" si="44"/>
        <v>13.77</v>
      </c>
      <c r="G4650">
        <v>13.77</v>
      </c>
    </row>
    <row r="4651" spans="1:7" hidden="1" x14ac:dyDescent="0.25">
      <c r="A4651" t="s">
        <v>660</v>
      </c>
      <c r="B4651">
        <v>38828</v>
      </c>
      <c r="C4651" t="s">
        <v>5321</v>
      </c>
      <c r="D4651" t="s">
        <v>704</v>
      </c>
      <c r="E4651" t="s">
        <v>659</v>
      </c>
      <c r="F4651">
        <f t="shared" si="44"/>
        <v>8.82</v>
      </c>
      <c r="G4651">
        <v>8.82</v>
      </c>
    </row>
    <row r="4652" spans="1:7" hidden="1" x14ac:dyDescent="0.25">
      <c r="A4652" t="s">
        <v>660</v>
      </c>
      <c r="B4652">
        <v>38829</v>
      </c>
      <c r="C4652" t="s">
        <v>5322</v>
      </c>
      <c r="D4652" t="s">
        <v>704</v>
      </c>
      <c r="E4652" t="s">
        <v>659</v>
      </c>
      <c r="F4652">
        <f t="shared" si="44"/>
        <v>14.45</v>
      </c>
      <c r="G4652">
        <v>14.45</v>
      </c>
    </row>
    <row r="4653" spans="1:7" hidden="1" x14ac:dyDescent="0.25">
      <c r="A4653" t="s">
        <v>660</v>
      </c>
      <c r="B4653">
        <v>38830</v>
      </c>
      <c r="C4653" t="s">
        <v>5323</v>
      </c>
      <c r="D4653" t="s">
        <v>704</v>
      </c>
      <c r="E4653" t="s">
        <v>659</v>
      </c>
      <c r="F4653">
        <f t="shared" si="44"/>
        <v>20</v>
      </c>
      <c r="G4653">
        <v>20</v>
      </c>
    </row>
    <row r="4654" spans="1:7" hidden="1" x14ac:dyDescent="0.25">
      <c r="A4654" t="s">
        <v>660</v>
      </c>
      <c r="B4654">
        <v>38831</v>
      </c>
      <c r="C4654" t="s">
        <v>5324</v>
      </c>
      <c r="D4654" t="s">
        <v>704</v>
      </c>
      <c r="E4654" t="s">
        <v>659</v>
      </c>
      <c r="F4654">
        <f t="shared" si="44"/>
        <v>27.9</v>
      </c>
      <c r="G4654">
        <v>27.9</v>
      </c>
    </row>
    <row r="4655" spans="1:7" hidden="1" x14ac:dyDescent="0.25">
      <c r="A4655" t="s">
        <v>660</v>
      </c>
      <c r="B4655">
        <v>36274</v>
      </c>
      <c r="C4655" t="s">
        <v>5325</v>
      </c>
      <c r="D4655" t="s">
        <v>704</v>
      </c>
      <c r="E4655" t="s">
        <v>172</v>
      </c>
      <c r="F4655">
        <f t="shared" si="44"/>
        <v>10.19</v>
      </c>
      <c r="G4655">
        <v>10.19</v>
      </c>
    </row>
    <row r="4656" spans="1:7" hidden="1" x14ac:dyDescent="0.25">
      <c r="A4656" t="s">
        <v>660</v>
      </c>
      <c r="B4656">
        <v>36278</v>
      </c>
      <c r="C4656" t="s">
        <v>5326</v>
      </c>
      <c r="D4656" t="s">
        <v>704</v>
      </c>
      <c r="E4656" t="s">
        <v>659</v>
      </c>
      <c r="F4656">
        <f t="shared" si="44"/>
        <v>13.82</v>
      </c>
      <c r="G4656">
        <v>13.82</v>
      </c>
    </row>
    <row r="4657" spans="1:7" hidden="1" x14ac:dyDescent="0.25">
      <c r="A4657" t="s">
        <v>660</v>
      </c>
      <c r="B4657">
        <v>38977</v>
      </c>
      <c r="C4657" t="s">
        <v>5327</v>
      </c>
      <c r="D4657" t="s">
        <v>704</v>
      </c>
      <c r="E4657" t="s">
        <v>659</v>
      </c>
      <c r="F4657">
        <f t="shared" si="44"/>
        <v>135.18</v>
      </c>
      <c r="G4657">
        <v>135.18</v>
      </c>
    </row>
    <row r="4658" spans="1:7" hidden="1" x14ac:dyDescent="0.25">
      <c r="A4658" t="s">
        <v>660</v>
      </c>
      <c r="B4658">
        <v>38971</v>
      </c>
      <c r="C4658" t="s">
        <v>5328</v>
      </c>
      <c r="D4658" t="s">
        <v>704</v>
      </c>
      <c r="E4658" t="s">
        <v>659</v>
      </c>
      <c r="F4658">
        <f t="shared" si="44"/>
        <v>11.34</v>
      </c>
      <c r="G4658">
        <v>11.34</v>
      </c>
    </row>
    <row r="4659" spans="1:7" hidden="1" x14ac:dyDescent="0.25">
      <c r="A4659" t="s">
        <v>660</v>
      </c>
      <c r="B4659">
        <v>38972</v>
      </c>
      <c r="C4659" t="s">
        <v>5329</v>
      </c>
      <c r="D4659" t="s">
        <v>704</v>
      </c>
      <c r="E4659" t="s">
        <v>659</v>
      </c>
      <c r="F4659">
        <f t="shared" si="44"/>
        <v>15.29</v>
      </c>
      <c r="G4659">
        <v>15.29</v>
      </c>
    </row>
    <row r="4660" spans="1:7" hidden="1" x14ac:dyDescent="0.25">
      <c r="A4660" t="s">
        <v>660</v>
      </c>
      <c r="B4660">
        <v>38973</v>
      </c>
      <c r="C4660" t="s">
        <v>5330</v>
      </c>
      <c r="D4660" t="s">
        <v>704</v>
      </c>
      <c r="E4660" t="s">
        <v>659</v>
      </c>
      <c r="F4660">
        <f t="shared" si="44"/>
        <v>25.28</v>
      </c>
      <c r="G4660">
        <v>25.28</v>
      </c>
    </row>
    <row r="4661" spans="1:7" hidden="1" x14ac:dyDescent="0.25">
      <c r="A4661" t="s">
        <v>660</v>
      </c>
      <c r="B4661">
        <v>38974</v>
      </c>
      <c r="C4661" t="s">
        <v>5331</v>
      </c>
      <c r="D4661" t="s">
        <v>704</v>
      </c>
      <c r="E4661" t="s">
        <v>659</v>
      </c>
      <c r="F4661">
        <f t="shared" si="44"/>
        <v>41.04</v>
      </c>
      <c r="G4661">
        <v>41.04</v>
      </c>
    </row>
    <row r="4662" spans="1:7" hidden="1" x14ac:dyDescent="0.25">
      <c r="A4662" t="s">
        <v>660</v>
      </c>
      <c r="B4662">
        <v>38975</v>
      </c>
      <c r="C4662" t="s">
        <v>5332</v>
      </c>
      <c r="D4662" t="s">
        <v>704</v>
      </c>
      <c r="E4662" t="s">
        <v>659</v>
      </c>
      <c r="F4662">
        <f t="shared" si="44"/>
        <v>52.63</v>
      </c>
      <c r="G4662">
        <v>52.63</v>
      </c>
    </row>
    <row r="4663" spans="1:7" hidden="1" x14ac:dyDescent="0.25">
      <c r="A4663" t="s">
        <v>660</v>
      </c>
      <c r="B4663">
        <v>38976</v>
      </c>
      <c r="C4663" t="s">
        <v>5333</v>
      </c>
      <c r="D4663" t="s">
        <v>704</v>
      </c>
      <c r="E4663" t="s">
        <v>659</v>
      </c>
      <c r="F4663">
        <f t="shared" si="44"/>
        <v>90.48</v>
      </c>
      <c r="G4663">
        <v>90.48</v>
      </c>
    </row>
    <row r="4664" spans="1:7" hidden="1" x14ac:dyDescent="0.25">
      <c r="A4664" t="s">
        <v>660</v>
      </c>
      <c r="B4664">
        <v>44176</v>
      </c>
      <c r="C4664" t="s">
        <v>5334</v>
      </c>
      <c r="D4664" t="s">
        <v>704</v>
      </c>
      <c r="E4664" t="s">
        <v>659</v>
      </c>
      <c r="F4664">
        <f t="shared" si="44"/>
        <v>20.79</v>
      </c>
      <c r="G4664">
        <v>20.79</v>
      </c>
    </row>
    <row r="4665" spans="1:7" hidden="1" x14ac:dyDescent="0.25">
      <c r="A4665" t="s">
        <v>660</v>
      </c>
      <c r="B4665">
        <v>38986</v>
      </c>
      <c r="C4665" t="s">
        <v>5335</v>
      </c>
      <c r="D4665" t="s">
        <v>704</v>
      </c>
      <c r="E4665" t="s">
        <v>659</v>
      </c>
      <c r="F4665">
        <f t="shared" si="44"/>
        <v>273.12</v>
      </c>
      <c r="G4665">
        <v>273.12</v>
      </c>
    </row>
    <row r="4666" spans="1:7" hidden="1" x14ac:dyDescent="0.25">
      <c r="A4666" t="s">
        <v>660</v>
      </c>
      <c r="B4666">
        <v>38978</v>
      </c>
      <c r="C4666" t="s">
        <v>5336</v>
      </c>
      <c r="D4666" t="s">
        <v>704</v>
      </c>
      <c r="E4666" t="s">
        <v>659</v>
      </c>
      <c r="F4666">
        <f t="shared" si="44"/>
        <v>11.2</v>
      </c>
      <c r="G4666">
        <v>11.2</v>
      </c>
    </row>
    <row r="4667" spans="1:7" hidden="1" x14ac:dyDescent="0.25">
      <c r="A4667" t="s">
        <v>660</v>
      </c>
      <c r="B4667">
        <v>38979</v>
      </c>
      <c r="C4667" t="s">
        <v>5337</v>
      </c>
      <c r="D4667" t="s">
        <v>704</v>
      </c>
      <c r="E4667" t="s">
        <v>659</v>
      </c>
      <c r="F4667">
        <f t="shared" si="44"/>
        <v>15.49</v>
      </c>
      <c r="G4667">
        <v>15.49</v>
      </c>
    </row>
    <row r="4668" spans="1:7" hidden="1" x14ac:dyDescent="0.25">
      <c r="A4668" t="s">
        <v>660</v>
      </c>
      <c r="B4668">
        <v>38980</v>
      </c>
      <c r="C4668" t="s">
        <v>5338</v>
      </c>
      <c r="D4668" t="s">
        <v>704</v>
      </c>
      <c r="E4668" t="s">
        <v>659</v>
      </c>
      <c r="F4668">
        <f t="shared" si="44"/>
        <v>20.73</v>
      </c>
      <c r="G4668">
        <v>20.73</v>
      </c>
    </row>
    <row r="4669" spans="1:7" hidden="1" x14ac:dyDescent="0.25">
      <c r="A4669" t="s">
        <v>660</v>
      </c>
      <c r="B4669">
        <v>38981</v>
      </c>
      <c r="C4669" t="s">
        <v>5339</v>
      </c>
      <c r="D4669" t="s">
        <v>704</v>
      </c>
      <c r="E4669" t="s">
        <v>659</v>
      </c>
      <c r="F4669">
        <f t="shared" si="44"/>
        <v>29.91</v>
      </c>
      <c r="G4669">
        <v>29.91</v>
      </c>
    </row>
    <row r="4670" spans="1:7" hidden="1" x14ac:dyDescent="0.25">
      <c r="A4670" t="s">
        <v>660</v>
      </c>
      <c r="B4670">
        <v>38982</v>
      </c>
      <c r="C4670" t="s">
        <v>5340</v>
      </c>
      <c r="D4670" t="s">
        <v>704</v>
      </c>
      <c r="E4670" t="s">
        <v>659</v>
      </c>
      <c r="F4670">
        <f t="shared" si="44"/>
        <v>47.26</v>
      </c>
      <c r="G4670">
        <v>47.26</v>
      </c>
    </row>
    <row r="4671" spans="1:7" hidden="1" x14ac:dyDescent="0.25">
      <c r="A4671" t="s">
        <v>660</v>
      </c>
      <c r="B4671">
        <v>38983</v>
      </c>
      <c r="C4671" t="s">
        <v>5341</v>
      </c>
      <c r="D4671" t="s">
        <v>704</v>
      </c>
      <c r="E4671" t="s">
        <v>659</v>
      </c>
      <c r="F4671">
        <f t="shared" si="44"/>
        <v>83.16</v>
      </c>
      <c r="G4671">
        <v>83.16</v>
      </c>
    </row>
    <row r="4672" spans="1:7" hidden="1" x14ac:dyDescent="0.25">
      <c r="A4672" t="s">
        <v>660</v>
      </c>
      <c r="B4672">
        <v>38984</v>
      </c>
      <c r="C4672" t="s">
        <v>5342</v>
      </c>
      <c r="D4672" t="s">
        <v>704</v>
      </c>
      <c r="E4672" t="s">
        <v>659</v>
      </c>
      <c r="F4672">
        <f t="shared" si="44"/>
        <v>114.32</v>
      </c>
      <c r="G4672">
        <v>114.32</v>
      </c>
    </row>
    <row r="4673" spans="1:7" hidden="1" x14ac:dyDescent="0.25">
      <c r="A4673" t="s">
        <v>660</v>
      </c>
      <c r="B4673">
        <v>38985</v>
      </c>
      <c r="C4673" t="s">
        <v>5343</v>
      </c>
      <c r="D4673" t="s">
        <v>704</v>
      </c>
      <c r="E4673" t="s">
        <v>659</v>
      </c>
      <c r="F4673">
        <f t="shared" si="44"/>
        <v>196.55</v>
      </c>
      <c r="G4673">
        <v>196.55</v>
      </c>
    </row>
    <row r="4674" spans="1:7" hidden="1" x14ac:dyDescent="0.25">
      <c r="A4674" t="s">
        <v>660</v>
      </c>
      <c r="B4674">
        <v>38032</v>
      </c>
      <c r="C4674" t="s">
        <v>5344</v>
      </c>
      <c r="D4674" t="s">
        <v>704</v>
      </c>
      <c r="E4674" t="s">
        <v>659</v>
      </c>
      <c r="F4674">
        <v>61.84</v>
      </c>
      <c r="G4674">
        <v>63.93</v>
      </c>
    </row>
    <row r="4675" spans="1:7" hidden="1" x14ac:dyDescent="0.25">
      <c r="A4675" t="s">
        <v>660</v>
      </c>
      <c r="B4675">
        <v>38033</v>
      </c>
      <c r="C4675" t="s">
        <v>5345</v>
      </c>
      <c r="D4675" t="s">
        <v>704</v>
      </c>
      <c r="E4675" t="s">
        <v>659</v>
      </c>
      <c r="F4675">
        <v>105.12</v>
      </c>
      <c r="G4675">
        <v>108.68</v>
      </c>
    </row>
    <row r="4676" spans="1:7" hidden="1" x14ac:dyDescent="0.25">
      <c r="A4676" t="s">
        <v>660</v>
      </c>
      <c r="B4676">
        <v>38034</v>
      </c>
      <c r="C4676" t="s">
        <v>5346</v>
      </c>
      <c r="D4676" t="s">
        <v>704</v>
      </c>
      <c r="E4676" t="s">
        <v>659</v>
      </c>
      <c r="F4676">
        <v>164.67</v>
      </c>
      <c r="G4676">
        <v>170.24</v>
      </c>
    </row>
    <row r="4677" spans="1:7" hidden="1" x14ac:dyDescent="0.25">
      <c r="A4677" t="s">
        <v>660</v>
      </c>
      <c r="B4677">
        <v>38035</v>
      </c>
      <c r="C4677" t="s">
        <v>5347</v>
      </c>
      <c r="D4677" t="s">
        <v>704</v>
      </c>
      <c r="E4677" t="s">
        <v>659</v>
      </c>
      <c r="F4677">
        <v>242.25</v>
      </c>
      <c r="G4677">
        <v>250.45</v>
      </c>
    </row>
    <row r="4678" spans="1:7" hidden="1" x14ac:dyDescent="0.25">
      <c r="A4678" t="s">
        <v>660</v>
      </c>
      <c r="B4678">
        <v>38036</v>
      </c>
      <c r="C4678" t="s">
        <v>5348</v>
      </c>
      <c r="D4678" t="s">
        <v>704</v>
      </c>
      <c r="E4678" t="s">
        <v>659</v>
      </c>
      <c r="F4678">
        <v>326.33999999999997</v>
      </c>
      <c r="G4678">
        <v>337.39</v>
      </c>
    </row>
    <row r="4679" spans="1:7" hidden="1" x14ac:dyDescent="0.25">
      <c r="A4679" t="s">
        <v>660</v>
      </c>
      <c r="B4679">
        <v>38037</v>
      </c>
      <c r="C4679" t="s">
        <v>5349</v>
      </c>
      <c r="D4679" t="s">
        <v>704</v>
      </c>
      <c r="E4679" t="s">
        <v>659</v>
      </c>
      <c r="F4679">
        <v>431.05</v>
      </c>
      <c r="G4679">
        <v>445.65</v>
      </c>
    </row>
    <row r="4680" spans="1:7" hidden="1" x14ac:dyDescent="0.25">
      <c r="A4680" t="s">
        <v>660</v>
      </c>
      <c r="B4680">
        <v>9850</v>
      </c>
      <c r="C4680" t="s">
        <v>5350</v>
      </c>
      <c r="D4680" t="s">
        <v>704</v>
      </c>
      <c r="E4680" t="s">
        <v>172</v>
      </c>
      <c r="F4680">
        <f>G4680</f>
        <v>147.75</v>
      </c>
      <c r="G4680">
        <v>147.75</v>
      </c>
    </row>
    <row r="4681" spans="1:7" hidden="1" x14ac:dyDescent="0.25">
      <c r="A4681" t="s">
        <v>660</v>
      </c>
      <c r="B4681">
        <v>9853</v>
      </c>
      <c r="C4681" t="s">
        <v>5351</v>
      </c>
      <c r="D4681" t="s">
        <v>704</v>
      </c>
      <c r="E4681" t="s">
        <v>659</v>
      </c>
      <c r="F4681">
        <f>G4681</f>
        <v>262.74</v>
      </c>
      <c r="G4681">
        <v>262.74</v>
      </c>
    </row>
    <row r="4682" spans="1:7" hidden="1" x14ac:dyDescent="0.25">
      <c r="A4682" t="s">
        <v>660</v>
      </c>
      <c r="B4682">
        <v>9854</v>
      </c>
      <c r="C4682" t="s">
        <v>5352</v>
      </c>
      <c r="D4682" t="s">
        <v>704</v>
      </c>
      <c r="E4682" t="s">
        <v>659</v>
      </c>
      <c r="F4682">
        <f>G4682</f>
        <v>115.12</v>
      </c>
      <c r="G4682">
        <v>115.12</v>
      </c>
    </row>
    <row r="4683" spans="1:7" hidden="1" x14ac:dyDescent="0.25">
      <c r="A4683" t="s">
        <v>660</v>
      </c>
      <c r="B4683">
        <v>9851</v>
      </c>
      <c r="C4683" t="s">
        <v>5353</v>
      </c>
      <c r="D4683" t="s">
        <v>704</v>
      </c>
      <c r="E4683" t="s">
        <v>659</v>
      </c>
      <c r="F4683">
        <f>G4683</f>
        <v>199.62</v>
      </c>
      <c r="G4683">
        <v>199.62</v>
      </c>
    </row>
    <row r="4684" spans="1:7" hidden="1" x14ac:dyDescent="0.25">
      <c r="A4684" t="s">
        <v>660</v>
      </c>
      <c r="B4684">
        <v>9825</v>
      </c>
      <c r="C4684" t="s">
        <v>5354</v>
      </c>
      <c r="D4684" t="s">
        <v>704</v>
      </c>
      <c r="E4684" t="s">
        <v>659</v>
      </c>
      <c r="F4684">
        <v>56.02</v>
      </c>
      <c r="G4684">
        <v>57.74</v>
      </c>
    </row>
    <row r="4685" spans="1:7" hidden="1" x14ac:dyDescent="0.25">
      <c r="A4685" t="s">
        <v>660</v>
      </c>
      <c r="B4685">
        <v>9828</v>
      </c>
      <c r="C4685" t="s">
        <v>5355</v>
      </c>
      <c r="D4685" t="s">
        <v>704</v>
      </c>
      <c r="E4685" t="s">
        <v>659</v>
      </c>
      <c r="F4685">
        <v>150.75</v>
      </c>
      <c r="G4685">
        <v>155.38</v>
      </c>
    </row>
    <row r="4686" spans="1:7" hidden="1" x14ac:dyDescent="0.25">
      <c r="A4686" t="s">
        <v>660</v>
      </c>
      <c r="B4686">
        <v>9829</v>
      </c>
      <c r="C4686" t="s">
        <v>5356</v>
      </c>
      <c r="D4686" t="s">
        <v>704</v>
      </c>
      <c r="E4686" t="s">
        <v>659</v>
      </c>
      <c r="F4686">
        <v>255.49</v>
      </c>
      <c r="G4686">
        <v>263.32</v>
      </c>
    </row>
    <row r="4687" spans="1:7" hidden="1" x14ac:dyDescent="0.25">
      <c r="A4687" t="s">
        <v>660</v>
      </c>
      <c r="B4687">
        <v>9826</v>
      </c>
      <c r="C4687" t="s">
        <v>5357</v>
      </c>
      <c r="D4687" t="s">
        <v>704</v>
      </c>
      <c r="E4687" t="s">
        <v>659</v>
      </c>
      <c r="F4687">
        <v>388.94</v>
      </c>
      <c r="G4687">
        <v>400.87</v>
      </c>
    </row>
    <row r="4688" spans="1:7" hidden="1" x14ac:dyDescent="0.25">
      <c r="A4688" t="s">
        <v>660</v>
      </c>
      <c r="B4688">
        <v>9827</v>
      </c>
      <c r="C4688" t="s">
        <v>5358</v>
      </c>
      <c r="D4688" t="s">
        <v>704</v>
      </c>
      <c r="E4688" t="s">
        <v>659</v>
      </c>
      <c r="F4688">
        <v>552.29999999999995</v>
      </c>
      <c r="G4688">
        <v>569.24</v>
      </c>
    </row>
    <row r="4689" spans="1:7" hidden="1" x14ac:dyDescent="0.25">
      <c r="A4689" t="s">
        <v>660</v>
      </c>
      <c r="B4689">
        <v>36374</v>
      </c>
      <c r="C4689" t="s">
        <v>5359</v>
      </c>
      <c r="D4689" t="s">
        <v>704</v>
      </c>
      <c r="E4689" t="s">
        <v>659</v>
      </c>
      <c r="F4689">
        <v>67.14</v>
      </c>
      <c r="G4689">
        <v>69.2</v>
      </c>
    </row>
    <row r="4690" spans="1:7" hidden="1" x14ac:dyDescent="0.25">
      <c r="A4690" t="s">
        <v>660</v>
      </c>
      <c r="B4690">
        <v>36084</v>
      </c>
      <c r="C4690" t="s">
        <v>5360</v>
      </c>
      <c r="D4690" t="s">
        <v>704</v>
      </c>
      <c r="E4690" t="s">
        <v>172</v>
      </c>
      <c r="F4690">
        <v>19.89</v>
      </c>
      <c r="G4690">
        <v>20.5</v>
      </c>
    </row>
    <row r="4691" spans="1:7" hidden="1" x14ac:dyDescent="0.25">
      <c r="A4691" t="s">
        <v>660</v>
      </c>
      <c r="B4691">
        <v>36373</v>
      </c>
      <c r="C4691" t="s">
        <v>5361</v>
      </c>
      <c r="D4691" t="s">
        <v>704</v>
      </c>
      <c r="E4691" t="s">
        <v>659</v>
      </c>
      <c r="F4691">
        <v>41.3</v>
      </c>
      <c r="G4691">
        <v>42.57</v>
      </c>
    </row>
    <row r="4692" spans="1:7" hidden="1" x14ac:dyDescent="0.25">
      <c r="A4692" t="s">
        <v>660</v>
      </c>
      <c r="B4692">
        <v>36377</v>
      </c>
      <c r="C4692" t="s">
        <v>5362</v>
      </c>
      <c r="D4692" t="s">
        <v>704</v>
      </c>
      <c r="E4692" t="s">
        <v>659</v>
      </c>
      <c r="F4692">
        <v>80.540000000000006</v>
      </c>
      <c r="G4692">
        <v>83.01</v>
      </c>
    </row>
    <row r="4693" spans="1:7" hidden="1" x14ac:dyDescent="0.25">
      <c r="A4693" t="s">
        <v>660</v>
      </c>
      <c r="B4693">
        <v>36375</v>
      </c>
      <c r="C4693" t="s">
        <v>5363</v>
      </c>
      <c r="D4693" t="s">
        <v>704</v>
      </c>
      <c r="E4693" t="s">
        <v>659</v>
      </c>
      <c r="F4693">
        <v>24.54</v>
      </c>
      <c r="G4693">
        <v>25.3</v>
      </c>
    </row>
    <row r="4694" spans="1:7" hidden="1" x14ac:dyDescent="0.25">
      <c r="A4694" t="s">
        <v>660</v>
      </c>
      <c r="B4694">
        <v>36376</v>
      </c>
      <c r="C4694" t="s">
        <v>5364</v>
      </c>
      <c r="D4694" t="s">
        <v>704</v>
      </c>
      <c r="E4694" t="s">
        <v>659</v>
      </c>
      <c r="F4694">
        <v>48.2</v>
      </c>
      <c r="G4694">
        <v>49.68</v>
      </c>
    </row>
    <row r="4695" spans="1:7" hidden="1" x14ac:dyDescent="0.25">
      <c r="A4695" t="s">
        <v>660</v>
      </c>
      <c r="B4695">
        <v>36380</v>
      </c>
      <c r="C4695" t="s">
        <v>5365</v>
      </c>
      <c r="D4695" t="s">
        <v>704</v>
      </c>
      <c r="E4695" t="s">
        <v>659</v>
      </c>
      <c r="F4695">
        <v>100.7</v>
      </c>
      <c r="G4695">
        <v>103.79</v>
      </c>
    </row>
    <row r="4696" spans="1:7" hidden="1" x14ac:dyDescent="0.25">
      <c r="A4696" t="s">
        <v>660</v>
      </c>
      <c r="B4696">
        <v>36378</v>
      </c>
      <c r="C4696" t="s">
        <v>5366</v>
      </c>
      <c r="D4696" t="s">
        <v>704</v>
      </c>
      <c r="E4696" t="s">
        <v>659</v>
      </c>
      <c r="F4696">
        <v>30.17</v>
      </c>
      <c r="G4696">
        <v>31.1</v>
      </c>
    </row>
    <row r="4697" spans="1:7" hidden="1" x14ac:dyDescent="0.25">
      <c r="A4697" t="s">
        <v>660</v>
      </c>
      <c r="B4697">
        <v>36379</v>
      </c>
      <c r="C4697" t="s">
        <v>5367</v>
      </c>
      <c r="D4697" t="s">
        <v>704</v>
      </c>
      <c r="E4697" t="s">
        <v>659</v>
      </c>
      <c r="F4697">
        <v>60.83</v>
      </c>
      <c r="G4697">
        <v>62.69</v>
      </c>
    </row>
    <row r="4698" spans="1:7" hidden="1" x14ac:dyDescent="0.25">
      <c r="A4698" t="s">
        <v>660</v>
      </c>
      <c r="B4698">
        <v>9859</v>
      </c>
      <c r="C4698" t="s">
        <v>5368</v>
      </c>
      <c r="D4698" t="s">
        <v>704</v>
      </c>
      <c r="E4698" t="s">
        <v>659</v>
      </c>
      <c r="F4698">
        <v>10.4</v>
      </c>
      <c r="G4698">
        <v>10.65</v>
      </c>
    </row>
    <row r="4699" spans="1:7" hidden="1" x14ac:dyDescent="0.25">
      <c r="A4699" t="s">
        <v>660</v>
      </c>
      <c r="B4699">
        <v>9836</v>
      </c>
      <c r="C4699" t="s">
        <v>5369</v>
      </c>
      <c r="D4699" t="s">
        <v>704</v>
      </c>
      <c r="E4699" t="s">
        <v>172</v>
      </c>
      <c r="F4699">
        <v>15.65</v>
      </c>
      <c r="G4699">
        <v>16.18</v>
      </c>
    </row>
    <row r="4700" spans="1:7" hidden="1" x14ac:dyDescent="0.25">
      <c r="A4700" t="s">
        <v>660</v>
      </c>
      <c r="B4700">
        <v>20065</v>
      </c>
      <c r="C4700" t="s">
        <v>5370</v>
      </c>
      <c r="D4700" t="s">
        <v>704</v>
      </c>
      <c r="E4700" t="s">
        <v>659</v>
      </c>
      <c r="F4700">
        <v>40.909999999999997</v>
      </c>
      <c r="G4700">
        <v>42.29</v>
      </c>
    </row>
    <row r="4701" spans="1:7" hidden="1" x14ac:dyDescent="0.25">
      <c r="A4701" t="s">
        <v>660</v>
      </c>
      <c r="B4701">
        <v>9835</v>
      </c>
      <c r="C4701" t="s">
        <v>5371</v>
      </c>
      <c r="D4701" t="s">
        <v>704</v>
      </c>
      <c r="E4701" t="s">
        <v>659</v>
      </c>
      <c r="F4701">
        <v>6.84</v>
      </c>
      <c r="G4701">
        <v>7.07</v>
      </c>
    </row>
    <row r="4702" spans="1:7" hidden="1" x14ac:dyDescent="0.25">
      <c r="A4702" t="s">
        <v>660</v>
      </c>
      <c r="B4702">
        <v>9838</v>
      </c>
      <c r="C4702" t="s">
        <v>5372</v>
      </c>
      <c r="D4702" t="s">
        <v>704</v>
      </c>
      <c r="E4702" t="s">
        <v>659</v>
      </c>
      <c r="F4702">
        <v>11.29</v>
      </c>
      <c r="G4702">
        <v>11.67</v>
      </c>
    </row>
    <row r="4703" spans="1:7" hidden="1" x14ac:dyDescent="0.25">
      <c r="A4703" t="s">
        <v>660</v>
      </c>
      <c r="B4703">
        <v>9837</v>
      </c>
      <c r="C4703" t="s">
        <v>5373</v>
      </c>
      <c r="D4703" t="s">
        <v>704</v>
      </c>
      <c r="E4703" t="s">
        <v>659</v>
      </c>
      <c r="F4703">
        <v>14.82</v>
      </c>
      <c r="G4703">
        <v>15.32</v>
      </c>
    </row>
    <row r="4704" spans="1:7" hidden="1" x14ac:dyDescent="0.25">
      <c r="A4704" t="s">
        <v>660</v>
      </c>
      <c r="B4704">
        <v>44315</v>
      </c>
      <c r="C4704" t="s">
        <v>5374</v>
      </c>
      <c r="D4704" t="s">
        <v>704</v>
      </c>
      <c r="E4704" t="s">
        <v>659</v>
      </c>
      <c r="F4704">
        <v>61.27</v>
      </c>
      <c r="G4704">
        <v>63.35</v>
      </c>
    </row>
    <row r="4705" spans="1:7" hidden="1" x14ac:dyDescent="0.25">
      <c r="A4705" t="s">
        <v>660</v>
      </c>
      <c r="B4705">
        <v>9862</v>
      </c>
      <c r="C4705" t="s">
        <v>5375</v>
      </c>
      <c r="D4705" t="s">
        <v>704</v>
      </c>
      <c r="E4705" t="s">
        <v>659</v>
      </c>
      <c r="F4705">
        <v>32.07</v>
      </c>
      <c r="G4705">
        <v>32.82</v>
      </c>
    </row>
    <row r="4706" spans="1:7" hidden="1" x14ac:dyDescent="0.25">
      <c r="A4706" t="s">
        <v>660</v>
      </c>
      <c r="B4706">
        <v>9861</v>
      </c>
      <c r="C4706" t="s">
        <v>5376</v>
      </c>
      <c r="D4706" t="s">
        <v>704</v>
      </c>
      <c r="E4706" t="s">
        <v>659</v>
      </c>
      <c r="F4706">
        <v>25.18</v>
      </c>
      <c r="G4706">
        <v>25.78</v>
      </c>
    </row>
    <row r="4707" spans="1:7" hidden="1" x14ac:dyDescent="0.25">
      <c r="A4707" t="s">
        <v>660</v>
      </c>
      <c r="B4707">
        <v>9866</v>
      </c>
      <c r="C4707" t="s">
        <v>5377</v>
      </c>
      <c r="D4707" t="s">
        <v>704</v>
      </c>
      <c r="E4707" t="s">
        <v>659</v>
      </c>
      <c r="F4707">
        <v>21.73</v>
      </c>
      <c r="G4707">
        <v>22.24</v>
      </c>
    </row>
    <row r="4708" spans="1:7" hidden="1" x14ac:dyDescent="0.25">
      <c r="A4708" t="s">
        <v>660</v>
      </c>
      <c r="B4708">
        <v>9856</v>
      </c>
      <c r="C4708" t="s">
        <v>5378</v>
      </c>
      <c r="D4708" t="s">
        <v>704</v>
      </c>
      <c r="E4708" t="s">
        <v>659</v>
      </c>
      <c r="F4708">
        <v>8.1199999999999992</v>
      </c>
      <c r="G4708">
        <v>8.31</v>
      </c>
    </row>
    <row r="4709" spans="1:7" hidden="1" x14ac:dyDescent="0.25">
      <c r="A4709" t="s">
        <v>660</v>
      </c>
      <c r="B4709">
        <v>9863</v>
      </c>
      <c r="C4709" t="s">
        <v>5379</v>
      </c>
      <c r="D4709" t="s">
        <v>704</v>
      </c>
      <c r="E4709" t="s">
        <v>659</v>
      </c>
      <c r="F4709">
        <v>62.87</v>
      </c>
      <c r="G4709">
        <v>64.349999999999994</v>
      </c>
    </row>
    <row r="4710" spans="1:7" hidden="1" x14ac:dyDescent="0.25">
      <c r="A4710" t="s">
        <v>660</v>
      </c>
      <c r="B4710">
        <v>9860</v>
      </c>
      <c r="C4710" t="s">
        <v>5380</v>
      </c>
      <c r="D4710" t="s">
        <v>704</v>
      </c>
      <c r="E4710" t="s">
        <v>659</v>
      </c>
      <c r="F4710">
        <v>45.89</v>
      </c>
      <c r="G4710">
        <v>46.97</v>
      </c>
    </row>
    <row r="4711" spans="1:7" hidden="1" x14ac:dyDescent="0.25">
      <c r="A4711" t="s">
        <v>660</v>
      </c>
      <c r="B4711">
        <v>9841</v>
      </c>
      <c r="C4711" t="s">
        <v>5381</v>
      </c>
      <c r="D4711" t="s">
        <v>704</v>
      </c>
      <c r="E4711" t="s">
        <v>659</v>
      </c>
      <c r="F4711">
        <v>29.47</v>
      </c>
      <c r="G4711">
        <v>30.47</v>
      </c>
    </row>
    <row r="4712" spans="1:7" hidden="1" x14ac:dyDescent="0.25">
      <c r="A4712" t="s">
        <v>660</v>
      </c>
      <c r="B4712">
        <v>9840</v>
      </c>
      <c r="C4712" t="s">
        <v>5382</v>
      </c>
      <c r="D4712" t="s">
        <v>704</v>
      </c>
      <c r="E4712" t="s">
        <v>659</v>
      </c>
      <c r="F4712">
        <v>62.25</v>
      </c>
      <c r="G4712">
        <v>64.36</v>
      </c>
    </row>
    <row r="4713" spans="1:7" hidden="1" x14ac:dyDescent="0.25">
      <c r="A4713" t="s">
        <v>660</v>
      </c>
      <c r="B4713">
        <v>20067</v>
      </c>
      <c r="C4713" t="s">
        <v>5383</v>
      </c>
      <c r="D4713" t="s">
        <v>704</v>
      </c>
      <c r="E4713" t="s">
        <v>659</v>
      </c>
      <c r="F4713">
        <v>9.56</v>
      </c>
      <c r="G4713">
        <v>9.8800000000000008</v>
      </c>
    </row>
    <row r="4714" spans="1:7" hidden="1" x14ac:dyDescent="0.25">
      <c r="A4714" t="s">
        <v>660</v>
      </c>
      <c r="B4714">
        <v>20068</v>
      </c>
      <c r="C4714" t="s">
        <v>5384</v>
      </c>
      <c r="D4714" t="s">
        <v>704</v>
      </c>
      <c r="E4714" t="s">
        <v>659</v>
      </c>
      <c r="F4714">
        <v>13.46</v>
      </c>
      <c r="G4714">
        <v>13.92</v>
      </c>
    </row>
    <row r="4715" spans="1:7" hidden="1" x14ac:dyDescent="0.25">
      <c r="A4715" t="s">
        <v>660</v>
      </c>
      <c r="B4715">
        <v>9839</v>
      </c>
      <c r="C4715" t="s">
        <v>5385</v>
      </c>
      <c r="D4715" t="s">
        <v>704</v>
      </c>
      <c r="E4715" t="s">
        <v>659</v>
      </c>
      <c r="F4715">
        <v>24.41</v>
      </c>
      <c r="G4715">
        <v>25.24</v>
      </c>
    </row>
    <row r="4716" spans="1:7" hidden="1" x14ac:dyDescent="0.25">
      <c r="A4716" t="s">
        <v>660</v>
      </c>
      <c r="B4716">
        <v>9870</v>
      </c>
      <c r="C4716" t="s">
        <v>5386</v>
      </c>
      <c r="D4716" t="s">
        <v>704</v>
      </c>
      <c r="E4716" t="s">
        <v>659</v>
      </c>
      <c r="F4716">
        <v>93.76</v>
      </c>
      <c r="G4716">
        <v>95.96</v>
      </c>
    </row>
    <row r="4717" spans="1:7" hidden="1" x14ac:dyDescent="0.25">
      <c r="A4717" t="s">
        <v>660</v>
      </c>
      <c r="B4717">
        <v>9867</v>
      </c>
      <c r="C4717" t="s">
        <v>5387</v>
      </c>
      <c r="D4717" t="s">
        <v>704</v>
      </c>
      <c r="E4717" t="s">
        <v>659</v>
      </c>
      <c r="F4717">
        <v>3.77</v>
      </c>
      <c r="G4717">
        <v>3.85</v>
      </c>
    </row>
    <row r="4718" spans="1:7" hidden="1" x14ac:dyDescent="0.25">
      <c r="A4718" t="s">
        <v>660</v>
      </c>
      <c r="B4718">
        <v>9868</v>
      </c>
      <c r="C4718" t="s">
        <v>5388</v>
      </c>
      <c r="D4718" t="s">
        <v>704</v>
      </c>
      <c r="E4718" t="s">
        <v>172</v>
      </c>
      <c r="F4718">
        <v>4.25</v>
      </c>
      <c r="G4718">
        <v>4.3499999999999996</v>
      </c>
    </row>
    <row r="4719" spans="1:7" hidden="1" x14ac:dyDescent="0.25">
      <c r="A4719" t="s">
        <v>660</v>
      </c>
      <c r="B4719">
        <v>9869</v>
      </c>
      <c r="C4719" t="s">
        <v>5389</v>
      </c>
      <c r="D4719" t="s">
        <v>704</v>
      </c>
      <c r="E4719" t="s">
        <v>659</v>
      </c>
      <c r="F4719">
        <v>9.17</v>
      </c>
      <c r="G4719">
        <v>9.39</v>
      </c>
    </row>
    <row r="4720" spans="1:7" hidden="1" x14ac:dyDescent="0.25">
      <c r="A4720" t="s">
        <v>660</v>
      </c>
      <c r="B4720">
        <v>9874</v>
      </c>
      <c r="C4720" t="s">
        <v>5390</v>
      </c>
      <c r="D4720" t="s">
        <v>704</v>
      </c>
      <c r="E4720" t="s">
        <v>659</v>
      </c>
      <c r="F4720">
        <v>14.4</v>
      </c>
      <c r="G4720">
        <v>14.74</v>
      </c>
    </row>
    <row r="4721" spans="1:7" hidden="1" x14ac:dyDescent="0.25">
      <c r="A4721" t="s">
        <v>660</v>
      </c>
      <c r="B4721">
        <v>9875</v>
      </c>
      <c r="C4721" t="s">
        <v>5391</v>
      </c>
      <c r="D4721" t="s">
        <v>704</v>
      </c>
      <c r="E4721" t="s">
        <v>659</v>
      </c>
      <c r="F4721">
        <v>15.8</v>
      </c>
      <c r="G4721">
        <v>16.170000000000002</v>
      </c>
    </row>
    <row r="4722" spans="1:7" hidden="1" x14ac:dyDescent="0.25">
      <c r="A4722" t="s">
        <v>660</v>
      </c>
      <c r="B4722">
        <v>9873</v>
      </c>
      <c r="C4722" t="s">
        <v>5392</v>
      </c>
      <c r="D4722" t="s">
        <v>704</v>
      </c>
      <c r="E4722" t="s">
        <v>659</v>
      </c>
      <c r="F4722">
        <v>25.99</v>
      </c>
      <c r="G4722">
        <v>26.6</v>
      </c>
    </row>
    <row r="4723" spans="1:7" hidden="1" x14ac:dyDescent="0.25">
      <c r="A4723" t="s">
        <v>660</v>
      </c>
      <c r="B4723">
        <v>9871</v>
      </c>
      <c r="C4723" t="s">
        <v>5393</v>
      </c>
      <c r="D4723" t="s">
        <v>704</v>
      </c>
      <c r="E4723" t="s">
        <v>659</v>
      </c>
      <c r="F4723">
        <v>43.07</v>
      </c>
      <c r="G4723">
        <v>44.08</v>
      </c>
    </row>
    <row r="4724" spans="1:7" hidden="1" x14ac:dyDescent="0.25">
      <c r="A4724" t="s">
        <v>660</v>
      </c>
      <c r="B4724">
        <v>9872</v>
      </c>
      <c r="C4724" t="s">
        <v>5394</v>
      </c>
      <c r="D4724" t="s">
        <v>704</v>
      </c>
      <c r="E4724" t="s">
        <v>659</v>
      </c>
      <c r="F4724">
        <v>59.91</v>
      </c>
      <c r="G4724">
        <v>61.32</v>
      </c>
    </row>
    <row r="4725" spans="1:7" hidden="1" x14ac:dyDescent="0.25">
      <c r="A4725" t="s">
        <v>660</v>
      </c>
      <c r="B4725">
        <v>12425</v>
      </c>
      <c r="C4725" t="s">
        <v>5395</v>
      </c>
      <c r="D4725" t="s">
        <v>226</v>
      </c>
      <c r="E4725" t="s">
        <v>659</v>
      </c>
      <c r="F4725">
        <v>62.36</v>
      </c>
      <c r="G4725">
        <v>65.040000000000006</v>
      </c>
    </row>
    <row r="4726" spans="1:7" hidden="1" x14ac:dyDescent="0.25">
      <c r="A4726" t="s">
        <v>660</v>
      </c>
      <c r="B4726">
        <v>12426</v>
      </c>
      <c r="C4726" t="s">
        <v>5396</v>
      </c>
      <c r="D4726" t="s">
        <v>226</v>
      </c>
      <c r="E4726" t="s">
        <v>659</v>
      </c>
      <c r="F4726">
        <v>45.39</v>
      </c>
      <c r="G4726">
        <v>47.34</v>
      </c>
    </row>
    <row r="4727" spans="1:7" hidden="1" x14ac:dyDescent="0.25">
      <c r="A4727" t="s">
        <v>660</v>
      </c>
      <c r="B4727">
        <v>12427</v>
      </c>
      <c r="C4727" t="s">
        <v>5397</v>
      </c>
      <c r="D4727" t="s">
        <v>226</v>
      </c>
      <c r="E4727" t="s">
        <v>659</v>
      </c>
      <c r="F4727">
        <v>258.83</v>
      </c>
      <c r="G4727">
        <v>269.95999999999998</v>
      </c>
    </row>
    <row r="4728" spans="1:7" hidden="1" x14ac:dyDescent="0.25">
      <c r="A4728" t="s">
        <v>660</v>
      </c>
      <c r="B4728">
        <v>12428</v>
      </c>
      <c r="C4728" t="s">
        <v>5398</v>
      </c>
      <c r="D4728" t="s">
        <v>226</v>
      </c>
      <c r="E4728" t="s">
        <v>659</v>
      </c>
      <c r="F4728">
        <v>166.13</v>
      </c>
      <c r="G4728">
        <v>173.27</v>
      </c>
    </row>
    <row r="4729" spans="1:7" hidden="1" x14ac:dyDescent="0.25">
      <c r="A4729" t="s">
        <v>660</v>
      </c>
      <c r="B4729">
        <v>12429</v>
      </c>
      <c r="C4729" t="s">
        <v>5399</v>
      </c>
      <c r="D4729" t="s">
        <v>226</v>
      </c>
      <c r="E4729" t="s">
        <v>659</v>
      </c>
      <c r="F4729">
        <v>418.53</v>
      </c>
      <c r="G4729">
        <v>436.53</v>
      </c>
    </row>
    <row r="4730" spans="1:7" hidden="1" x14ac:dyDescent="0.25">
      <c r="A4730" t="s">
        <v>660</v>
      </c>
      <c r="B4730">
        <v>12430</v>
      </c>
      <c r="C4730" t="s">
        <v>5400</v>
      </c>
      <c r="D4730" t="s">
        <v>226</v>
      </c>
      <c r="E4730" t="s">
        <v>659</v>
      </c>
      <c r="F4730">
        <v>55.64</v>
      </c>
      <c r="G4730">
        <v>58.04</v>
      </c>
    </row>
    <row r="4731" spans="1:7" hidden="1" x14ac:dyDescent="0.25">
      <c r="A4731" t="s">
        <v>660</v>
      </c>
      <c r="B4731">
        <v>12431</v>
      </c>
      <c r="C4731" t="s">
        <v>5401</v>
      </c>
      <c r="D4731" t="s">
        <v>226</v>
      </c>
      <c r="E4731" t="s">
        <v>659</v>
      </c>
      <c r="F4731">
        <v>712.27</v>
      </c>
      <c r="G4731">
        <v>742.89</v>
      </c>
    </row>
    <row r="4732" spans="1:7" hidden="1" x14ac:dyDescent="0.25">
      <c r="A4732" t="s">
        <v>660</v>
      </c>
      <c r="B4732">
        <v>12432</v>
      </c>
      <c r="C4732" t="s">
        <v>5402</v>
      </c>
      <c r="D4732" t="s">
        <v>226</v>
      </c>
      <c r="E4732" t="s">
        <v>659</v>
      </c>
      <c r="F4732">
        <v>146.49</v>
      </c>
      <c r="G4732">
        <v>152.79</v>
      </c>
    </row>
    <row r="4733" spans="1:7" hidden="1" x14ac:dyDescent="0.25">
      <c r="A4733" t="s">
        <v>660</v>
      </c>
      <c r="B4733">
        <v>12433</v>
      </c>
      <c r="C4733" t="s">
        <v>5403</v>
      </c>
      <c r="D4733" t="s">
        <v>226</v>
      </c>
      <c r="E4733" t="s">
        <v>659</v>
      </c>
      <c r="F4733">
        <v>93.26</v>
      </c>
      <c r="G4733">
        <v>97.27</v>
      </c>
    </row>
    <row r="4734" spans="1:7" hidden="1" x14ac:dyDescent="0.25">
      <c r="A4734" t="s">
        <v>660</v>
      </c>
      <c r="B4734">
        <v>12434</v>
      </c>
      <c r="C4734" t="s">
        <v>5404</v>
      </c>
      <c r="D4734" t="s">
        <v>226</v>
      </c>
      <c r="E4734" t="s">
        <v>659</v>
      </c>
      <c r="F4734">
        <v>47.74</v>
      </c>
      <c r="G4734">
        <v>49.79</v>
      </c>
    </row>
    <row r="4735" spans="1:7" hidden="1" x14ac:dyDescent="0.25">
      <c r="A4735" t="s">
        <v>660</v>
      </c>
      <c r="B4735">
        <v>12435</v>
      </c>
      <c r="C4735" t="s">
        <v>5405</v>
      </c>
      <c r="D4735" t="s">
        <v>226</v>
      </c>
      <c r="E4735" t="s">
        <v>659</v>
      </c>
      <c r="F4735">
        <v>288.61</v>
      </c>
      <c r="G4735">
        <v>301.02</v>
      </c>
    </row>
    <row r="4736" spans="1:7" hidden="1" x14ac:dyDescent="0.25">
      <c r="A4736" t="s">
        <v>660</v>
      </c>
      <c r="B4736">
        <v>12437</v>
      </c>
      <c r="C4736" t="s">
        <v>5406</v>
      </c>
      <c r="D4736" t="s">
        <v>226</v>
      </c>
      <c r="E4736" t="s">
        <v>659</v>
      </c>
      <c r="F4736">
        <v>233.09</v>
      </c>
      <c r="G4736">
        <v>243.11</v>
      </c>
    </row>
    <row r="4737" spans="1:7" hidden="1" x14ac:dyDescent="0.25">
      <c r="A4737" t="s">
        <v>660</v>
      </c>
      <c r="B4737">
        <v>12438</v>
      </c>
      <c r="C4737" t="s">
        <v>5407</v>
      </c>
      <c r="D4737" t="s">
        <v>226</v>
      </c>
      <c r="E4737" t="s">
        <v>659</v>
      </c>
      <c r="F4737">
        <v>421.82</v>
      </c>
      <c r="G4737">
        <v>439.96</v>
      </c>
    </row>
    <row r="4738" spans="1:7" hidden="1" x14ac:dyDescent="0.25">
      <c r="A4738" t="s">
        <v>660</v>
      </c>
      <c r="B4738">
        <v>12439</v>
      </c>
      <c r="C4738" t="s">
        <v>5408</v>
      </c>
      <c r="D4738" t="s">
        <v>226</v>
      </c>
      <c r="E4738" t="s">
        <v>659</v>
      </c>
      <c r="F4738">
        <v>74.81</v>
      </c>
      <c r="G4738">
        <v>78.03</v>
      </c>
    </row>
    <row r="4739" spans="1:7" hidden="1" x14ac:dyDescent="0.25">
      <c r="A4739" t="s">
        <v>660</v>
      </c>
      <c r="B4739">
        <v>12436</v>
      </c>
      <c r="C4739" t="s">
        <v>5409</v>
      </c>
      <c r="D4739" t="s">
        <v>226</v>
      </c>
      <c r="E4739" t="s">
        <v>659</v>
      </c>
      <c r="F4739">
        <v>532.84</v>
      </c>
      <c r="G4739">
        <v>555.76</v>
      </c>
    </row>
    <row r="4740" spans="1:7" hidden="1" x14ac:dyDescent="0.25">
      <c r="A4740" t="s">
        <v>660</v>
      </c>
      <c r="B4740">
        <v>36357</v>
      </c>
      <c r="C4740" t="s">
        <v>5410</v>
      </c>
      <c r="D4740" t="s">
        <v>226</v>
      </c>
      <c r="E4740" t="s">
        <v>659</v>
      </c>
      <c r="F4740">
        <f>G4740</f>
        <v>150.83000000000001</v>
      </c>
      <c r="G4740">
        <v>150.83000000000001</v>
      </c>
    </row>
    <row r="4741" spans="1:7" hidden="1" x14ac:dyDescent="0.25">
      <c r="A4741" t="s">
        <v>660</v>
      </c>
      <c r="B4741">
        <v>12424</v>
      </c>
      <c r="C4741" t="s">
        <v>5411</v>
      </c>
      <c r="D4741" t="s">
        <v>226</v>
      </c>
      <c r="E4741" t="s">
        <v>659</v>
      </c>
      <c r="F4741">
        <v>96.02</v>
      </c>
      <c r="G4741">
        <v>100.14</v>
      </c>
    </row>
    <row r="4742" spans="1:7" hidden="1" x14ac:dyDescent="0.25">
      <c r="A4742" t="s">
        <v>660</v>
      </c>
      <c r="B4742">
        <v>12440</v>
      </c>
      <c r="C4742" t="s">
        <v>5412</v>
      </c>
      <c r="D4742" t="s">
        <v>226</v>
      </c>
      <c r="E4742" t="s">
        <v>659</v>
      </c>
      <c r="F4742">
        <v>92.81</v>
      </c>
      <c r="G4742">
        <v>96.8</v>
      </c>
    </row>
    <row r="4743" spans="1:7" hidden="1" x14ac:dyDescent="0.25">
      <c r="A4743" t="s">
        <v>660</v>
      </c>
      <c r="B4743">
        <v>9884</v>
      </c>
      <c r="C4743" t="s">
        <v>5413</v>
      </c>
      <c r="D4743" t="s">
        <v>226</v>
      </c>
      <c r="E4743" t="s">
        <v>659</v>
      </c>
      <c r="F4743">
        <v>69.22</v>
      </c>
      <c r="G4743">
        <v>72.2</v>
      </c>
    </row>
    <row r="4744" spans="1:7" hidden="1" x14ac:dyDescent="0.25">
      <c r="A4744" t="s">
        <v>660</v>
      </c>
      <c r="B4744">
        <v>9888</v>
      </c>
      <c r="C4744" t="s">
        <v>5414</v>
      </c>
      <c r="D4744" t="s">
        <v>226</v>
      </c>
      <c r="E4744" t="s">
        <v>659</v>
      </c>
      <c r="F4744">
        <v>55.62</v>
      </c>
      <c r="G4744">
        <v>58.01</v>
      </c>
    </row>
    <row r="4745" spans="1:7" hidden="1" x14ac:dyDescent="0.25">
      <c r="A4745" t="s">
        <v>660</v>
      </c>
      <c r="B4745">
        <v>9886</v>
      </c>
      <c r="C4745" t="s">
        <v>5415</v>
      </c>
      <c r="D4745" t="s">
        <v>226</v>
      </c>
      <c r="E4745" t="s">
        <v>659</v>
      </c>
      <c r="F4745">
        <v>33.24</v>
      </c>
      <c r="G4745">
        <v>34.67</v>
      </c>
    </row>
    <row r="4746" spans="1:7" hidden="1" x14ac:dyDescent="0.25">
      <c r="A4746" t="s">
        <v>660</v>
      </c>
      <c r="B4746">
        <v>9883</v>
      </c>
      <c r="C4746" t="s">
        <v>5416</v>
      </c>
      <c r="D4746" t="s">
        <v>226</v>
      </c>
      <c r="E4746" t="s">
        <v>659</v>
      </c>
      <c r="F4746">
        <v>24.27</v>
      </c>
      <c r="G4746">
        <v>25.31</v>
      </c>
    </row>
    <row r="4747" spans="1:7" hidden="1" x14ac:dyDescent="0.25">
      <c r="A4747" t="s">
        <v>660</v>
      </c>
      <c r="B4747">
        <v>9889</v>
      </c>
      <c r="C4747" t="s">
        <v>5417</v>
      </c>
      <c r="D4747" t="s">
        <v>226</v>
      </c>
      <c r="E4747" t="s">
        <v>659</v>
      </c>
      <c r="F4747">
        <v>168.42</v>
      </c>
      <c r="G4747">
        <v>175.66</v>
      </c>
    </row>
    <row r="4748" spans="1:7" hidden="1" x14ac:dyDescent="0.25">
      <c r="A4748" t="s">
        <v>660</v>
      </c>
      <c r="B4748">
        <v>9887</v>
      </c>
      <c r="C4748" t="s">
        <v>5418</v>
      </c>
      <c r="D4748" t="s">
        <v>226</v>
      </c>
      <c r="E4748" t="s">
        <v>659</v>
      </c>
      <c r="F4748">
        <v>101.79</v>
      </c>
      <c r="G4748">
        <v>106.17</v>
      </c>
    </row>
    <row r="4749" spans="1:7" hidden="1" x14ac:dyDescent="0.25">
      <c r="A4749" t="s">
        <v>660</v>
      </c>
      <c r="B4749">
        <v>9890</v>
      </c>
      <c r="C4749" t="s">
        <v>5419</v>
      </c>
      <c r="D4749" t="s">
        <v>226</v>
      </c>
      <c r="E4749" t="s">
        <v>659</v>
      </c>
      <c r="F4749">
        <v>260.92</v>
      </c>
      <c r="G4749">
        <v>272.14</v>
      </c>
    </row>
    <row r="4750" spans="1:7" hidden="1" x14ac:dyDescent="0.25">
      <c r="A4750" t="s">
        <v>660</v>
      </c>
      <c r="B4750">
        <v>9885</v>
      </c>
      <c r="C4750" t="s">
        <v>5420</v>
      </c>
      <c r="D4750" t="s">
        <v>226</v>
      </c>
      <c r="E4750" t="s">
        <v>659</v>
      </c>
      <c r="F4750">
        <v>32.14</v>
      </c>
      <c r="G4750">
        <v>33.520000000000003</v>
      </c>
    </row>
    <row r="4751" spans="1:7" hidden="1" x14ac:dyDescent="0.25">
      <c r="A4751" t="s">
        <v>660</v>
      </c>
      <c r="B4751">
        <v>9891</v>
      </c>
      <c r="C4751" t="s">
        <v>5421</v>
      </c>
      <c r="D4751" t="s">
        <v>226</v>
      </c>
      <c r="E4751" t="s">
        <v>659</v>
      </c>
      <c r="F4751">
        <v>366.29</v>
      </c>
      <c r="G4751">
        <v>382.04</v>
      </c>
    </row>
    <row r="4752" spans="1:7" hidden="1" x14ac:dyDescent="0.25">
      <c r="A4752" t="s">
        <v>660</v>
      </c>
      <c r="B4752">
        <v>36316</v>
      </c>
      <c r="C4752" t="s">
        <v>5422</v>
      </c>
      <c r="D4752" t="s">
        <v>226</v>
      </c>
      <c r="E4752" t="s">
        <v>659</v>
      </c>
      <c r="F4752">
        <f>G4752</f>
        <v>24.58</v>
      </c>
      <c r="G4752">
        <v>24.58</v>
      </c>
    </row>
    <row r="4753" spans="1:7" hidden="1" x14ac:dyDescent="0.25">
      <c r="A4753" t="s">
        <v>660</v>
      </c>
      <c r="B4753">
        <v>36313</v>
      </c>
      <c r="C4753" t="s">
        <v>5423</v>
      </c>
      <c r="D4753" t="s">
        <v>226</v>
      </c>
      <c r="E4753" t="s">
        <v>659</v>
      </c>
      <c r="F4753">
        <f>G4753</f>
        <v>15.78</v>
      </c>
      <c r="G4753">
        <v>15.78</v>
      </c>
    </row>
    <row r="4754" spans="1:7" hidden="1" x14ac:dyDescent="0.25">
      <c r="A4754" t="s">
        <v>660</v>
      </c>
      <c r="B4754">
        <v>64</v>
      </c>
      <c r="C4754" t="s">
        <v>5424</v>
      </c>
      <c r="D4754" t="s">
        <v>226</v>
      </c>
      <c r="E4754" t="s">
        <v>659</v>
      </c>
      <c r="F4754">
        <v>7.21</v>
      </c>
      <c r="G4754">
        <v>4.5</v>
      </c>
    </row>
    <row r="4755" spans="1:7" hidden="1" x14ac:dyDescent="0.25">
      <c r="A4755" t="s">
        <v>660</v>
      </c>
      <c r="B4755">
        <v>37423</v>
      </c>
      <c r="C4755" t="s">
        <v>5425</v>
      </c>
      <c r="D4755" t="s">
        <v>226</v>
      </c>
      <c r="E4755" t="s">
        <v>659</v>
      </c>
      <c r="F4755">
        <v>17.8</v>
      </c>
      <c r="G4755">
        <v>11.11</v>
      </c>
    </row>
    <row r="4756" spans="1:7" hidden="1" x14ac:dyDescent="0.25">
      <c r="A4756" t="s">
        <v>660</v>
      </c>
      <c r="B4756">
        <v>9892</v>
      </c>
      <c r="C4756" t="s">
        <v>5426</v>
      </c>
      <c r="D4756" t="s">
        <v>226</v>
      </c>
      <c r="E4756" t="s">
        <v>659</v>
      </c>
      <c r="F4756">
        <v>6.9</v>
      </c>
      <c r="G4756">
        <v>7.06</v>
      </c>
    </row>
    <row r="4757" spans="1:7" hidden="1" x14ac:dyDescent="0.25">
      <c r="A4757" t="s">
        <v>660</v>
      </c>
      <c r="B4757">
        <v>9901</v>
      </c>
      <c r="C4757" t="s">
        <v>5427</v>
      </c>
      <c r="D4757" t="s">
        <v>226</v>
      </c>
      <c r="E4757" t="s">
        <v>659</v>
      </c>
      <c r="F4757">
        <v>33.369999999999997</v>
      </c>
      <c r="G4757">
        <v>34.159999999999997</v>
      </c>
    </row>
    <row r="4758" spans="1:7" hidden="1" x14ac:dyDescent="0.25">
      <c r="A4758" t="s">
        <v>660</v>
      </c>
      <c r="B4758">
        <v>9900</v>
      </c>
      <c r="C4758" t="s">
        <v>5428</v>
      </c>
      <c r="D4758" t="s">
        <v>226</v>
      </c>
      <c r="E4758" t="s">
        <v>659</v>
      </c>
      <c r="F4758">
        <v>19.329999999999998</v>
      </c>
      <c r="G4758">
        <v>19.79</v>
      </c>
    </row>
    <row r="4759" spans="1:7" hidden="1" x14ac:dyDescent="0.25">
      <c r="A4759" t="s">
        <v>660</v>
      </c>
      <c r="B4759">
        <v>9899</v>
      </c>
      <c r="C4759" t="s">
        <v>5429</v>
      </c>
      <c r="D4759" t="s">
        <v>226</v>
      </c>
      <c r="E4759" t="s">
        <v>659</v>
      </c>
      <c r="F4759">
        <v>8.67</v>
      </c>
      <c r="G4759">
        <v>8.8699999999999992</v>
      </c>
    </row>
    <row r="4760" spans="1:7" hidden="1" x14ac:dyDescent="0.25">
      <c r="A4760" t="s">
        <v>660</v>
      </c>
      <c r="B4760">
        <v>9908</v>
      </c>
      <c r="C4760" t="s">
        <v>5430</v>
      </c>
      <c r="D4760" t="s">
        <v>226</v>
      </c>
      <c r="E4760" t="s">
        <v>659</v>
      </c>
      <c r="F4760">
        <v>389.79</v>
      </c>
      <c r="G4760">
        <v>398.96</v>
      </c>
    </row>
    <row r="4761" spans="1:7" hidden="1" x14ac:dyDescent="0.25">
      <c r="A4761" t="s">
        <v>660</v>
      </c>
      <c r="B4761">
        <v>9905</v>
      </c>
      <c r="C4761" t="s">
        <v>5431</v>
      </c>
      <c r="D4761" t="s">
        <v>226</v>
      </c>
      <c r="E4761" t="s">
        <v>659</v>
      </c>
      <c r="F4761">
        <v>6.78</v>
      </c>
      <c r="G4761">
        <v>6.94</v>
      </c>
    </row>
    <row r="4762" spans="1:7" hidden="1" x14ac:dyDescent="0.25">
      <c r="A4762" t="s">
        <v>660</v>
      </c>
      <c r="B4762">
        <v>9906</v>
      </c>
      <c r="C4762" t="s">
        <v>5432</v>
      </c>
      <c r="D4762" t="s">
        <v>226</v>
      </c>
      <c r="E4762" t="s">
        <v>659</v>
      </c>
      <c r="F4762">
        <v>8.18</v>
      </c>
      <c r="G4762">
        <v>8.3699999999999992</v>
      </c>
    </row>
    <row r="4763" spans="1:7" hidden="1" x14ac:dyDescent="0.25">
      <c r="A4763" t="s">
        <v>660</v>
      </c>
      <c r="B4763">
        <v>9895</v>
      </c>
      <c r="C4763" t="s">
        <v>5433</v>
      </c>
      <c r="D4763" t="s">
        <v>226</v>
      </c>
      <c r="E4763" t="s">
        <v>659</v>
      </c>
      <c r="F4763">
        <v>13.77</v>
      </c>
      <c r="G4763">
        <v>14.09</v>
      </c>
    </row>
    <row r="4764" spans="1:7" hidden="1" x14ac:dyDescent="0.25">
      <c r="A4764" t="s">
        <v>660</v>
      </c>
      <c r="B4764">
        <v>9894</v>
      </c>
      <c r="C4764" t="s">
        <v>5434</v>
      </c>
      <c r="D4764" t="s">
        <v>226</v>
      </c>
      <c r="E4764" t="s">
        <v>659</v>
      </c>
      <c r="F4764">
        <v>26.48</v>
      </c>
      <c r="G4764">
        <v>27.11</v>
      </c>
    </row>
    <row r="4765" spans="1:7" hidden="1" x14ac:dyDescent="0.25">
      <c r="A4765" t="s">
        <v>660</v>
      </c>
      <c r="B4765">
        <v>9897</v>
      </c>
      <c r="C4765" t="s">
        <v>5435</v>
      </c>
      <c r="D4765" t="s">
        <v>226</v>
      </c>
      <c r="E4765" t="s">
        <v>659</v>
      </c>
      <c r="F4765">
        <v>28.28</v>
      </c>
      <c r="G4765">
        <v>28.94</v>
      </c>
    </row>
    <row r="4766" spans="1:7" hidden="1" x14ac:dyDescent="0.25">
      <c r="A4766" t="s">
        <v>660</v>
      </c>
      <c r="B4766">
        <v>9910</v>
      </c>
      <c r="C4766" t="s">
        <v>5436</v>
      </c>
      <c r="D4766" t="s">
        <v>226</v>
      </c>
      <c r="E4766" t="s">
        <v>659</v>
      </c>
      <c r="F4766">
        <v>73.569999999999993</v>
      </c>
      <c r="G4766">
        <v>75.31</v>
      </c>
    </row>
    <row r="4767" spans="1:7" hidden="1" x14ac:dyDescent="0.25">
      <c r="A4767" t="s">
        <v>660</v>
      </c>
      <c r="B4767">
        <v>9909</v>
      </c>
      <c r="C4767" t="s">
        <v>5437</v>
      </c>
      <c r="D4767" t="s">
        <v>226</v>
      </c>
      <c r="E4767" t="s">
        <v>659</v>
      </c>
      <c r="F4767">
        <v>149.84</v>
      </c>
      <c r="G4767">
        <v>153.37</v>
      </c>
    </row>
    <row r="4768" spans="1:7" hidden="1" x14ac:dyDescent="0.25">
      <c r="A4768" t="s">
        <v>660</v>
      </c>
      <c r="B4768">
        <v>9907</v>
      </c>
      <c r="C4768" t="s">
        <v>5438</v>
      </c>
      <c r="D4768" t="s">
        <v>226</v>
      </c>
      <c r="E4768" t="s">
        <v>659</v>
      </c>
      <c r="F4768">
        <v>176.92</v>
      </c>
      <c r="G4768">
        <v>181.08</v>
      </c>
    </row>
    <row r="4769" spans="1:7" hidden="1" x14ac:dyDescent="0.25">
      <c r="A4769" t="s">
        <v>660</v>
      </c>
      <c r="B4769">
        <v>20973</v>
      </c>
      <c r="C4769" t="s">
        <v>5439</v>
      </c>
      <c r="D4769" t="s">
        <v>226</v>
      </c>
      <c r="E4769" t="s">
        <v>659</v>
      </c>
      <c r="F4769">
        <v>94.92</v>
      </c>
      <c r="G4769">
        <v>202.1</v>
      </c>
    </row>
    <row r="4770" spans="1:7" hidden="1" x14ac:dyDescent="0.25">
      <c r="A4770" t="s">
        <v>660</v>
      </c>
      <c r="B4770">
        <v>20974</v>
      </c>
      <c r="C4770" t="s">
        <v>5440</v>
      </c>
      <c r="D4770" t="s">
        <v>226</v>
      </c>
      <c r="E4770" t="s">
        <v>659</v>
      </c>
      <c r="F4770">
        <v>135.80000000000001</v>
      </c>
      <c r="G4770">
        <v>289.14</v>
      </c>
    </row>
    <row r="4771" spans="1:7" hidden="1" x14ac:dyDescent="0.25">
      <c r="A4771" t="s">
        <v>660</v>
      </c>
      <c r="B4771">
        <v>37989</v>
      </c>
      <c r="C4771" t="s">
        <v>5441</v>
      </c>
      <c r="D4771" t="s">
        <v>226</v>
      </c>
      <c r="E4771" t="s">
        <v>659</v>
      </c>
      <c r="F4771">
        <v>16.309999999999999</v>
      </c>
      <c r="G4771">
        <v>15.57</v>
      </c>
    </row>
    <row r="4772" spans="1:7" hidden="1" x14ac:dyDescent="0.25">
      <c r="A4772" t="s">
        <v>660</v>
      </c>
      <c r="B4772">
        <v>37990</v>
      </c>
      <c r="C4772" t="s">
        <v>5442</v>
      </c>
      <c r="D4772" t="s">
        <v>226</v>
      </c>
      <c r="E4772" t="s">
        <v>659</v>
      </c>
      <c r="F4772">
        <v>17.98</v>
      </c>
      <c r="G4772">
        <v>17.170000000000002</v>
      </c>
    </row>
    <row r="4773" spans="1:7" hidden="1" x14ac:dyDescent="0.25">
      <c r="A4773" t="s">
        <v>660</v>
      </c>
      <c r="B4773">
        <v>37991</v>
      </c>
      <c r="C4773" t="s">
        <v>5443</v>
      </c>
      <c r="D4773" t="s">
        <v>226</v>
      </c>
      <c r="E4773" t="s">
        <v>659</v>
      </c>
      <c r="F4773">
        <v>23.94</v>
      </c>
      <c r="G4773">
        <v>22.85</v>
      </c>
    </row>
    <row r="4774" spans="1:7" hidden="1" x14ac:dyDescent="0.25">
      <c r="A4774" t="s">
        <v>660</v>
      </c>
      <c r="B4774">
        <v>37992</v>
      </c>
      <c r="C4774" t="s">
        <v>5444</v>
      </c>
      <c r="D4774" t="s">
        <v>226</v>
      </c>
      <c r="E4774" t="s">
        <v>659</v>
      </c>
      <c r="F4774">
        <v>37.14</v>
      </c>
      <c r="G4774">
        <v>35.46</v>
      </c>
    </row>
    <row r="4775" spans="1:7" hidden="1" x14ac:dyDescent="0.25">
      <c r="A4775" t="s">
        <v>660</v>
      </c>
      <c r="B4775">
        <v>37993</v>
      </c>
      <c r="C4775" t="s">
        <v>5445</v>
      </c>
      <c r="D4775" t="s">
        <v>226</v>
      </c>
      <c r="E4775" t="s">
        <v>659</v>
      </c>
      <c r="F4775">
        <v>56.36</v>
      </c>
      <c r="G4775">
        <v>53.8</v>
      </c>
    </row>
    <row r="4776" spans="1:7" hidden="1" x14ac:dyDescent="0.25">
      <c r="A4776" t="s">
        <v>660</v>
      </c>
      <c r="B4776">
        <v>37994</v>
      </c>
      <c r="C4776" t="s">
        <v>5446</v>
      </c>
      <c r="D4776" t="s">
        <v>226</v>
      </c>
      <c r="E4776" t="s">
        <v>659</v>
      </c>
      <c r="F4776">
        <v>134.19999999999999</v>
      </c>
      <c r="G4776">
        <v>128.11000000000001</v>
      </c>
    </row>
    <row r="4777" spans="1:7" hidden="1" x14ac:dyDescent="0.25">
      <c r="A4777" t="s">
        <v>660</v>
      </c>
      <c r="B4777">
        <v>37995</v>
      </c>
      <c r="C4777" t="s">
        <v>5447</v>
      </c>
      <c r="D4777" t="s">
        <v>226</v>
      </c>
      <c r="E4777" t="s">
        <v>659</v>
      </c>
      <c r="F4777">
        <v>174.92</v>
      </c>
      <c r="G4777">
        <v>166.99</v>
      </c>
    </row>
    <row r="4778" spans="1:7" hidden="1" x14ac:dyDescent="0.25">
      <c r="A4778" t="s">
        <v>660</v>
      </c>
      <c r="B4778">
        <v>37996</v>
      </c>
      <c r="C4778" t="s">
        <v>5448</v>
      </c>
      <c r="D4778" t="s">
        <v>226</v>
      </c>
      <c r="E4778" t="s">
        <v>659</v>
      </c>
      <c r="F4778">
        <v>266.35000000000002</v>
      </c>
      <c r="G4778">
        <v>254.28</v>
      </c>
    </row>
    <row r="4779" spans="1:7" x14ac:dyDescent="0.25">
      <c r="A4779" t="s">
        <v>660</v>
      </c>
      <c r="B4779">
        <v>45267</v>
      </c>
      <c r="C4779" t="s">
        <v>5449</v>
      </c>
      <c r="D4779" t="s">
        <v>226</v>
      </c>
      <c r="E4779" t="s">
        <v>659</v>
      </c>
      <c r="F4779">
        <v>177.17</v>
      </c>
      <c r="G4779">
        <v>198.42</v>
      </c>
    </row>
    <row r="4780" spans="1:7" hidden="1" x14ac:dyDescent="0.25">
      <c r="A4780" t="s">
        <v>842</v>
      </c>
      <c r="B4780">
        <v>13883</v>
      </c>
      <c r="C4780" t="s">
        <v>5450</v>
      </c>
      <c r="D4780" t="s">
        <v>226</v>
      </c>
      <c r="E4780" t="s">
        <v>659</v>
      </c>
      <c r="F4780">
        <f t="shared" ref="F4780:F4790" si="45">G4780</f>
        <v>161683.64000000001</v>
      </c>
      <c r="G4780" s="538">
        <v>161683.64000000001</v>
      </c>
    </row>
    <row r="4781" spans="1:7" hidden="1" x14ac:dyDescent="0.25">
      <c r="A4781" t="s">
        <v>842</v>
      </c>
      <c r="B4781">
        <v>38604</v>
      </c>
      <c r="C4781" t="s">
        <v>5451</v>
      </c>
      <c r="D4781" t="s">
        <v>226</v>
      </c>
      <c r="E4781" t="s">
        <v>659</v>
      </c>
      <c r="F4781">
        <f t="shared" si="45"/>
        <v>201374.82</v>
      </c>
      <c r="G4781" s="538">
        <v>201374.82</v>
      </c>
    </row>
    <row r="4782" spans="1:7" hidden="1" x14ac:dyDescent="0.25">
      <c r="A4782" t="s">
        <v>842</v>
      </c>
      <c r="B4782">
        <v>10601</v>
      </c>
      <c r="C4782" t="s">
        <v>5452</v>
      </c>
      <c r="D4782" t="s">
        <v>226</v>
      </c>
      <c r="E4782" t="s">
        <v>659</v>
      </c>
      <c r="F4782">
        <f t="shared" si="45"/>
        <v>3917142.05</v>
      </c>
      <c r="G4782" s="538">
        <v>3917142.05</v>
      </c>
    </row>
    <row r="4783" spans="1:7" hidden="1" x14ac:dyDescent="0.25">
      <c r="A4783" t="s">
        <v>842</v>
      </c>
      <c r="B4783">
        <v>44469</v>
      </c>
      <c r="C4783" t="s">
        <v>5453</v>
      </c>
      <c r="D4783" t="s">
        <v>226</v>
      </c>
      <c r="E4783" t="s">
        <v>659</v>
      </c>
      <c r="F4783">
        <f t="shared" si="45"/>
        <v>10313696.779999999</v>
      </c>
      <c r="G4783" s="538">
        <v>10313696.779999999</v>
      </c>
    </row>
    <row r="4784" spans="1:7" hidden="1" x14ac:dyDescent="0.25">
      <c r="A4784" t="s">
        <v>842</v>
      </c>
      <c r="B4784">
        <v>13894</v>
      </c>
      <c r="C4784" t="s">
        <v>5454</v>
      </c>
      <c r="D4784" t="s">
        <v>226</v>
      </c>
      <c r="E4784" t="s">
        <v>659</v>
      </c>
      <c r="F4784">
        <f t="shared" si="45"/>
        <v>399604.75</v>
      </c>
      <c r="G4784" s="538">
        <v>399604.75</v>
      </c>
    </row>
    <row r="4785" spans="1:7" hidden="1" x14ac:dyDescent="0.25">
      <c r="A4785" t="s">
        <v>842</v>
      </c>
      <c r="B4785">
        <v>13895</v>
      </c>
      <c r="C4785" t="s">
        <v>5455</v>
      </c>
      <c r="D4785" t="s">
        <v>226</v>
      </c>
      <c r="E4785" t="s">
        <v>659</v>
      </c>
      <c r="F4785">
        <f t="shared" si="45"/>
        <v>537335.18000000005</v>
      </c>
      <c r="G4785" s="538">
        <v>537335.18000000005</v>
      </c>
    </row>
    <row r="4786" spans="1:7" hidden="1" x14ac:dyDescent="0.25">
      <c r="A4786" t="s">
        <v>842</v>
      </c>
      <c r="B4786">
        <v>13892</v>
      </c>
      <c r="C4786" t="s">
        <v>5456</v>
      </c>
      <c r="D4786" t="s">
        <v>226</v>
      </c>
      <c r="E4786" t="s">
        <v>659</v>
      </c>
      <c r="F4786">
        <f t="shared" si="45"/>
        <v>658491.12</v>
      </c>
      <c r="G4786" s="538">
        <v>658491.12</v>
      </c>
    </row>
    <row r="4787" spans="1:7" hidden="1" x14ac:dyDescent="0.25">
      <c r="A4787" t="s">
        <v>842</v>
      </c>
      <c r="B4787">
        <v>9914</v>
      </c>
      <c r="C4787" t="s">
        <v>5457</v>
      </c>
      <c r="D4787" t="s">
        <v>226</v>
      </c>
      <c r="E4787" t="s">
        <v>172</v>
      </c>
      <c r="F4787">
        <f t="shared" si="45"/>
        <v>712400</v>
      </c>
      <c r="G4787" s="538">
        <v>712400</v>
      </c>
    </row>
    <row r="4788" spans="1:7" hidden="1" x14ac:dyDescent="0.25">
      <c r="A4788" t="s">
        <v>842</v>
      </c>
      <c r="B4788">
        <v>36485</v>
      </c>
      <c r="C4788" t="s">
        <v>5458</v>
      </c>
      <c r="D4788" t="s">
        <v>226</v>
      </c>
      <c r="E4788" t="s">
        <v>659</v>
      </c>
      <c r="F4788">
        <f t="shared" si="45"/>
        <v>805286.77</v>
      </c>
      <c r="G4788" s="538">
        <v>805286.77</v>
      </c>
    </row>
    <row r="4789" spans="1:7" hidden="1" x14ac:dyDescent="0.25">
      <c r="A4789" t="s">
        <v>842</v>
      </c>
      <c r="B4789">
        <v>9912</v>
      </c>
      <c r="C4789" t="s">
        <v>5459</v>
      </c>
      <c r="D4789" t="s">
        <v>226</v>
      </c>
      <c r="E4789" t="s">
        <v>172</v>
      </c>
      <c r="F4789">
        <f t="shared" si="45"/>
        <v>3188995</v>
      </c>
      <c r="G4789" s="538">
        <v>3188995</v>
      </c>
    </row>
    <row r="4790" spans="1:7" x14ac:dyDescent="0.25">
      <c r="A4790" t="s">
        <v>842</v>
      </c>
      <c r="B4790">
        <v>9921</v>
      </c>
      <c r="C4790" t="s">
        <v>5460</v>
      </c>
      <c r="D4790" t="s">
        <v>226</v>
      </c>
      <c r="E4790" t="s">
        <v>659</v>
      </c>
      <c r="F4790">
        <f t="shared" si="45"/>
        <v>1645034.46</v>
      </c>
      <c r="G4790" s="538">
        <v>1645034.46</v>
      </c>
    </row>
    <row r="4791" spans="1:7" hidden="1" x14ac:dyDescent="0.25">
      <c r="A4791" t="s">
        <v>660</v>
      </c>
      <c r="B4791">
        <v>21112</v>
      </c>
      <c r="C4791" t="s">
        <v>5461</v>
      </c>
      <c r="D4791" t="s">
        <v>226</v>
      </c>
      <c r="E4791" t="s">
        <v>659</v>
      </c>
      <c r="F4791">
        <v>300.51</v>
      </c>
      <c r="G4791">
        <v>328.42</v>
      </c>
    </row>
    <row r="4792" spans="1:7" hidden="1" x14ac:dyDescent="0.25">
      <c r="A4792" t="s">
        <v>660</v>
      </c>
      <c r="B4792">
        <v>10228</v>
      </c>
      <c r="C4792" t="s">
        <v>5462</v>
      </c>
      <c r="D4792" t="s">
        <v>226</v>
      </c>
      <c r="E4792" t="s">
        <v>172</v>
      </c>
      <c r="F4792">
        <v>349.1</v>
      </c>
      <c r="G4792">
        <v>381.53</v>
      </c>
    </row>
    <row r="4793" spans="1:7" hidden="1" x14ac:dyDescent="0.25">
      <c r="A4793" t="s">
        <v>660</v>
      </c>
      <c r="B4793">
        <v>11781</v>
      </c>
      <c r="C4793" t="s">
        <v>5463</v>
      </c>
      <c r="D4793" t="s">
        <v>226</v>
      </c>
      <c r="E4793" t="s">
        <v>659</v>
      </c>
      <c r="F4793">
        <v>282.81</v>
      </c>
      <c r="G4793">
        <v>309.08</v>
      </c>
    </row>
    <row r="4794" spans="1:7" hidden="1" x14ac:dyDescent="0.25">
      <c r="A4794" t="s">
        <v>660</v>
      </c>
      <c r="B4794">
        <v>37588</v>
      </c>
      <c r="C4794" t="s">
        <v>5464</v>
      </c>
      <c r="D4794" t="s">
        <v>226</v>
      </c>
      <c r="E4794" t="s">
        <v>659</v>
      </c>
      <c r="F4794">
        <v>76.709999999999994</v>
      </c>
      <c r="G4794">
        <v>60.98</v>
      </c>
    </row>
    <row r="4795" spans="1:7" hidden="1" x14ac:dyDescent="0.25">
      <c r="A4795" t="s">
        <v>660</v>
      </c>
      <c r="B4795">
        <v>11751</v>
      </c>
      <c r="C4795" t="s">
        <v>5465</v>
      </c>
      <c r="D4795" t="s">
        <v>226</v>
      </c>
      <c r="E4795" t="s">
        <v>659</v>
      </c>
      <c r="F4795">
        <v>224.18</v>
      </c>
      <c r="G4795">
        <v>98.31</v>
      </c>
    </row>
    <row r="4796" spans="1:7" hidden="1" x14ac:dyDescent="0.25">
      <c r="A4796" t="s">
        <v>660</v>
      </c>
      <c r="B4796">
        <v>11750</v>
      </c>
      <c r="C4796" t="s">
        <v>5466</v>
      </c>
      <c r="D4796" t="s">
        <v>226</v>
      </c>
      <c r="E4796" t="s">
        <v>659</v>
      </c>
      <c r="F4796">
        <v>186.04</v>
      </c>
      <c r="G4796">
        <v>81.58</v>
      </c>
    </row>
    <row r="4797" spans="1:7" hidden="1" x14ac:dyDescent="0.25">
      <c r="A4797" t="s">
        <v>660</v>
      </c>
      <c r="B4797">
        <v>11746</v>
      </c>
      <c r="C4797" t="s">
        <v>5467</v>
      </c>
      <c r="D4797" t="s">
        <v>226</v>
      </c>
      <c r="E4797" t="s">
        <v>659</v>
      </c>
      <c r="F4797">
        <v>124.82</v>
      </c>
      <c r="G4797">
        <v>54.74</v>
      </c>
    </row>
    <row r="4798" spans="1:7" hidden="1" x14ac:dyDescent="0.25">
      <c r="A4798" t="s">
        <v>660</v>
      </c>
      <c r="B4798">
        <v>11748</v>
      </c>
      <c r="C4798" t="s">
        <v>5468</v>
      </c>
      <c r="D4798" t="s">
        <v>226</v>
      </c>
      <c r="E4798" t="s">
        <v>659</v>
      </c>
      <c r="F4798">
        <v>80.099999999999994</v>
      </c>
      <c r="G4798">
        <v>35.119999999999997</v>
      </c>
    </row>
    <row r="4799" spans="1:7" hidden="1" x14ac:dyDescent="0.25">
      <c r="A4799" t="s">
        <v>660</v>
      </c>
      <c r="B4799">
        <v>11747</v>
      </c>
      <c r="C4799" t="s">
        <v>5469</v>
      </c>
      <c r="D4799" t="s">
        <v>226</v>
      </c>
      <c r="E4799" t="s">
        <v>659</v>
      </c>
      <c r="F4799">
        <v>345.68</v>
      </c>
      <c r="G4799">
        <v>151.6</v>
      </c>
    </row>
    <row r="4800" spans="1:7" hidden="1" x14ac:dyDescent="0.25">
      <c r="A4800" t="s">
        <v>660</v>
      </c>
      <c r="B4800">
        <v>11749</v>
      </c>
      <c r="C4800" t="s">
        <v>5470</v>
      </c>
      <c r="D4800" t="s">
        <v>226</v>
      </c>
      <c r="E4800" t="s">
        <v>659</v>
      </c>
      <c r="F4800">
        <v>92.46</v>
      </c>
      <c r="G4800">
        <v>40.54</v>
      </c>
    </row>
    <row r="4801" spans="1:7" hidden="1" x14ac:dyDescent="0.25">
      <c r="A4801" t="s">
        <v>660</v>
      </c>
      <c r="B4801">
        <v>10236</v>
      </c>
      <c r="C4801" t="s">
        <v>5471</v>
      </c>
      <c r="D4801" t="s">
        <v>226</v>
      </c>
      <c r="E4801" t="s">
        <v>659</v>
      </c>
      <c r="F4801">
        <v>147.97999999999999</v>
      </c>
      <c r="G4801">
        <v>164.56</v>
      </c>
    </row>
    <row r="4802" spans="1:7" hidden="1" x14ac:dyDescent="0.25">
      <c r="A4802" t="s">
        <v>660</v>
      </c>
      <c r="B4802">
        <v>10233</v>
      </c>
      <c r="C4802" t="s">
        <v>5472</v>
      </c>
      <c r="D4802" t="s">
        <v>226</v>
      </c>
      <c r="E4802" t="s">
        <v>659</v>
      </c>
      <c r="F4802">
        <v>138.66999999999999</v>
      </c>
      <c r="G4802">
        <v>154.21</v>
      </c>
    </row>
    <row r="4803" spans="1:7" hidden="1" x14ac:dyDescent="0.25">
      <c r="A4803" t="s">
        <v>660</v>
      </c>
      <c r="B4803">
        <v>10234</v>
      </c>
      <c r="C4803" t="s">
        <v>5473</v>
      </c>
      <c r="D4803" t="s">
        <v>226</v>
      </c>
      <c r="E4803" t="s">
        <v>659</v>
      </c>
      <c r="F4803">
        <v>87.35</v>
      </c>
      <c r="G4803">
        <v>97.14</v>
      </c>
    </row>
    <row r="4804" spans="1:7" hidden="1" x14ac:dyDescent="0.25">
      <c r="A4804" t="s">
        <v>660</v>
      </c>
      <c r="B4804">
        <v>10231</v>
      </c>
      <c r="C4804" t="s">
        <v>5474</v>
      </c>
      <c r="D4804" t="s">
        <v>226</v>
      </c>
      <c r="E4804" t="s">
        <v>659</v>
      </c>
      <c r="F4804">
        <v>400.58</v>
      </c>
      <c r="G4804">
        <v>445.45</v>
      </c>
    </row>
    <row r="4805" spans="1:7" hidden="1" x14ac:dyDescent="0.25">
      <c r="A4805" t="s">
        <v>660</v>
      </c>
      <c r="B4805">
        <v>10232</v>
      </c>
      <c r="C4805" t="s">
        <v>5475</v>
      </c>
      <c r="D4805" t="s">
        <v>226</v>
      </c>
      <c r="E4805" t="s">
        <v>659</v>
      </c>
      <c r="F4805">
        <v>224.15</v>
      </c>
      <c r="G4805">
        <v>249.26</v>
      </c>
    </row>
    <row r="4806" spans="1:7" hidden="1" x14ac:dyDescent="0.25">
      <c r="A4806" t="s">
        <v>660</v>
      </c>
      <c r="B4806">
        <v>10235</v>
      </c>
      <c r="C4806" t="s">
        <v>5476</v>
      </c>
      <c r="D4806" t="s">
        <v>226</v>
      </c>
      <c r="E4806" t="s">
        <v>659</v>
      </c>
      <c r="F4806">
        <v>549.14</v>
      </c>
      <c r="G4806">
        <v>610.66</v>
      </c>
    </row>
    <row r="4807" spans="1:7" hidden="1" x14ac:dyDescent="0.25">
      <c r="A4807" t="s">
        <v>660</v>
      </c>
      <c r="B4807">
        <v>10229</v>
      </c>
      <c r="C4807" t="s">
        <v>5477</v>
      </c>
      <c r="D4807" t="s">
        <v>226</v>
      </c>
      <c r="E4807" t="s">
        <v>172</v>
      </c>
      <c r="F4807">
        <v>79</v>
      </c>
      <c r="G4807">
        <v>87.85</v>
      </c>
    </row>
    <row r="4808" spans="1:7" hidden="1" x14ac:dyDescent="0.25">
      <c r="A4808" t="s">
        <v>660</v>
      </c>
      <c r="B4808">
        <v>10230</v>
      </c>
      <c r="C4808" t="s">
        <v>5478</v>
      </c>
      <c r="D4808" t="s">
        <v>226</v>
      </c>
      <c r="E4808" t="s">
        <v>659</v>
      </c>
      <c r="F4808">
        <v>966.44</v>
      </c>
      <c r="G4808" s="538">
        <v>1074.71</v>
      </c>
    </row>
    <row r="4809" spans="1:7" hidden="1" x14ac:dyDescent="0.25">
      <c r="A4809" t="s">
        <v>660</v>
      </c>
      <c r="B4809">
        <v>10409</v>
      </c>
      <c r="C4809" t="s">
        <v>5479</v>
      </c>
      <c r="D4809" t="s">
        <v>226</v>
      </c>
      <c r="E4809" t="s">
        <v>659</v>
      </c>
      <c r="F4809">
        <v>287.12</v>
      </c>
      <c r="G4809">
        <v>319.27999999999997</v>
      </c>
    </row>
    <row r="4810" spans="1:7" hidden="1" x14ac:dyDescent="0.25">
      <c r="A4810" t="s">
        <v>660</v>
      </c>
      <c r="B4810">
        <v>10411</v>
      </c>
      <c r="C4810" t="s">
        <v>5480</v>
      </c>
      <c r="D4810" t="s">
        <v>226</v>
      </c>
      <c r="E4810" t="s">
        <v>659</v>
      </c>
      <c r="F4810">
        <v>256.92</v>
      </c>
      <c r="G4810">
        <v>285.7</v>
      </c>
    </row>
    <row r="4811" spans="1:7" hidden="1" x14ac:dyDescent="0.25">
      <c r="A4811" t="s">
        <v>660</v>
      </c>
      <c r="B4811">
        <v>10410</v>
      </c>
      <c r="C4811" t="s">
        <v>5481</v>
      </c>
      <c r="D4811" t="s">
        <v>226</v>
      </c>
      <c r="E4811" t="s">
        <v>659</v>
      </c>
      <c r="F4811">
        <v>171.62</v>
      </c>
      <c r="G4811">
        <v>190.84</v>
      </c>
    </row>
    <row r="4812" spans="1:7" hidden="1" x14ac:dyDescent="0.25">
      <c r="A4812" t="s">
        <v>660</v>
      </c>
      <c r="B4812">
        <v>10404</v>
      </c>
      <c r="C4812" t="s">
        <v>5482</v>
      </c>
      <c r="D4812" t="s">
        <v>226</v>
      </c>
      <c r="E4812" t="s">
        <v>659</v>
      </c>
      <c r="F4812">
        <v>104.19</v>
      </c>
      <c r="G4812">
        <v>115.86</v>
      </c>
    </row>
    <row r="4813" spans="1:7" hidden="1" x14ac:dyDescent="0.25">
      <c r="A4813" t="s">
        <v>660</v>
      </c>
      <c r="B4813">
        <v>10405</v>
      </c>
      <c r="C4813" t="s">
        <v>5483</v>
      </c>
      <c r="D4813" t="s">
        <v>226</v>
      </c>
      <c r="E4813" t="s">
        <v>659</v>
      </c>
      <c r="F4813">
        <v>575.24</v>
      </c>
      <c r="G4813">
        <v>639.67999999999995</v>
      </c>
    </row>
    <row r="4814" spans="1:7" hidden="1" x14ac:dyDescent="0.25">
      <c r="A4814" t="s">
        <v>660</v>
      </c>
      <c r="B4814">
        <v>10408</v>
      </c>
      <c r="C4814" t="s">
        <v>5484</v>
      </c>
      <c r="D4814" t="s">
        <v>226</v>
      </c>
      <c r="E4814" t="s">
        <v>659</v>
      </c>
      <c r="F4814">
        <v>402.26</v>
      </c>
      <c r="G4814">
        <v>447.32</v>
      </c>
    </row>
    <row r="4815" spans="1:7" hidden="1" x14ac:dyDescent="0.25">
      <c r="A4815" t="s">
        <v>660</v>
      </c>
      <c r="B4815">
        <v>10406</v>
      </c>
      <c r="C4815" t="s">
        <v>5485</v>
      </c>
      <c r="D4815" t="s">
        <v>226</v>
      </c>
      <c r="E4815" t="s">
        <v>659</v>
      </c>
      <c r="F4815">
        <v>794.53</v>
      </c>
      <c r="G4815">
        <v>883.54</v>
      </c>
    </row>
    <row r="4816" spans="1:7" hidden="1" x14ac:dyDescent="0.25">
      <c r="A4816" t="s">
        <v>660</v>
      </c>
      <c r="B4816">
        <v>10412</v>
      </c>
      <c r="C4816" t="s">
        <v>5486</v>
      </c>
      <c r="D4816" t="s">
        <v>226</v>
      </c>
      <c r="E4816" t="s">
        <v>659</v>
      </c>
      <c r="F4816">
        <v>126.27</v>
      </c>
      <c r="G4816">
        <v>140.41</v>
      </c>
    </row>
    <row r="4817" spans="1:7" hidden="1" x14ac:dyDescent="0.25">
      <c r="A4817" t="s">
        <v>660</v>
      </c>
      <c r="B4817">
        <v>10407</v>
      </c>
      <c r="C4817" t="s">
        <v>5487</v>
      </c>
      <c r="D4817" t="s">
        <v>226</v>
      </c>
      <c r="E4817" t="s">
        <v>659</v>
      </c>
      <c r="F4817" s="538">
        <v>1232.32</v>
      </c>
      <c r="G4817" s="538">
        <v>1370.37</v>
      </c>
    </row>
    <row r="4818" spans="1:7" x14ac:dyDescent="0.25">
      <c r="A4818" t="s">
        <v>660</v>
      </c>
      <c r="B4818">
        <v>10416</v>
      </c>
      <c r="C4818" t="s">
        <v>5488</v>
      </c>
      <c r="D4818" t="s">
        <v>226</v>
      </c>
      <c r="E4818" t="s">
        <v>659</v>
      </c>
      <c r="F4818">
        <v>152.85</v>
      </c>
      <c r="G4818">
        <v>169.98</v>
      </c>
    </row>
    <row r="4819" spans="1:7" x14ac:dyDescent="0.25">
      <c r="A4819" t="s">
        <v>660</v>
      </c>
      <c r="B4819">
        <v>10419</v>
      </c>
      <c r="C4819" t="s">
        <v>5489</v>
      </c>
      <c r="D4819" t="s">
        <v>226</v>
      </c>
      <c r="E4819" t="s">
        <v>659</v>
      </c>
      <c r="F4819">
        <v>132.68</v>
      </c>
      <c r="G4819">
        <v>147.54</v>
      </c>
    </row>
    <row r="4820" spans="1:7" x14ac:dyDescent="0.25">
      <c r="A4820" t="s">
        <v>660</v>
      </c>
      <c r="B4820">
        <v>10418</v>
      </c>
      <c r="C4820" t="s">
        <v>5490</v>
      </c>
      <c r="D4820" t="s">
        <v>226</v>
      </c>
      <c r="E4820" t="s">
        <v>659</v>
      </c>
      <c r="F4820">
        <v>88.44</v>
      </c>
      <c r="G4820">
        <v>98.35</v>
      </c>
    </row>
    <row r="4821" spans="1:7" x14ac:dyDescent="0.25">
      <c r="A4821" t="s">
        <v>660</v>
      </c>
      <c r="B4821">
        <v>21092</v>
      </c>
      <c r="C4821" t="s">
        <v>5491</v>
      </c>
      <c r="D4821" t="s">
        <v>226</v>
      </c>
      <c r="E4821" t="s">
        <v>659</v>
      </c>
      <c r="F4821">
        <v>75.849999999999994</v>
      </c>
      <c r="G4821">
        <v>84.35</v>
      </c>
    </row>
    <row r="4822" spans="1:7" x14ac:dyDescent="0.25">
      <c r="A4822" t="s">
        <v>660</v>
      </c>
      <c r="B4822">
        <v>12657</v>
      </c>
      <c r="C4822" t="s">
        <v>5492</v>
      </c>
      <c r="D4822" t="s">
        <v>226</v>
      </c>
      <c r="E4822" t="s">
        <v>659</v>
      </c>
      <c r="F4822">
        <v>356.88</v>
      </c>
      <c r="G4822">
        <v>396.86</v>
      </c>
    </row>
    <row r="4823" spans="1:7" x14ac:dyDescent="0.25">
      <c r="A4823" t="s">
        <v>660</v>
      </c>
      <c r="B4823">
        <v>10417</v>
      </c>
      <c r="C4823" t="s">
        <v>5493</v>
      </c>
      <c r="D4823" t="s">
        <v>226</v>
      </c>
      <c r="E4823" t="s">
        <v>659</v>
      </c>
      <c r="F4823">
        <v>222.72</v>
      </c>
      <c r="G4823">
        <v>247.67</v>
      </c>
    </row>
    <row r="4824" spans="1:7" x14ac:dyDescent="0.25">
      <c r="A4824" t="s">
        <v>660</v>
      </c>
      <c r="B4824">
        <v>10414</v>
      </c>
      <c r="C4824" t="s">
        <v>5494</v>
      </c>
      <c r="D4824" t="s">
        <v>226</v>
      </c>
      <c r="E4824" t="s">
        <v>659</v>
      </c>
      <c r="F4824">
        <v>487.35</v>
      </c>
      <c r="G4824">
        <v>541.94000000000005</v>
      </c>
    </row>
    <row r="4825" spans="1:7" x14ac:dyDescent="0.25">
      <c r="A4825" t="s">
        <v>660</v>
      </c>
      <c r="B4825">
        <v>10413</v>
      </c>
      <c r="C4825" t="s">
        <v>5495</v>
      </c>
      <c r="D4825" t="s">
        <v>226</v>
      </c>
      <c r="E4825" t="s">
        <v>659</v>
      </c>
      <c r="F4825">
        <v>80.94</v>
      </c>
      <c r="G4825">
        <v>90.01</v>
      </c>
    </row>
    <row r="4826" spans="1:7" x14ac:dyDescent="0.25">
      <c r="A4826" t="s">
        <v>660</v>
      </c>
      <c r="B4826">
        <v>10415</v>
      </c>
      <c r="C4826" t="s">
        <v>5496</v>
      </c>
      <c r="D4826" t="s">
        <v>226</v>
      </c>
      <c r="E4826" t="s">
        <v>659</v>
      </c>
      <c r="F4826">
        <v>845.82</v>
      </c>
      <c r="G4826">
        <v>940.58</v>
      </c>
    </row>
    <row r="4827" spans="1:7" hidden="1" x14ac:dyDescent="0.25">
      <c r="A4827" t="s">
        <v>660</v>
      </c>
      <c r="B4827">
        <v>38643</v>
      </c>
      <c r="C4827" t="s">
        <v>5497</v>
      </c>
      <c r="D4827" t="s">
        <v>226</v>
      </c>
      <c r="E4827" t="s">
        <v>659</v>
      </c>
      <c r="F4827">
        <v>60.96</v>
      </c>
      <c r="G4827">
        <v>48.46</v>
      </c>
    </row>
    <row r="4828" spans="1:7" hidden="1" x14ac:dyDescent="0.25">
      <c r="A4828" t="s">
        <v>660</v>
      </c>
      <c r="B4828">
        <v>6157</v>
      </c>
      <c r="C4828" t="s">
        <v>5498</v>
      </c>
      <c r="D4828" t="s">
        <v>226</v>
      </c>
      <c r="E4828" t="s">
        <v>659</v>
      </c>
      <c r="F4828">
        <v>83.28</v>
      </c>
      <c r="G4828">
        <v>66.2</v>
      </c>
    </row>
    <row r="4829" spans="1:7" hidden="1" x14ac:dyDescent="0.25">
      <c r="A4829" t="s">
        <v>660</v>
      </c>
      <c r="B4829">
        <v>6158</v>
      </c>
      <c r="C4829" t="s">
        <v>5499</v>
      </c>
      <c r="D4829" t="s">
        <v>226</v>
      </c>
      <c r="E4829" t="s">
        <v>659</v>
      </c>
      <c r="F4829">
        <v>8.7100000000000009</v>
      </c>
      <c r="G4829">
        <v>9.31</v>
      </c>
    </row>
    <row r="4830" spans="1:7" hidden="1" x14ac:dyDescent="0.25">
      <c r="A4830" t="s">
        <v>660</v>
      </c>
      <c r="B4830">
        <v>6156</v>
      </c>
      <c r="C4830" t="s">
        <v>5500</v>
      </c>
      <c r="D4830" t="s">
        <v>226</v>
      </c>
      <c r="E4830" t="s">
        <v>659</v>
      </c>
      <c r="F4830">
        <v>7.47</v>
      </c>
      <c r="G4830">
        <v>7.99</v>
      </c>
    </row>
    <row r="4831" spans="1:7" hidden="1" x14ac:dyDescent="0.25">
      <c r="A4831" t="s">
        <v>660</v>
      </c>
      <c r="B4831">
        <v>6153</v>
      </c>
      <c r="C4831" t="s">
        <v>5501</v>
      </c>
      <c r="D4831" t="s">
        <v>226</v>
      </c>
      <c r="E4831" t="s">
        <v>659</v>
      </c>
      <c r="F4831">
        <v>6</v>
      </c>
      <c r="G4831">
        <v>6.41</v>
      </c>
    </row>
    <row r="4832" spans="1:7" hidden="1" x14ac:dyDescent="0.25">
      <c r="A4832" t="s">
        <v>660</v>
      </c>
      <c r="B4832">
        <v>6154</v>
      </c>
      <c r="C4832" t="s">
        <v>5502</v>
      </c>
      <c r="D4832" t="s">
        <v>226</v>
      </c>
      <c r="E4832" t="s">
        <v>659</v>
      </c>
      <c r="F4832">
        <v>10.66</v>
      </c>
      <c r="G4832">
        <v>11.39</v>
      </c>
    </row>
    <row r="4833" spans="1:7" hidden="1" x14ac:dyDescent="0.25">
      <c r="A4833" t="s">
        <v>660</v>
      </c>
      <c r="B4833">
        <v>6155</v>
      </c>
      <c r="C4833" t="s">
        <v>5503</v>
      </c>
      <c r="D4833" t="s">
        <v>226</v>
      </c>
      <c r="E4833" t="s">
        <v>659</v>
      </c>
      <c r="F4833">
        <v>24.53</v>
      </c>
      <c r="G4833">
        <v>26.22</v>
      </c>
    </row>
    <row r="4834" spans="1:7" hidden="1" x14ac:dyDescent="0.25">
      <c r="A4834" t="s">
        <v>660</v>
      </c>
      <c r="B4834">
        <v>43595</v>
      </c>
      <c r="C4834" t="s">
        <v>5504</v>
      </c>
      <c r="D4834" t="s">
        <v>226</v>
      </c>
      <c r="E4834" t="s">
        <v>659</v>
      </c>
      <c r="F4834">
        <v>20.85</v>
      </c>
      <c r="G4834">
        <v>18.61</v>
      </c>
    </row>
    <row r="4835" spans="1:7" hidden="1" x14ac:dyDescent="0.25">
      <c r="A4835" t="s">
        <v>660</v>
      </c>
      <c r="B4835">
        <v>43596</v>
      </c>
      <c r="C4835" t="s">
        <v>5505</v>
      </c>
      <c r="D4835" t="s">
        <v>226</v>
      </c>
      <c r="E4835" t="s">
        <v>659</v>
      </c>
      <c r="F4835">
        <v>24.1</v>
      </c>
      <c r="G4835">
        <v>21.51</v>
      </c>
    </row>
    <row r="4836" spans="1:7" hidden="1" x14ac:dyDescent="0.25">
      <c r="A4836" t="s">
        <v>660</v>
      </c>
      <c r="B4836">
        <v>38108</v>
      </c>
      <c r="C4836" t="s">
        <v>5506</v>
      </c>
      <c r="D4836" t="s">
        <v>226</v>
      </c>
      <c r="E4836" t="s">
        <v>659</v>
      </c>
      <c r="F4836">
        <v>44.27</v>
      </c>
      <c r="G4836">
        <v>48.9</v>
      </c>
    </row>
    <row r="4837" spans="1:7" hidden="1" x14ac:dyDescent="0.25">
      <c r="A4837" t="s">
        <v>660</v>
      </c>
      <c r="B4837">
        <v>38087</v>
      </c>
      <c r="C4837" t="s">
        <v>5507</v>
      </c>
      <c r="D4837" t="s">
        <v>226</v>
      </c>
      <c r="E4837" t="s">
        <v>659</v>
      </c>
      <c r="F4837">
        <v>56.94</v>
      </c>
      <c r="G4837">
        <v>62.9</v>
      </c>
    </row>
    <row r="4838" spans="1:7" hidden="1" x14ac:dyDescent="0.25">
      <c r="A4838" t="s">
        <v>660</v>
      </c>
      <c r="B4838">
        <v>38109</v>
      </c>
      <c r="C4838" t="s">
        <v>5508</v>
      </c>
      <c r="D4838" t="s">
        <v>226</v>
      </c>
      <c r="E4838" t="s">
        <v>659</v>
      </c>
      <c r="F4838">
        <v>70.75</v>
      </c>
      <c r="G4838">
        <v>78.16</v>
      </c>
    </row>
    <row r="4839" spans="1:7" hidden="1" x14ac:dyDescent="0.25">
      <c r="A4839" t="s">
        <v>660</v>
      </c>
      <c r="B4839">
        <v>38088</v>
      </c>
      <c r="C4839" t="s">
        <v>5509</v>
      </c>
      <c r="D4839" t="s">
        <v>226</v>
      </c>
      <c r="E4839" t="s">
        <v>659</v>
      </c>
      <c r="F4839">
        <v>74.39</v>
      </c>
      <c r="G4839">
        <v>82.18</v>
      </c>
    </row>
    <row r="4840" spans="1:7" hidden="1" x14ac:dyDescent="0.25">
      <c r="A4840" t="s">
        <v>660</v>
      </c>
      <c r="B4840">
        <v>38110</v>
      </c>
      <c r="C4840" t="s">
        <v>5510</v>
      </c>
      <c r="D4840" t="s">
        <v>226</v>
      </c>
      <c r="E4840" t="s">
        <v>659</v>
      </c>
      <c r="F4840">
        <v>27.21</v>
      </c>
      <c r="G4840">
        <v>30.06</v>
      </c>
    </row>
    <row r="4841" spans="1:7" hidden="1" x14ac:dyDescent="0.25">
      <c r="A4841" t="s">
        <v>660</v>
      </c>
      <c r="B4841">
        <v>38089</v>
      </c>
      <c r="C4841" t="s">
        <v>5511</v>
      </c>
      <c r="D4841" t="s">
        <v>226</v>
      </c>
      <c r="E4841" t="s">
        <v>659</v>
      </c>
      <c r="F4841">
        <v>47.42</v>
      </c>
      <c r="G4841">
        <v>52.39</v>
      </c>
    </row>
    <row r="4842" spans="1:7" hidden="1" x14ac:dyDescent="0.25">
      <c r="A4842" t="s">
        <v>660</v>
      </c>
      <c r="B4842">
        <v>38111</v>
      </c>
      <c r="C4842" t="s">
        <v>5512</v>
      </c>
      <c r="D4842" t="s">
        <v>226</v>
      </c>
      <c r="E4842" t="s">
        <v>659</v>
      </c>
      <c r="F4842">
        <v>30.43</v>
      </c>
      <c r="G4842">
        <v>33.619999999999997</v>
      </c>
    </row>
    <row r="4843" spans="1:7" hidden="1" x14ac:dyDescent="0.25">
      <c r="A4843" t="s">
        <v>660</v>
      </c>
      <c r="B4843">
        <v>38090</v>
      </c>
      <c r="C4843" t="s">
        <v>5513</v>
      </c>
      <c r="D4843" t="s">
        <v>226</v>
      </c>
      <c r="E4843" t="s">
        <v>659</v>
      </c>
      <c r="F4843">
        <v>49.01</v>
      </c>
      <c r="G4843">
        <v>54.15</v>
      </c>
    </row>
    <row r="4844" spans="1:7" hidden="1" x14ac:dyDescent="0.25">
      <c r="A4844" t="s">
        <v>660</v>
      </c>
      <c r="B4844">
        <v>38400</v>
      </c>
      <c r="C4844" t="s">
        <v>5514</v>
      </c>
      <c r="D4844" t="s">
        <v>226</v>
      </c>
      <c r="E4844" t="s">
        <v>659</v>
      </c>
      <c r="F4844">
        <v>51.88</v>
      </c>
      <c r="G4844">
        <v>49.5</v>
      </c>
    </row>
    <row r="4845" spans="1:7" hidden="1" x14ac:dyDescent="0.25">
      <c r="A4845" t="s">
        <v>842</v>
      </c>
      <c r="B4845">
        <v>13726</v>
      </c>
      <c r="C4845" t="s">
        <v>5515</v>
      </c>
      <c r="D4845" t="s">
        <v>226</v>
      </c>
      <c r="E4845" t="s">
        <v>659</v>
      </c>
      <c r="F4845">
        <f>G4845</f>
        <v>66385.2</v>
      </c>
      <c r="G4845" s="538">
        <v>66385.2</v>
      </c>
    </row>
    <row r="4846" spans="1:7" x14ac:dyDescent="0.25">
      <c r="A4846" t="s">
        <v>660</v>
      </c>
      <c r="B4846">
        <v>12627</v>
      </c>
      <c r="C4846" t="s">
        <v>5516</v>
      </c>
      <c r="D4846" t="s">
        <v>226</v>
      </c>
      <c r="E4846" t="s">
        <v>659</v>
      </c>
      <c r="F4846">
        <v>1.35</v>
      </c>
      <c r="G4846">
        <v>1.39</v>
      </c>
    </row>
    <row r="4847" spans="1:7" hidden="1" x14ac:dyDescent="0.25">
      <c r="A4847" t="s">
        <v>660</v>
      </c>
      <c r="B4847">
        <v>39996</v>
      </c>
      <c r="C4847" t="s">
        <v>5517</v>
      </c>
      <c r="D4847" t="s">
        <v>704</v>
      </c>
      <c r="E4847" t="s">
        <v>659</v>
      </c>
      <c r="F4847">
        <v>3.65</v>
      </c>
      <c r="G4847">
        <v>3.45</v>
      </c>
    </row>
    <row r="4848" spans="1:7" hidden="1" x14ac:dyDescent="0.25">
      <c r="A4848" t="s">
        <v>660</v>
      </c>
      <c r="B4848">
        <v>10478</v>
      </c>
      <c r="C4848" t="s">
        <v>5518</v>
      </c>
      <c r="D4848" t="s">
        <v>710</v>
      </c>
      <c r="E4848" t="s">
        <v>172</v>
      </c>
      <c r="F4848">
        <v>43.96</v>
      </c>
      <c r="G4848">
        <v>41.1</v>
      </c>
    </row>
    <row r="4849" spans="1:7" hidden="1" x14ac:dyDescent="0.25">
      <c r="A4849" t="s">
        <v>660</v>
      </c>
      <c r="B4849">
        <v>10481</v>
      </c>
      <c r="C4849" t="s">
        <v>5519</v>
      </c>
      <c r="D4849" t="s">
        <v>710</v>
      </c>
      <c r="E4849" t="s">
        <v>659</v>
      </c>
      <c r="F4849">
        <v>39.090000000000003</v>
      </c>
      <c r="G4849">
        <v>36.549999999999997</v>
      </c>
    </row>
    <row r="4850" spans="1:7" hidden="1" x14ac:dyDescent="0.25">
      <c r="A4850" t="s">
        <v>660</v>
      </c>
      <c r="B4850">
        <v>10475</v>
      </c>
      <c r="C4850" t="s">
        <v>5520</v>
      </c>
      <c r="D4850" t="s">
        <v>710</v>
      </c>
      <c r="E4850" t="s">
        <v>659</v>
      </c>
      <c r="F4850">
        <v>37.83</v>
      </c>
      <c r="G4850">
        <v>35.369999999999997</v>
      </c>
    </row>
    <row r="4851" spans="1:7" hidden="1" x14ac:dyDescent="0.25">
      <c r="A4851" t="s">
        <v>660</v>
      </c>
      <c r="B4851">
        <v>4030</v>
      </c>
      <c r="C4851" t="s">
        <v>5521</v>
      </c>
      <c r="D4851" t="s">
        <v>498</v>
      </c>
      <c r="E4851" t="s">
        <v>659</v>
      </c>
      <c r="F4851">
        <v>6.75</v>
      </c>
      <c r="G4851">
        <v>7.38</v>
      </c>
    </row>
    <row r="4852" spans="1:7" hidden="1" x14ac:dyDescent="0.25">
      <c r="A4852" t="s">
        <v>660</v>
      </c>
      <c r="B4852">
        <v>4031</v>
      </c>
      <c r="C4852" t="s">
        <v>5522</v>
      </c>
      <c r="D4852" t="s">
        <v>498</v>
      </c>
      <c r="E4852" t="s">
        <v>659</v>
      </c>
      <c r="F4852">
        <v>31.73</v>
      </c>
      <c r="G4852">
        <v>34.71</v>
      </c>
    </row>
    <row r="4853" spans="1:7" hidden="1" x14ac:dyDescent="0.25">
      <c r="A4853" t="s">
        <v>842</v>
      </c>
      <c r="B4853">
        <v>39399</v>
      </c>
      <c r="C4853" t="s">
        <v>5523</v>
      </c>
      <c r="D4853" t="s">
        <v>226</v>
      </c>
      <c r="E4853" t="s">
        <v>659</v>
      </c>
      <c r="F4853">
        <f t="shared" ref="F4853:F4863" si="46">G4853</f>
        <v>1541.06</v>
      </c>
      <c r="G4853" s="538">
        <v>1541.06</v>
      </c>
    </row>
    <row r="4854" spans="1:7" hidden="1" x14ac:dyDescent="0.25">
      <c r="A4854" t="s">
        <v>842</v>
      </c>
      <c r="B4854">
        <v>39400</v>
      </c>
      <c r="C4854" t="s">
        <v>5524</v>
      </c>
      <c r="D4854" t="s">
        <v>226</v>
      </c>
      <c r="E4854" t="s">
        <v>659</v>
      </c>
      <c r="F4854">
        <f t="shared" si="46"/>
        <v>1675.06</v>
      </c>
      <c r="G4854" s="538">
        <v>1675.06</v>
      </c>
    </row>
    <row r="4855" spans="1:7" hidden="1" x14ac:dyDescent="0.25">
      <c r="A4855" t="s">
        <v>842</v>
      </c>
      <c r="B4855">
        <v>39401</v>
      </c>
      <c r="C4855" t="s">
        <v>5525</v>
      </c>
      <c r="D4855" t="s">
        <v>226</v>
      </c>
      <c r="E4855" t="s">
        <v>659</v>
      </c>
      <c r="F4855">
        <f t="shared" si="46"/>
        <v>1879.02</v>
      </c>
      <c r="G4855" s="538">
        <v>1879.02</v>
      </c>
    </row>
    <row r="4856" spans="1:7" hidden="1" x14ac:dyDescent="0.25">
      <c r="A4856" t="s">
        <v>842</v>
      </c>
      <c r="B4856">
        <v>11652</v>
      </c>
      <c r="C4856" t="s">
        <v>5526</v>
      </c>
      <c r="D4856" t="s">
        <v>226</v>
      </c>
      <c r="E4856" t="s">
        <v>172</v>
      </c>
      <c r="F4856">
        <f t="shared" si="46"/>
        <v>4042.5</v>
      </c>
      <c r="G4856" s="538">
        <v>4042.5</v>
      </c>
    </row>
    <row r="4857" spans="1:7" hidden="1" x14ac:dyDescent="0.25">
      <c r="A4857" t="s">
        <v>842</v>
      </c>
      <c r="B4857">
        <v>13475</v>
      </c>
      <c r="C4857" t="s">
        <v>5527</v>
      </c>
      <c r="D4857" t="s">
        <v>226</v>
      </c>
      <c r="E4857" t="s">
        <v>659</v>
      </c>
      <c r="F4857">
        <f t="shared" si="46"/>
        <v>4417.4799999999996</v>
      </c>
      <c r="G4857" s="538">
        <v>4417.4799999999996</v>
      </c>
    </row>
    <row r="4858" spans="1:7" hidden="1" x14ac:dyDescent="0.25">
      <c r="A4858" t="s">
        <v>842</v>
      </c>
      <c r="B4858">
        <v>13896</v>
      </c>
      <c r="C4858" t="s">
        <v>5528</v>
      </c>
      <c r="D4858" t="s">
        <v>226</v>
      </c>
      <c r="E4858" t="s">
        <v>659</v>
      </c>
      <c r="F4858">
        <f t="shared" si="46"/>
        <v>3626.47</v>
      </c>
      <c r="G4858" s="538">
        <v>3626.47</v>
      </c>
    </row>
    <row r="4859" spans="1:7" hidden="1" x14ac:dyDescent="0.25">
      <c r="A4859" t="s">
        <v>842</v>
      </c>
      <c r="B4859">
        <v>44470</v>
      </c>
      <c r="C4859" t="s">
        <v>5529</v>
      </c>
      <c r="D4859" t="s">
        <v>226</v>
      </c>
      <c r="E4859" t="s">
        <v>659</v>
      </c>
      <c r="F4859">
        <f t="shared" si="46"/>
        <v>1615059.56</v>
      </c>
      <c r="G4859" s="538">
        <v>1615059.56</v>
      </c>
    </row>
    <row r="4860" spans="1:7" hidden="1" x14ac:dyDescent="0.25">
      <c r="A4860" t="s">
        <v>842</v>
      </c>
      <c r="B4860">
        <v>13476</v>
      </c>
      <c r="C4860" t="s">
        <v>5530</v>
      </c>
      <c r="D4860" t="s">
        <v>226</v>
      </c>
      <c r="E4860" t="s">
        <v>659</v>
      </c>
      <c r="F4860">
        <f t="shared" si="46"/>
        <v>1626763</v>
      </c>
      <c r="G4860" s="538">
        <v>1626763</v>
      </c>
    </row>
    <row r="4861" spans="1:7" hidden="1" x14ac:dyDescent="0.25">
      <c r="A4861" t="s">
        <v>842</v>
      </c>
      <c r="B4861">
        <v>44491</v>
      </c>
      <c r="C4861" t="s">
        <v>5531</v>
      </c>
      <c r="D4861" t="s">
        <v>226</v>
      </c>
      <c r="E4861" t="s">
        <v>659</v>
      </c>
      <c r="F4861">
        <f t="shared" si="46"/>
        <v>3836351.74</v>
      </c>
      <c r="G4861" s="538">
        <v>3836351.74</v>
      </c>
    </row>
    <row r="4862" spans="1:7" hidden="1" x14ac:dyDescent="0.25">
      <c r="A4862" t="s">
        <v>842</v>
      </c>
      <c r="B4862">
        <v>10488</v>
      </c>
      <c r="C4862" t="s">
        <v>5532</v>
      </c>
      <c r="D4862" t="s">
        <v>226</v>
      </c>
      <c r="E4862" t="s">
        <v>172</v>
      </c>
      <c r="F4862">
        <f t="shared" si="46"/>
        <v>1970840.88</v>
      </c>
      <c r="G4862" s="538">
        <v>1970840.88</v>
      </c>
    </row>
    <row r="4863" spans="1:7" hidden="1" x14ac:dyDescent="0.25">
      <c r="A4863" t="s">
        <v>842</v>
      </c>
      <c r="B4863">
        <v>13606</v>
      </c>
      <c r="C4863" t="s">
        <v>5533</v>
      </c>
      <c r="D4863" t="s">
        <v>226</v>
      </c>
      <c r="E4863" t="s">
        <v>659</v>
      </c>
      <c r="F4863">
        <f t="shared" si="46"/>
        <v>1746136.83</v>
      </c>
      <c r="G4863" s="538">
        <v>1746136.83</v>
      </c>
    </row>
    <row r="4864" spans="1:7" hidden="1" x14ac:dyDescent="0.25">
      <c r="A4864" t="s">
        <v>807</v>
      </c>
      <c r="B4864">
        <v>10489</v>
      </c>
      <c r="C4864" t="s">
        <v>5534</v>
      </c>
      <c r="D4864" t="s">
        <v>809</v>
      </c>
      <c r="E4864" t="s">
        <v>659</v>
      </c>
      <c r="F4864">
        <v>8.4</v>
      </c>
      <c r="G4864">
        <v>9.9499999999999993</v>
      </c>
    </row>
    <row r="4865" spans="1:7" hidden="1" x14ac:dyDescent="0.25">
      <c r="A4865" t="s">
        <v>807</v>
      </c>
      <c r="B4865">
        <v>41073</v>
      </c>
      <c r="C4865" t="s">
        <v>5535</v>
      </c>
      <c r="D4865" t="s">
        <v>811</v>
      </c>
      <c r="E4865" t="s">
        <v>659</v>
      </c>
      <c r="F4865" s="538">
        <v>1849.82</v>
      </c>
      <c r="G4865" s="538">
        <v>2190.25</v>
      </c>
    </row>
    <row r="4866" spans="1:7" hidden="1" x14ac:dyDescent="0.25">
      <c r="A4866" t="s">
        <v>448</v>
      </c>
      <c r="B4866">
        <v>34391</v>
      </c>
      <c r="C4866" t="s">
        <v>5536</v>
      </c>
      <c r="D4866" t="s">
        <v>498</v>
      </c>
      <c r="E4866" t="s">
        <v>659</v>
      </c>
      <c r="F4866">
        <v>478.75</v>
      </c>
      <c r="G4866">
        <v>861.75</v>
      </c>
    </row>
    <row r="4867" spans="1:7" hidden="1" x14ac:dyDescent="0.25">
      <c r="A4867" t="s">
        <v>448</v>
      </c>
      <c r="B4867">
        <v>10496</v>
      </c>
      <c r="C4867" t="s">
        <v>5537</v>
      </c>
      <c r="D4867" t="s">
        <v>498</v>
      </c>
      <c r="E4867" t="s">
        <v>659</v>
      </c>
      <c r="F4867">
        <v>416.66</v>
      </c>
      <c r="G4867">
        <v>750</v>
      </c>
    </row>
    <row r="4868" spans="1:7" hidden="1" x14ac:dyDescent="0.25">
      <c r="A4868" t="s">
        <v>448</v>
      </c>
      <c r="B4868">
        <v>10497</v>
      </c>
      <c r="C4868" t="s">
        <v>5538</v>
      </c>
      <c r="D4868" t="s">
        <v>498</v>
      </c>
      <c r="E4868" t="s">
        <v>659</v>
      </c>
      <c r="F4868" s="538">
        <v>1083.33</v>
      </c>
      <c r="G4868" s="538">
        <v>1949.99</v>
      </c>
    </row>
    <row r="4869" spans="1:7" hidden="1" x14ac:dyDescent="0.25">
      <c r="A4869" t="s">
        <v>448</v>
      </c>
      <c r="B4869">
        <v>10504</v>
      </c>
      <c r="C4869" t="s">
        <v>5539</v>
      </c>
      <c r="D4869" t="s">
        <v>498</v>
      </c>
      <c r="E4869" t="s">
        <v>659</v>
      </c>
      <c r="F4869" s="538">
        <v>1266.6600000000001</v>
      </c>
      <c r="G4869" s="538">
        <v>2280</v>
      </c>
    </row>
    <row r="4870" spans="1:7" hidden="1" x14ac:dyDescent="0.25">
      <c r="A4870" t="s">
        <v>660</v>
      </c>
      <c r="B4870">
        <v>34390</v>
      </c>
      <c r="C4870" t="s">
        <v>5540</v>
      </c>
      <c r="D4870" t="s">
        <v>498</v>
      </c>
      <c r="E4870" t="s">
        <v>659</v>
      </c>
      <c r="F4870">
        <v>373.33</v>
      </c>
      <c r="G4870">
        <v>671.99</v>
      </c>
    </row>
    <row r="4871" spans="1:7" hidden="1" x14ac:dyDescent="0.25">
      <c r="A4871" t="s">
        <v>660</v>
      </c>
      <c r="B4871">
        <v>34389</v>
      </c>
      <c r="C4871" t="s">
        <v>5541</v>
      </c>
      <c r="D4871" t="s">
        <v>498</v>
      </c>
      <c r="E4871" t="s">
        <v>659</v>
      </c>
      <c r="F4871">
        <v>116.66</v>
      </c>
      <c r="G4871">
        <v>210</v>
      </c>
    </row>
    <row r="4872" spans="1:7" hidden="1" x14ac:dyDescent="0.25">
      <c r="A4872" t="s">
        <v>660</v>
      </c>
      <c r="B4872">
        <v>34388</v>
      </c>
      <c r="C4872" t="s">
        <v>5542</v>
      </c>
      <c r="D4872" t="s">
        <v>498</v>
      </c>
      <c r="E4872" t="s">
        <v>659</v>
      </c>
      <c r="F4872">
        <v>165.81</v>
      </c>
      <c r="G4872">
        <v>298.47000000000003</v>
      </c>
    </row>
    <row r="4873" spans="1:7" hidden="1" x14ac:dyDescent="0.25">
      <c r="A4873" t="s">
        <v>660</v>
      </c>
      <c r="B4873">
        <v>34387</v>
      </c>
      <c r="C4873" t="s">
        <v>5543</v>
      </c>
      <c r="D4873" t="s">
        <v>498</v>
      </c>
      <c r="E4873" t="s">
        <v>659</v>
      </c>
      <c r="F4873">
        <v>269.16000000000003</v>
      </c>
      <c r="G4873">
        <v>484.5</v>
      </c>
    </row>
    <row r="4874" spans="1:7" hidden="1" x14ac:dyDescent="0.25">
      <c r="A4874" t="s">
        <v>660</v>
      </c>
      <c r="B4874">
        <v>11188</v>
      </c>
      <c r="C4874" t="s">
        <v>5544</v>
      </c>
      <c r="D4874" t="s">
        <v>498</v>
      </c>
      <c r="E4874" t="s">
        <v>659</v>
      </c>
      <c r="F4874">
        <v>133.33000000000001</v>
      </c>
      <c r="G4874">
        <v>239.99</v>
      </c>
    </row>
    <row r="4875" spans="1:7" hidden="1" x14ac:dyDescent="0.25">
      <c r="A4875" t="s">
        <v>660</v>
      </c>
      <c r="B4875">
        <v>11189</v>
      </c>
      <c r="C4875" t="s">
        <v>5545</v>
      </c>
      <c r="D4875" t="s">
        <v>498</v>
      </c>
      <c r="E4875" t="s">
        <v>659</v>
      </c>
      <c r="F4875">
        <v>200</v>
      </c>
      <c r="G4875">
        <v>360</v>
      </c>
    </row>
    <row r="4876" spans="1:7" hidden="1" x14ac:dyDescent="0.25">
      <c r="A4876" t="s">
        <v>660</v>
      </c>
      <c r="B4876">
        <v>21107</v>
      </c>
      <c r="C4876" t="s">
        <v>5546</v>
      </c>
      <c r="D4876" t="s">
        <v>498</v>
      </c>
      <c r="E4876" t="s">
        <v>659</v>
      </c>
      <c r="F4876">
        <v>143.93</v>
      </c>
      <c r="G4876">
        <v>259.07</v>
      </c>
    </row>
    <row r="4877" spans="1:7" hidden="1" x14ac:dyDescent="0.25">
      <c r="A4877" t="s">
        <v>660</v>
      </c>
      <c r="B4877">
        <v>34386</v>
      </c>
      <c r="C4877" t="s">
        <v>5547</v>
      </c>
      <c r="D4877" t="s">
        <v>498</v>
      </c>
      <c r="E4877" t="s">
        <v>659</v>
      </c>
      <c r="F4877">
        <v>250</v>
      </c>
      <c r="G4877">
        <v>450</v>
      </c>
    </row>
    <row r="4878" spans="1:7" hidden="1" x14ac:dyDescent="0.25">
      <c r="A4878" t="s">
        <v>660</v>
      </c>
      <c r="B4878">
        <v>10490</v>
      </c>
      <c r="C4878" t="s">
        <v>5548</v>
      </c>
      <c r="D4878" t="s">
        <v>498</v>
      </c>
      <c r="E4878" t="s">
        <v>659</v>
      </c>
      <c r="F4878">
        <v>87.5</v>
      </c>
      <c r="G4878">
        <v>157.5</v>
      </c>
    </row>
    <row r="4879" spans="1:7" hidden="1" x14ac:dyDescent="0.25">
      <c r="A4879" t="s">
        <v>660</v>
      </c>
      <c r="B4879">
        <v>10492</v>
      </c>
      <c r="C4879" t="s">
        <v>5549</v>
      </c>
      <c r="D4879" t="s">
        <v>498</v>
      </c>
      <c r="E4879" t="s">
        <v>172</v>
      </c>
      <c r="F4879">
        <v>100</v>
      </c>
      <c r="G4879">
        <v>180</v>
      </c>
    </row>
    <row r="4880" spans="1:7" hidden="1" x14ac:dyDescent="0.25">
      <c r="A4880" t="s">
        <v>660</v>
      </c>
      <c r="B4880">
        <v>10493</v>
      </c>
      <c r="C4880" t="s">
        <v>5550</v>
      </c>
      <c r="D4880" t="s">
        <v>498</v>
      </c>
      <c r="E4880" t="s">
        <v>659</v>
      </c>
      <c r="F4880">
        <v>116.66</v>
      </c>
      <c r="G4880">
        <v>210</v>
      </c>
    </row>
    <row r="4881" spans="1:7" hidden="1" x14ac:dyDescent="0.25">
      <c r="A4881" t="s">
        <v>660</v>
      </c>
      <c r="B4881">
        <v>10491</v>
      </c>
      <c r="C4881" t="s">
        <v>5551</v>
      </c>
      <c r="D4881" t="s">
        <v>498</v>
      </c>
      <c r="E4881" t="s">
        <v>659</v>
      </c>
      <c r="F4881">
        <v>141.66</v>
      </c>
      <c r="G4881">
        <v>255</v>
      </c>
    </row>
    <row r="4882" spans="1:7" hidden="1" x14ac:dyDescent="0.25">
      <c r="A4882" t="s">
        <v>660</v>
      </c>
      <c r="B4882">
        <v>34385</v>
      </c>
      <c r="C4882" t="s">
        <v>5552</v>
      </c>
      <c r="D4882" t="s">
        <v>498</v>
      </c>
      <c r="E4882" t="s">
        <v>659</v>
      </c>
      <c r="F4882">
        <v>206.66</v>
      </c>
      <c r="G4882">
        <v>372</v>
      </c>
    </row>
    <row r="4883" spans="1:7" hidden="1" x14ac:dyDescent="0.25">
      <c r="A4883" t="s">
        <v>660</v>
      </c>
      <c r="B4883">
        <v>10499</v>
      </c>
      <c r="C4883" t="s">
        <v>5553</v>
      </c>
      <c r="D4883" t="s">
        <v>498</v>
      </c>
      <c r="E4883" t="s">
        <v>659</v>
      </c>
      <c r="F4883">
        <v>83.33</v>
      </c>
      <c r="G4883">
        <v>149.99</v>
      </c>
    </row>
    <row r="4884" spans="1:7" hidden="1" x14ac:dyDescent="0.25">
      <c r="A4884" t="s">
        <v>660</v>
      </c>
      <c r="B4884">
        <v>34384</v>
      </c>
      <c r="C4884" t="s">
        <v>5554</v>
      </c>
      <c r="D4884" t="s">
        <v>498</v>
      </c>
      <c r="E4884" t="s">
        <v>659</v>
      </c>
      <c r="F4884">
        <v>250</v>
      </c>
      <c r="G4884">
        <v>450</v>
      </c>
    </row>
    <row r="4885" spans="1:7" hidden="1" x14ac:dyDescent="0.25">
      <c r="A4885" t="s">
        <v>660</v>
      </c>
      <c r="B4885">
        <v>11185</v>
      </c>
      <c r="C4885" t="s">
        <v>5555</v>
      </c>
      <c r="D4885" t="s">
        <v>498</v>
      </c>
      <c r="E4885" t="s">
        <v>659</v>
      </c>
      <c r="F4885">
        <v>258.33</v>
      </c>
      <c r="G4885">
        <v>464.99</v>
      </c>
    </row>
    <row r="4886" spans="1:7" hidden="1" x14ac:dyDescent="0.25">
      <c r="A4886" t="s">
        <v>660</v>
      </c>
      <c r="B4886">
        <v>10507</v>
      </c>
      <c r="C4886" t="s">
        <v>5556</v>
      </c>
      <c r="D4886" t="s">
        <v>498</v>
      </c>
      <c r="E4886" t="s">
        <v>659</v>
      </c>
      <c r="F4886">
        <v>217.64</v>
      </c>
      <c r="G4886">
        <v>457.65</v>
      </c>
    </row>
    <row r="4887" spans="1:7" hidden="1" x14ac:dyDescent="0.25">
      <c r="A4887" t="s">
        <v>660</v>
      </c>
      <c r="B4887">
        <v>10505</v>
      </c>
      <c r="C4887" t="s">
        <v>5557</v>
      </c>
      <c r="D4887" t="s">
        <v>498</v>
      </c>
      <c r="E4887" t="s">
        <v>659</v>
      </c>
      <c r="F4887">
        <v>128.41999999999999</v>
      </c>
      <c r="G4887">
        <v>270.05</v>
      </c>
    </row>
    <row r="4888" spans="1:7" hidden="1" x14ac:dyDescent="0.25">
      <c r="A4888" t="s">
        <v>660</v>
      </c>
      <c r="B4888">
        <v>10506</v>
      </c>
      <c r="C4888" t="s">
        <v>5558</v>
      </c>
      <c r="D4888" t="s">
        <v>498</v>
      </c>
      <c r="E4888" t="s">
        <v>659</v>
      </c>
      <c r="F4888">
        <v>167.64</v>
      </c>
      <c r="G4888">
        <v>352.52</v>
      </c>
    </row>
    <row r="4889" spans="1:7" hidden="1" x14ac:dyDescent="0.25">
      <c r="A4889" t="s">
        <v>660</v>
      </c>
      <c r="B4889">
        <v>5031</v>
      </c>
      <c r="C4889" t="s">
        <v>5559</v>
      </c>
      <c r="D4889" t="s">
        <v>498</v>
      </c>
      <c r="E4889" t="s">
        <v>172</v>
      </c>
      <c r="F4889">
        <v>235.4</v>
      </c>
      <c r="G4889">
        <v>495</v>
      </c>
    </row>
    <row r="4890" spans="1:7" hidden="1" x14ac:dyDescent="0.25">
      <c r="A4890" t="s">
        <v>660</v>
      </c>
      <c r="B4890">
        <v>10502</v>
      </c>
      <c r="C4890" t="s">
        <v>5560</v>
      </c>
      <c r="D4890" t="s">
        <v>498</v>
      </c>
      <c r="E4890" t="s">
        <v>659</v>
      </c>
      <c r="F4890">
        <v>274.29000000000002</v>
      </c>
      <c r="G4890">
        <v>576.79</v>
      </c>
    </row>
    <row r="4891" spans="1:7" hidden="1" x14ac:dyDescent="0.25">
      <c r="A4891" t="s">
        <v>660</v>
      </c>
      <c r="B4891">
        <v>10501</v>
      </c>
      <c r="C4891" t="s">
        <v>5561</v>
      </c>
      <c r="D4891" t="s">
        <v>498</v>
      </c>
      <c r="E4891" t="s">
        <v>659</v>
      </c>
      <c r="F4891">
        <v>154.97</v>
      </c>
      <c r="G4891">
        <v>325.87</v>
      </c>
    </row>
    <row r="4892" spans="1:7" hidden="1" x14ac:dyDescent="0.25">
      <c r="A4892" t="s">
        <v>660</v>
      </c>
      <c r="B4892">
        <v>10503</v>
      </c>
      <c r="C4892" t="s">
        <v>5562</v>
      </c>
      <c r="D4892" t="s">
        <v>498</v>
      </c>
      <c r="E4892" t="s">
        <v>659</v>
      </c>
      <c r="F4892">
        <v>209.36</v>
      </c>
      <c r="G4892">
        <v>440.25</v>
      </c>
    </row>
    <row r="4893" spans="1:7" hidden="1" x14ac:dyDescent="0.25">
      <c r="A4893" t="s">
        <v>660</v>
      </c>
      <c r="B4893">
        <v>4500</v>
      </c>
      <c r="C4893" t="s">
        <v>5563</v>
      </c>
      <c r="D4893" t="s">
        <v>704</v>
      </c>
      <c r="E4893" t="s">
        <v>659</v>
      </c>
      <c r="F4893">
        <v>15.19</v>
      </c>
      <c r="G4893">
        <v>15.69</v>
      </c>
    </row>
    <row r="4894" spans="1:7" hidden="1" x14ac:dyDescent="0.25">
      <c r="A4894" t="s">
        <v>660</v>
      </c>
      <c r="B4894">
        <v>4448</v>
      </c>
      <c r="C4894" t="s">
        <v>5564</v>
      </c>
      <c r="D4894" t="s">
        <v>704</v>
      </c>
      <c r="E4894" t="s">
        <v>659</v>
      </c>
      <c r="F4894">
        <v>20.87</v>
      </c>
      <c r="G4894">
        <v>21.56</v>
      </c>
    </row>
    <row r="4895" spans="1:7" hidden="1" x14ac:dyDescent="0.25">
      <c r="A4895" t="s">
        <v>660</v>
      </c>
      <c r="B4895">
        <v>20213</v>
      </c>
      <c r="C4895" t="s">
        <v>5565</v>
      </c>
      <c r="D4895" t="s">
        <v>704</v>
      </c>
      <c r="E4895" t="s">
        <v>659</v>
      </c>
      <c r="F4895">
        <v>34.78</v>
      </c>
      <c r="G4895">
        <v>31.44</v>
      </c>
    </row>
    <row r="4896" spans="1:7" hidden="1" x14ac:dyDescent="0.25">
      <c r="A4896" t="s">
        <v>660</v>
      </c>
      <c r="B4896">
        <v>20211</v>
      </c>
      <c r="C4896" t="s">
        <v>5566</v>
      </c>
      <c r="D4896" t="s">
        <v>704</v>
      </c>
      <c r="E4896" t="s">
        <v>659</v>
      </c>
      <c r="F4896">
        <v>46.06</v>
      </c>
      <c r="G4896">
        <v>41.63</v>
      </c>
    </row>
    <row r="4897" spans="1:7" hidden="1" x14ac:dyDescent="0.25">
      <c r="A4897" t="s">
        <v>660</v>
      </c>
      <c r="B4897">
        <v>40270</v>
      </c>
      <c r="C4897" t="s">
        <v>5567</v>
      </c>
      <c r="D4897" t="s">
        <v>704</v>
      </c>
      <c r="E4897" t="s">
        <v>172</v>
      </c>
      <c r="F4897">
        <f>G4897</f>
        <v>133.03</v>
      </c>
      <c r="G4897">
        <v>133.03</v>
      </c>
    </row>
    <row r="4898" spans="1:7" hidden="1" x14ac:dyDescent="0.25">
      <c r="A4898" t="s">
        <v>660</v>
      </c>
      <c r="B4898">
        <v>4425</v>
      </c>
      <c r="C4898" t="s">
        <v>5568</v>
      </c>
      <c r="D4898" t="s">
        <v>704</v>
      </c>
      <c r="E4898" t="s">
        <v>659</v>
      </c>
      <c r="F4898">
        <v>38.07</v>
      </c>
      <c r="G4898">
        <v>34.409999999999997</v>
      </c>
    </row>
    <row r="4899" spans="1:7" hidden="1" x14ac:dyDescent="0.25">
      <c r="A4899" t="s">
        <v>660</v>
      </c>
      <c r="B4899">
        <v>4472</v>
      </c>
      <c r="C4899" t="s">
        <v>5569</v>
      </c>
      <c r="D4899" t="s">
        <v>704</v>
      </c>
      <c r="E4899" t="s">
        <v>659</v>
      </c>
      <c r="F4899">
        <v>47.56</v>
      </c>
      <c r="G4899">
        <v>42.99</v>
      </c>
    </row>
    <row r="4900" spans="1:7" hidden="1" x14ac:dyDescent="0.25">
      <c r="A4900" t="s">
        <v>660</v>
      </c>
      <c r="B4900">
        <v>35272</v>
      </c>
      <c r="C4900" t="s">
        <v>5570</v>
      </c>
      <c r="D4900" t="s">
        <v>704</v>
      </c>
      <c r="E4900" t="s">
        <v>659</v>
      </c>
      <c r="F4900">
        <v>68.75</v>
      </c>
      <c r="G4900">
        <v>62.14</v>
      </c>
    </row>
    <row r="4901" spans="1:7" hidden="1" x14ac:dyDescent="0.25">
      <c r="A4901" t="s">
        <v>660</v>
      </c>
      <c r="B4901">
        <v>4481</v>
      </c>
      <c r="C4901" t="s">
        <v>5571</v>
      </c>
      <c r="D4901" t="s">
        <v>704</v>
      </c>
      <c r="E4901" t="s">
        <v>659</v>
      </c>
      <c r="F4901">
        <v>73.59</v>
      </c>
      <c r="G4901">
        <v>66.52</v>
      </c>
    </row>
    <row r="4902" spans="1:7" hidden="1" x14ac:dyDescent="0.25">
      <c r="A4902" t="s">
        <v>807</v>
      </c>
      <c r="B4902">
        <v>34345</v>
      </c>
      <c r="C4902" t="s">
        <v>5572</v>
      </c>
      <c r="D4902" t="s">
        <v>809</v>
      </c>
      <c r="E4902" t="s">
        <v>659</v>
      </c>
      <c r="F4902">
        <v>8.89</v>
      </c>
      <c r="G4902">
        <v>11.13</v>
      </c>
    </row>
    <row r="4903" spans="1:7" hidden="1" x14ac:dyDescent="0.25">
      <c r="A4903" t="s">
        <v>807</v>
      </c>
      <c r="B4903">
        <v>41096</v>
      </c>
      <c r="C4903" t="s">
        <v>5573</v>
      </c>
      <c r="D4903" t="s">
        <v>811</v>
      </c>
      <c r="E4903" t="s">
        <v>659</v>
      </c>
      <c r="F4903" s="538">
        <v>1957.92</v>
      </c>
      <c r="G4903" s="538">
        <v>2450.2399999999998</v>
      </c>
    </row>
  </sheetData>
  <autoFilter xmlns:x14="http://schemas.microsoft.com/office/spreadsheetml/2009/9/main" ref="A10:G4903" xr:uid="{00000000-0009-0000-0000-00002C000000}">
    <filterColumn colId="2">
      <filters>
        <mc:AlternateContent xmlns:mc="http://schemas.openxmlformats.org/markup-compatibility/2006">
          <mc:Choice Requires="x14">
            <x14:filter val="ABRACADEIRA PVC, PARA CALHA PLUVIAL, DIAMETRO ENTRE *80 E 100* MM, PARA DRENAGEM PLUVIAL PREDIAL"/>
            <x14:filter val="AQUECEDOR DE OLEO BPF (FLUIDO) TERMICO, CAPACIDADE DE 300.000 KCAL/H"/>
            <x14:filter val="ARMACAO VERTICAL COM HASTE E CONTRA-PINO, EM CHAPA DE ACO GALVANIZADO 3/16&quot;, COM 1 ESTRIBO E 1 ISOLADOR"/>
            <x14:filter val="ARMACAO VERTICAL COM HASTE E CONTRA-PINO, EM CHAPA DE ACO GALVANIZADO 3/16&quot;, COM 1 ESTRIBO, SEM ISOLADOR"/>
            <x14:filter val="ARMACAO VERTICAL COM HASTE E CONTRA-PINO, EM CHAPA DE ACO GALVANIZADO 3/16&quot;, COM 2 ESTRIBOS, E 2 ISOLADORES"/>
            <x14:filter val="ARMACAO VERTICAL COM HASTE E CONTRA-PINO, EM CHAPA DE ACO GALVANIZADO 3/16&quot;, COM 2 ESTRIBOS, SEM ISOLADOR"/>
            <x14:filter val="ARMACAO VERTICAL COM HASTE E CONTRA-PINO, EM CHAPA DE ACO GALVANIZADO 3/16&quot;, COM 3 ESTRIBOS E 3 ISOLADORES"/>
            <x14:filter val="ARMACAO VERTICAL COM HASTE E CONTRA-PINO, EM CHAPA DE ACO GALVANIZADO 3/16&quot;, COM 3 ESTRIBOS, SEM ISOLADOR"/>
            <x14:filter val="ARMACAO VERTICAL COM HASTE E CONTRA-PINO, EM CHAPA DE ACO GALVANIZADO 3/16&quot;, COM 4 ESTRIBOS E 4 ISOLADORES"/>
            <x14:filter val="ARMACAO VERTICAL COM HASTE E CONTRA-PINO, EM CHAPA DE ACO GALVANIZADO 3/16&quot;, COM 4 ESTRIBOS, SEM ISOLADOR"/>
            <x14:filter val="BACIA SANITARIA (VASO) CONVENCIONAL, DE LOUCA BRANCA, SIFAO APARENTE, SAIDA VERTICAL (SEM ASSENTO)"/>
            <x14:filter val="BACIA SANITARIA (VASO) CONVENCIONAL, DE LOUCA COLORIDA, SIFAO APARENTE, SAIDA VERTICAL (SEM ASSENTO)"/>
            <x14:filter val="BATENTE / PORTAL / ADUELA / MARCO EM MADEIRA MACICA COM REBAIXO, E = *3* CM, L = *14* CM, PARA PORTAS DE GIRO DE *60 CM A 120* CM X *210* CM, PINUS / EUCALIPTO / VIROLA OU EQUIVALENTE DA REGIAO (NAO INCLUI ALIZARES)"/>
            <x14:filter val="BATENTE / PORTAL / ADUELA / MARCO EM MADEIRA MACICA COM REBAIXO, E = *3* CM, L = *16* CM, PARA PORTAS DE GIRO DE *60 CM A 120* CM X *210* CM, PINUS / EUCALIPTO / VIROLA OU EQUIVALENTE DA REGIAO (NAO INCLUI ALIZARES)"/>
            <x14:filter val="BLOCO CERAMICO / TIJOLO VAZADO PARA ALVENARIA DE VEDACAO, FUROS NA VERTICAL DE 11,5 X 19 X 29 CM (L X A X C)"/>
            <x14:filter val="BLOCO CERAMICO / TIJOLO VAZADO PARA ALVENARIA DE VEDACAO, FUROS NA VERTICAL DE 11,5 X 19 X 39 CM (L X A X C)"/>
            <x14:filter val="BLOCO CERAMICO / TIJOLO VAZADO PARA ALVENARIA DE VEDACAO, FUROS NA VERTICAL DE 14 X 19 X 29 CM (L X A X C)"/>
            <x14:filter val="BLOCO CERAMICO / TIJOLO VAZADO PARA ALVENARIA DE VEDACAO, FUROS NA VERTICAL DE 14 X 19 X 39 CM (L X A X C)"/>
            <x14:filter val="BLOCO CERAMICO / TIJOLO VAZADO PARA ALVENARIA DE VEDACAO, FUROS NA VERTICAL DE 19 X 19 X 39 CM (L X A X C)"/>
            <x14:filter val="BLOCO CERAMICO / TIJOLO VAZADO PARA ALVENARIA DE VEDACAO, FUROS NA VERTICAL DE 9 X 19 X 39 CM (L X A X C)"/>
            <x14:filter val="BOCAL PVC, PARA CALHA PLUVIAL, DIAMETRO DA SAIDA ENTRE *75 E 120* MM, PARA DRENAGEM PLUVIAL PREDIAL"/>
            <x14:filter val="BOMBA SUBMERSA PARA POCOS TUBULARES PROFUNDOS DIAMETRO DE 4 POLEGADAS, ELETRICA, MONOFASICA, POTENCIA 0,49 HP, 13 ESTAGIOS, BOCAL DE DESCARGA DIAMETRO DE UMA POLEGADA E MEIA, HM/Q = 18 M / 1,90 M3/H A 85 M / 0,60 M3/H"/>
            <x14:filter val="BOMBA SUBMERSA PARA POCOS TUBULARES PROFUNDOS DIAMETRO DE 4 POLEGADAS, ELETRICA, TRIFASICA, POTENCIA 1,97 HP, 20 ESTAGIOS, BOCAL DE DESCARGA DIAMETRO DE UMA POLEGADA E MEIA, HM/Q = 18 M / 5,40 M3/H A 164 M / 0,80 M3/H"/>
            <x14:filter val="BOMBA SUBMERSA PARA POCOS TUBULARES PROFUNDOS DIAMETRO DE 4 POLEGADAS, ELETRICA, TRIFASICA, POTENCIA 5,42 HP, 15 ESTAGIOS, BOCAL DE DESCARGA DIAMETRO DE 2 POLEGADAS, HM/Q = 18 M / 18,10 M3/H A 121 M / 2,90 M3/H"/>
            <x14:filter val="BOMBA SUBMERSA PARA POCOS TUBULARES PROFUNDOS DIAMETRO DE 4 POLEGADAS, ELETRICA, TRIFASICA, POTENCIA 5,42 HP, 29 ESTAGIOS, BOCAL DE DESCARGA DE UMA POLEGADA E MEIA, HM/Q = 18 M / 8,10 M3/H A 201 M / 3,2 M3/H"/>
            <x14:filter val="BOMBA SUBMERSA PARA POCOS TUBULARES PROFUNDOS DIAMETRO DE 6 POLEGADAS, ELETRICA, TRIFASICA, POTENCIA 27,12 HP, 7 ESTAGIOS, BOCAL DE DESCARGA DIAMETRO DE 4 POLEGADAS, HM/Q = 13,9 M / 90 M3/H A 44,0 M / 25,0 M3/H"/>
            <x14:filter val="BOMBA SUBMERSA PARA POCOS TUBULARES PROFUNDOS DIAMETRO DE 6 POLEGADAS, ELETRICA, TRIFASICA, POTENCIA 3,45 HP, 5 ESTAGIOS, BOCAL DE DESCARGA DIAMETRO DE 2 POLEGADAS, HM/Q = 68,5 M / 6,12 M3/H A 39,5 M / 14,04 M3/H"/>
            <x14:filter val="BOMBA SUBMERSA PARA POCOS TUBULARES PROFUNDOS DIAMETRO DE 6 POLEGADAS, ELETRICA, TRIFASICA, POTENCIA 32 HP, 9 ESTAGIOS, BOCAL DE DESCARGA DIAMETRO DE 4 POLEGADAS, HM/Q = 114,0 M / 13,9 M3/H A 57,0 M / 25,0 M3/H"/>
            <x14:filter val="BOMBA SUBMERSIVEL, ELETRICA, TRIFASICA, POTENCIA 0,98 HP, DIAMETRO DO ROTOR 142 MM SEMIABERTO, BOCAL DE SAIDA DIAMETRO DE 2 POLEGADAS, HM/Q = 2 M / 32 M3/H A 8 M / 16 M3/H"/>
            <x14:filter val="BOMBA SUBMERSIVEL, ELETRICA, TRIFASICA, POTENCIA 0,99 HP, DIAMETRO ROTOR 98 MM SEMIABERTO, BOCAL DE SAIDA DIAMETRO 2 POLEGADAS, HM/Q = 2 M / 28,90 M3/H A 14 M / 7 M3/H"/>
            <x14:filter val="BOMBA SUBMERSIVEL, ELETRICA, TRIFASICA, POTENCIA 1,97 HP, DIAMETRO DO ROTOR 144 MM SEMIABERTO, BOCAL DE SAIDA DIAMETRO DE 2 POLEGADAS, HM/Q = 2 M / 26,8 M3/H A 28 M / 4,6 M3/H"/>
            <x14:filter val="BOMBA SUBMERSIVEL, ELETRICA, TRIFASICA, POTENCIA 13 HP, DIAMETRO DO ROTOR 170 MM, BOCAL DE SAIDA DIAMETRO DE 3 POLEGADAS, HM/Q = 11 M / 68,40 M3/H A 72 M / 3,6 M3/H"/>
            <x14:filter val="BOMBA SUBMERSIVEL, ELETRICA, TRIFASICA, POTENCIA 2,96 HP, DIAMETRO DO ROTOR 144 MM SEMIABERTO, BOCAL DE SAIDA DIAMETRO DE DUAS POLEGADAS, HM/Q = 2 M / 38,8 M3/H A 28 M / 5 M3/H"/>
            <x14:filter val="BOMBA SUBMERSIVEL, ELETRICA, TRIFASICA, POTENCIA 3,75 HP, DIAMETRO DO ROTOR 90 MM SEMIABERTO, BOCAL DE SAIDA DIAMETRO DE 2 POLEGADAS, HM/Q = 5 M / 61,2 M3/H A 25,5 M / 3,6 M3/H"/>
            <x14:filter val="BOMBA SUBMERSIVEL, ELETRICA, TRIFASICA, POTENCIA 6 HP, DIAMETRO DO ROTOR 127 MM, BOCAL DE SAIDA DIAMETRO DE 3 POLEGADAS, HM/Q = 7 M / 66,90 M3/H A 26 M / 2,88 M3/H"/>
            <x14:filter val="BOMBA TRIPLEX, PARA INJECAO DE CALDA DE CIMENTO, VAZAO MAXIMA DE *100* LITROS/MINUTO, PRESSAO MAXIMA DE *70* BAR, POTENCIA DE 15 CV"/>
            <x14:filter val="CABECEIRA DIREITA OU ESQUERDA, PVC, PARA CALHA PLUVIAL, DIAMETRO ENTRE *119 E 170* MM, PARA DRENAGEM PLUVIAL PREDIAL"/>
            <x14:filter val="CAIBRO ROLICO DE MADEIRA TRATADA, D = 4 A 7 CM, H = 3,00 M, EM EUCALIPTO OU EQUIVALENTE DA REGIAO"/>
            <x14:filter val="CAIXA DE DERIVACAO PARA MEDIDOR DE ENERGIA, COM BARRAMENTO MONOFASICO, EM POLICARBONATO / TERMOPLASTICO - MODULO (PADRAO CONCESSIONARIA LOCAL)"/>
            <x14:filter val="CAIXA DE DERIVACAO PARA MEDIDOR DE ENERGIA, COM BARRAMENTO POLIFASICO, EM POLICARBONATO / TERMOPLASTICO - MODULO (PADRAO CONCESSIONARIA LOCAL)"/>
            <x14:filter val="CAIXA DE PASSAGEM/ LUZ / TELEFONIA, DE EMBUTIR, EM CHAPA DE ACO GALVANIZADO, DIMENSOES 120 X 120 X *12* CM (PADRAO CONCESSIONARIA LOCAL)"/>
            <x14:filter val="CAIXA DE PASSAGEM/ LUZ / TELEFONIA, DE EMBUTIR, EM CHAPA DE ACO GALVANIZADO, DIMENSOES 150 X 150 X 15 CM (PADRAO CONCESSIONARIA LOCAL)"/>
            <x14:filter val="CAIXA DE PASSAGEM/ LUZ / TELEFONIA, DE EMBUTIR, EM CHAPA DE ACO GALVANIZADO, DIMENSOES 20 X 20 X *12* CM (PADRAO CONCESSIONARIA LOCAL)"/>
            <x14:filter val="CAIXA DE PASSAGEM/ LUZ / TELEFONIA, DE EMBUTIR, EM CHAPA DE ACO GALVANIZADO, DIMENSOES 200 X 200 X 20 CM (PADRAO CONCESSIONARIA LOCAL)"/>
            <x14:filter val="CAIXA DE PASSAGEM/ LUZ / TELEFONIA, DE EMBUTIR, EM CHAPA DE ACO GALVANIZADO, DIMENSOES 40 X 40 X *12* CM (PADRAO CONCESSIONARIA LOCAL)"/>
            <x14:filter val="CAIXA DE PASSAGEM/ LUZ / TELEFONIA, DE EMBUTIR, EM CHAPA DE ACO GALVANIZADO, DIMENSOES 60 X 60 X *12* CM (PADRAO CONCESSIONARIA LOCAL)"/>
            <x14:filter val="CAIXA DE PASSAGEM/ LUZ / TELEFONIA, DE EMBUTIR, EM CHAPA DE ACO GALVANIZADO, DIMENSOES 80 X 80 X *12* CM (PADRAO CONCESSIONARIA LOCAL)"/>
            <x14:filter val="CAIXA DE PASSAGEM/ LUZ / TELEFONIA, DE SOBREPOR, EM CHAPA DE ACO GALVANIZADO, DIMENSOES 80 X 80 X *12* CM (PADRAO CONCESSIONARIA LOCAL)"/>
            <x14:filter val="CAIXA DE PROTECAO EXTERNA PARA MEDIDOR HOROSAZONAL, DE BAIXA TENSAO, COM MODULO, EM CHAPA DE ACO (PADRAO DA CONCESSIONARIA LOCAL)"/>
            <x14:filter val="CAIXA DE PROTECAO PARA TRANSFORMADOR CORRENTE, EM CHAPA DE ACO 18 USG (PADRAO DA CONCESSIONARIA LOCAL)"/>
            <x14:filter val="CAIXA INTERNA/EXTERNA DE MEDICAO PARA 1 MEDIDOR TRIFASICO, COM VISOR, EM CHAPA DE ACO 18 USG (PADRAO DA CONCESSIONARIA LOCAL)"/>
            <x14:filter val="CAIXA INTERNA/EXTERNA DE MEDICAO PARA 4 MEDIDORES MONOFASICOS, COM VISOR, EM CHAPA DE ACO 18 USG (PADRAO DA CONCESSIONARIA LOCAL)"/>
            <x14:filter val="CAIXA MODULAR PARA MEDIDOR DE ENERGIA AGRUPADA, EM POLICARBONATO / TERMOPLASTICO, COM SUPORTE PARA DISJUNTOR (PADRAO DA CONCESSIONARIA LOCAL)"/>
            <x14:filter val="CAIXA PARA MEDIDOR MONOFASICO, EM POLICARBONATO / TERMOPLASTICO, PARA ALOJAR 1 DISJUNTOR (PADRAO DA CONCESSIONARIA LOCAL)"/>
            <x14:filter val="CAIXA PARA MEDIDOR POLIFASICO, EM POLICARBONATO / TERMOPLASTICO, PARA ALOJAR 1 DISJUNTOR (PADRAO DA CONCESSIONARIA LOCAL)"/>
            <x14:filter val="CAL HIDRATADA CH-I PARA ARGAMASSAS"/>
            <x14:filter val="CAL HIDRATADA PARA PINTURA"/>
            <x14:filter val="CAL VIRGEM COMUM PARA ARGAMASSAS (NBR 6453)"/>
            <x14:filter val="CALCARIO DOLOMITICO A (POSTO PEDREIRA/FORNECEDOR, SEM FRETE)"/>
            <x14:filter val="CALCETEIRO / RASTELEIRO (HORISTA)"/>
            <x14:filter val="CALCETEIRO / RASTELEIRO (MENSALISTA)"/>
            <x14:filter val="CALHA / PERFIL PLUVIAL DE PVC, DIAMETRO ENTRE *119 E 170* MM, COMPRIMENTO DE 3 M, PARA DRENAGEM PLUVIAL PREDIAL"/>
            <x14:filter val="CALHA MOLDURA AMERICANA DE CHAPA DE ACO GALVANIZADA NUM 26, CORTE 33 CM"/>
            <x14:filter val="CALHA PARA AGUA FURTADA DE CHAPA DE ACO GALVANIZADA NUM 26, CORTE 40 CM"/>
            <x14:filter val="CALHA PARA AGUA FURTADA DE CHAPA DE ACO GALVANIZADA NUM 26, CORTE 50 CM"/>
            <x14:filter val="CALHA PLATIBANDA DE CHAPA DE ACO GALVANIZADA NUM 26, CORTE 45 CM"/>
            <x14:filter val="CALHA QUADRADA DE CHAPA DE ACO GALVANIZADA NUM 24, CORTE 100 CM"/>
            <x14:filter val="CALHA QUADRADA DE CHAPA DE ACO GALVANIZADA NUM 24, CORTE 33 CM"/>
            <x14:filter val="CALHA QUADRADA DE CHAPA DE ACO GALVANIZADA NUM 24, CORTE 50 CM"/>
            <x14:filter val="CALHA QUADRADA DE CHAPA DE ACO GALVANIZADA NUM 26, CORTE 33 CM"/>
            <x14:filter val="CALHA QUADRADA DE CHAPA DE ACO GALVANIZADA NUM 28, CORTE 25 CM"/>
            <x14:filter val="CALHA/CANALETA DE CONCRETO SIMPLES, TIPO MEIA CANA, DIAMETRO DE 20 CM, PARA AGUA PLUVIAL"/>
            <x14:filter val="CALHA/CANALETA DE CONCRETO SIMPLES, TIPO MEIA CANA, DIAMETRO DE 30 CM, PARA AGUA PLUVIAL"/>
            <x14:filter val="CALHA/CANALETA DE CONCRETO SIMPLES, TIPO MEIA CANA, DIAMETRO DE 40 CM, PARA AGUA PLUVIAL"/>
            <x14:filter val="CALHA/CANALETA DE CONCRETO SIMPLES, TIPO MEIA CANA, DIAMETRO DE 50 CM, PARA AGUA PLUVIAL"/>
            <x14:filter val="CALHA/CANALETA DE CONCRETO SIMPLES, TIPO MEIA CANA, DIAMETRO DE 60 CM, PARA AGUA PLUVIAL"/>
            <x14:filter val="CALHA/CANALETA DE CONCRETO SIMPLES, TIPO MEIA CANA, DIAMETRO DE 80 CM, PARA AGUA PLUVIAL"/>
            <x14:filter val="CENTRO DE MEDICAO AGRUPADA, EM POLICARBONATO / PVC, COM 12 MEDIDORES E PROTECAO GERAL (INCLUI BARRAMENTO, DISJUNTORES E ACESSORIOS DE FIXACAO) (PADRAO CONCESSIONARIA LOCAL)"/>
            <x14:filter val="CENTRO DE MEDICAO AGRUPADA, EM POLICARBONATO / PVC, COM 16 MEDIDORES E PROTECAO GERAL (INCLUI BARRAMENTO, DISJUNTORES E ACESSORIOS DE FIXACAO) (PADRAO CONCESSIONARIA LOCAL)"/>
            <x14:filter val="CENTRO DE MEDICAO AGRUPADA, EM POLICARBONATO / PVC, COM 4 MEDIDORES E PROTECAO GERAL (INCLUI BARRAMENTO, DISJUNTORES E ACESSORIOS DE FIXACAO) (PADRAO CONCESSIONARIA LOCAL)"/>
            <x14:filter val="CENTRO DE MEDICAO AGRUPADA, EM POLICARBONATO / PVC, COM 8 MEDIDORES E PROTECAO GERAL (INCLUI BARRAMENTO, DISJUNTORES E ACESSORIOS DE FIXACAO) (PADRAO CONCESSIONARIA LOCAL)"/>
            <x14:filter val="CRUZETA DE MADEIRA TRATADA, *90 X 115 X 2400* MM, EM EUCALIPTO OU EQUIVALENTE DA REGIAO"/>
            <x14:filter val="EMENDA PARA CALHA PLUVIAL, PVC, DIAMETRO ENTRE 119 E 170 MM, PARA DRENAGEM PLUVIAL PREDIAL"/>
            <x14:filter val="FINCAPINO CURTO CALIBRE 22, CARGA MEDIA POTENCIA 5 (PARA FERRAMENTA DE ACAO DIRETA) COR VERMELHA"/>
            <x14:filter val="FINCAPINO LONGO CALIBRE 22, CARGA FORTE POTENCIA 7 (PARA FERRAMENTA DE ACAO DIRETA), COR AMARELA"/>
            <x14:filter val="GRANILHA/ GRANA/ PEDRISCO OU AGREGADO EM MARMORE/ GRANITO/ QUARTZO E CALCARIO, PRETO, CINZA, PALHA OU BRANCO"/>
            <x14:filter val="GUARNICAO / ALIZAR / VISTA LISA EM MADEIRA MACICA, PARA PORTA, E = *1* CM, L = *5* CM, PINUS /EUCALIPTO / VIROLA OU EQUIVALENTE DA REGIAO"/>
            <x14:filter val="INVERSOR DE SOLDA MONOFASICO DE 200 A, POTENCIA DE *9600* W, TENSAO DE 220 V, TURBO VENTILADO, PROTECAO POR DISSIPADORES DE CALOR, PARA ELETRODOS DE *2,5 A 4,0* MM"/>
            <x14:filter val="JANELA BASCULANTE EM MADEIRA PINUS/ EUCALIPTO/ TAUARI/ VIROLA OU EQUIVALENTE DA REGIAO, *60 X 60*, CAIXA DO BATENTE/ MARCO E = *10* CM, 2 BASCULAS PARA VIDRO, COM FERRAGENS (SEM VIDRO, SEM GUARNICAO/ALIZAR E SEM ACABAMENTO)"/>
            <x14:filter val="JANELA BASCULANTE EM MADEIRA PINUS/ EUCALIPTO/ TAUARI/ VIROLA OU EQUIVALENTE DA REGIAO, CAIXA DO BATENTE/ MARCO *10* CM, *2* FOLHAS BASCULANTES PARA VIDRO, COM FERRAGENS (SEM VIDRO, SEM GUARNICAO/ALIZAR E SEM ACABAMENTO)"/>
            <x14:filter val="JANELA DE 6 FOLHAS DE CORRER EM MADEIRA PINUS/ EUCALIPTO/ TAUARI/ VIROLA OU EQUIVALENTE DA REGIAO, CAIXA DO BATENTE/MARCO *10* CM, 2 FOLHAS DE CORRER VENEZIANA, 2 FOLHAS FIXAS VENEZIANA E 2 FOLHAS DE CORRER PARA VIDRO, COM FERRAGENS (SEM VIDRO, SEM ACABAMENTO E SEM GUARNICAO/ALIZAR)"/>
            <x14:filter val="JANELA DE ABRIR EM MADEIRA PINUS/EUCALIPTO/TAUARI/VIROLA OU EQUIVALENTE DA REGIAO, CAIXA DO BATENTE/MARCO *10* CM, 2 FOLHAS DE ABRIR TIPO VENEZIANA E 2 FOLHAS GUILHOTINA PARA VIDRO, COM FERRAGENS (SEM VIDRO, SEM GUARNICAO/ALIZAR E SEM ACABAMENTO)"/>
            <x14:filter val="KIT ACESSORIOS PARA COMPRESSOR DE AR, 5 PECAS (PISTOLAS PINTURA, LIMPEZA E PULVERIZACAO, CALIBRADOR E MANGUEIRA)"/>
            <x14:filter val="LOCACAO DE BOMBA SUBMERSIVEL PARA DRENAGEM E ESGOTAMENTO, MOTOR ELETRICO TRIFASICO, POTENCIA DE 1 CV, DIAMETRO DE RECALQUE DE 2&quot;. FAIXA DE OPERACAO Q=25 M3/H (+ OU - 1 M3/H) E AMT=2 M, Q=12 M3/H (+ OU - 2 M3/H) E AMT = 12 M (+ OU - 2 M)"/>
            <x14:filter val="LOCACAO DE BOMBA SUBMERSIVEL PARA DRENAGEM E ESGOTAMENTO, MOTOR ELETRICO TRIFASICO, POTENCIA DE 2 CV, DIAMETRO DE RECALQUE DE 2&quot;, FAIXA DE OPERACAO Q=35 M3/H (+ OU - 3 M3/H) E AMT=2 M, Q=13 M3/H (+ OU - 3 M3/H) E AMT = 17 M (+ OU - 3 M)"/>
            <x14:filter val="LOCACAO DE BOMBA SUBMERSIVEL PARA DRENAGEM E ESGOTAMENTO, MOTOR ELETRICO TRIFASICO, POTENCIA DE 2 CV, DIAMETRO DE RECALQUE DE 3&quot;. FAIXA DE OPERACAO Q=70 M3/H (+ OU - 2 M3/H) E AMT=2 M, Q=9,5 M3/H (+ OU - 3,5 M3/H) E AMT = 10 M (+ OU - 2 M)"/>
            <x14:filter val="LOCACAO DE BOMBA SUBMERSIVEL PARA DRENAGEM E ESGOTAMENTO, MOTOR ELETRICO TRIFASICO, POTENCIA DE 3 CV, DIAMETRO DE RECALQUE DE 2&quot;, FAIXA DE OPERACAO Q=84 M3/H (+ OU - 2,5 M3/H) E AMT=2 M, Q=9,1 M3/H (+ OU - 2 M3/H) E AMT = 12 M (+ OU - 2 M)"/>
            <x14:filter val="LOCACAO DE BOMBA SUBMERSIVEL PARA DRENAGEM E ESGOTAMENTO, MOTOR ELETRICO TRIFASICO, POTENCIA DE 4 CV, DIAMETRO DE RECALQUE DE 3&quot;. FAIXA DE OPERACAO Q=60 M3/H (+ OU - 1 M3/H) E AMT=2 M, Q=11 M3/H (+ OU - 1 M3/H) E AMT = 23 M (+ OU - 1 M)"/>
            <x14:filter val="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x14:filter val="MADEIRA ROLICA TRATADA, D = 12 A 15 CM, H = 3,00 M, EM EUCALIPTO OU EQUIVALENTE DA REGIAO"/>
            <x14:filter val="MADEIRA ROLICA TRATADA, D = 16 A 20 CM, H = 6,00 M, EM EUCALIPTO OU EQUIVALENTE DA REGIAO"/>
            <x14:filter val="MADEIRA ROLICA TRATADA, D = 25 A 29 CM, H = 6,50 M, EM EUCALIPTO OU EQUIVALENTE DA REGIAO"/>
            <x14:filter val="MADEIRA ROLICA TRATADA, D = 30 A 34 CM, H = 6,50 M, EM EUCALIPTO OU EQUIVALENTE DA REGIAO"/>
            <x14:filter val="MANOMETRO COM CAIXA EM ACO PINTADO, ESCALA *10* KGF/CM2 (*10* BAR), DIAMETRO NOMINAL DE *63* MM, CONEXAO DE 1/4&quot;"/>
            <x14:filter val="MANOMETRO COM CAIXA EM ACO PINTADO, ESCALA *10* KGF/CM2 (*10* BAR), DIAMETRO NOMINAL DE 100 MM, CONEXAO DE 1/2&quot;"/>
            <x14:filter val="METACAULIM DE ALTA REATIVIDADE/CAULIM CALCINADO"/>
            <x14:filter val="MOTOBOMBA AUTOESCORVANTE POTENCIA 5,42 HP, BOCAIS SUCCAO X RECALQUE 2&quot; X 2&quot;, A GASOLINA, DIAMETRO DO ROTOR 122 MM HM/Q = 6 MCA / 33,0 M3/H A 28 MCA / 8,0 M3/H"/>
            <x14:filter val="MOTOBOMBA TRASH (PARA AGUA SUJA) AUTO ESCORVANTE, MOTOR GASOLINA DE 6,41 HP, DIAMETROS DE SUCCAO X RECALQUE: 3&quot; X 3&quot;, HM/Q: 10/60 A 23/0"/>
            <x14:filter val="MOURAO ROLICO DE MADEIRA TRATADA, D = 16 A 20 CM, H = 2,20 M, EM EUCALIPTO OU EQUIVALENTE DA REGIAO (PARA CERCA)"/>
            <x14:filter val="MOURAO ROLICO DE MADEIRA TRATADA, D = 8 A 11 CM, H = 2,20 M, EM EUCALIPTO OU EQUIVALENTE DA REGIAO (PARA CERCA)"/>
            <x14:filter val="PEDRA GRANITICA OU BASALTICA IRREGULAR, FAIXA GRANULOMETRICA 100 A 150 MM PARA PAVIMENTACAO OU CALCAMENTO POLIEDRICO, POSTO PEDREIRA / FORNECEDOR (SEM FRETE)"/>
            <x14:filter val="PEDRA QUARTZITO OU CALCARIO LAMINADO, CACO, TIPO CARIRI, ITACOLOMI, LAGOA SANTA, LUMINARIA, PIRENOPOLIS, SAO TOME OU OUTRAS SIMILARES DA REGIAO, E= *1,5 A *2,5 CM"/>
            <x14:filter val="PEDRA QUARTZITO OU CALCARIO LAMINADO, SERRADA, TIPO CARIRI, ITACOLOMI, LAGOA SANTA, LUMINARIA, PIRENOPOLIS, SAO TOME OU OUTRAS SIMILARES DA REGIAO, *20 X *40 CM, E= *1,5 A *2,5 CM"/>
            <x14:filter val="PELICULA REFLETIVA, GT 7 ANOS PARA SINALIZACAO VERTICAL"/>
            <x14:filter val="PERFURATRIZ PARA FURO DIRECIONAL HORIZONTAL (HDD) COM CAPACIDADE ATE 89 KN, POTENCIA 24,8 HP A 80 HP (INCLUSO FERRAMENTAS E LOCALIZADOR), PARA REDE SUBTERRANEA"/>
            <x14:filter val="PERFURATRIZ PARA FURO DIRECIONAL HORIZONTAL (HDD) COM CAPACIDADE DE 201 KN A 560 KN, POTENCIA 200 HP A 260 HP (INCLUSO FERRAMENTAS E LOCALIZADOR), PARA REDE SUBTERRANEA"/>
            <x14:filter val="PERFURATRIZ PARA FURO DIRECIONAL HORIZONTAL (HDD) COM CAPACIDADE DE 90 KN A 200 KN, POTENCIA 100 HP A 160 HP (INCLUSO FERRAMENTAS E LOCALIZADOR), PARA REDE SUBTERRANEA"/>
            <x14:filter val="PONTALETE ROLICO SEM TRATAMENTO, D = 8 A 11 CM, H = 3 M, EM EUCALIPTO OU EQUIVALENTE DA REGIAO - BRUTA (PARA ESCORAMENTO)"/>
            <x14:filter val="PONTALETE ROLICO SEM TRATAMENTO, D = 8 A 11 CM, H = 6 M, EM EUCALIPTO OU EQUIVALENTE DA REGIAO - BRUTA (PARA ESCORAMENTO)"/>
            <x14:filter val="PORTA DE ABRIR / GIRO, EM MADEIRA MACICA (ANGELIM OU EQUIVALENTE REGIONAL), QUALQUER DESENHO (VERTICAL/DIAGONAL/HORIZ.), E = *3,5* CM, DIMENSOES 2,10 X 0,70 (SOMENTE FOLHA DE PORTA, ACABAMENTO NATURAL)"/>
            <x14:filter val="PORTA DE MADEIRA QUADRICULADA PARA VIDRO, DE CORRER (EUCALIPTO OU EQUIVALENTE REGIONAL), E = *3,5* CM"/>
            <x14:filter val="PORTA DE MADEIRA TIPO VENEZIANA (EUCALIPTO OU EQUIVALENTE REGIONAL), E = *3,5* CM"/>
            <x14:filter val="PORTAO DE ABRIR / GIRO, EM GRADIL DE METALON REDONDO DE 3/4&quot; VERTICAL, COM REQUADRO, ACABAMENTO NATURAL - COMPLETO"/>
            <x14:filter val="PORTAO DE CORRER EM GRADIL FIXO DE BARRA DE FERRO CHATA DE 3 X 1/4&quot; NA VERTICAL, SEM REQUADRO, ACABAMENTO NATURAL, COM TRILHOS E ROLDANAS"/>
            <x14:filter val="POSTE ROLICO DE MADEIRA TRATADA, D = 20 A 25 CM, H = 12,00 M, EM EUCALIPTO OU EQUIVALENTE DA REGIAO"/>
            <x14:filter val="PRUMO DE CENTRO EM ACO *400* G, COM CORDAO EM NYLON E CALCO GUIA EM ACO OU MADEIRA"/>
            <x14:filter val="RALO FOFO SEMIESFERICO, 100 MM, PARA LAJES/ CALHAS"/>
            <x14:filter val="RALO FOFO SEMIESFERICO, 150 MM, PARA LAJES/ CALHAS"/>
            <x14:filter val="RALO FOFO SEMIESFERICO, 200 MM, PARA LAJES/ CALHAS"/>
            <x14:filter val="RALO FOFO SEMIESFERICO, 75 MM, PARA LAJES/ CALHAS"/>
            <x14:filter val="ROTACAO VERTICAL DUPLO, EM TUBO DE ACO CARBONO, PINTURA NO PROCESSO ELETROSTATICO - EQUIPAMENTO DE GINASTICA PARA ACADEMIA AO AR LIVRE / ACADEMIA DA TERCEIRA IDADE - ATI"/>
            <x14:filter val="SELANTE TIPO VEDA CALHA PARA METAL E FIBROCIMENTO"/>
            <x14:filter val="SUPORTE METALICO PARA CALHA PLUVIAL, ZINCADO, DOBRADO, DIAMETRO ENTRE 119 E 170 MM, PARA DRENAGEM PLUVIAL PREDIAL"/>
            <x14:filter val="SUPORTE PARA CALHA DE 150 MM EM ACO GALVANIZADO"/>
            <x14:filter val="TELA DE FIBRA DE VIDRO, ACABAMENTO ANTI-ALCALINO, MALHA 10 X 10 MM"/>
            <x14:filter val="TUBO / MANGUEIRA PRETA EM POLIETILENO, LINHA PESADA OU REFORCADA, TIPO ESPAGUETE, PARA INJECAO DE CALDA DE CIMENTO, D = 1/2&quot;, ESPESSURA 1,5 MM"/>
            <x14:filter val="UNIFORME PROFISSIONAL DE BRIM, CALCA E CAMISA MANGA LONGA COM FAIXA REFLETIVA"/>
            <x14:filter val="USINA MISTURADORA DE SOLOS, DOSADORES TRIPLOS, CALHA VIBRATORIA CAPACIDADE DE 200 A 500 T/H, POTENCIA DE 75 KW"/>
            <x14:filter val="VALVULA DE RETENCAO VERTICAL, DE BRONZE (PN-16), 1 1/2&quot;, 200 PSI, EXTREMIDADES COM ROSCA"/>
            <x14:filter val="VALVULA DE RETENCAO VERTICAL, DE BRONZE (PN-16), 1 1/4&quot;, 200 PSI, EXTREMIDADES COM ROSCA"/>
            <x14:filter val="VALVULA DE RETENCAO VERTICAL, DE BRONZE (PN-16), 1&quot;, 200 PSI, EXTREMIDADES COM ROSCA"/>
            <x14:filter val="VALVULA DE RETENCAO VERTICAL, DE BRONZE (PN-16), 1/2&quot;, 200 PSI, EXTREMIDADES COM ROSCA"/>
            <x14:filter val="VALVULA DE RETENCAO VERTICAL, DE BRONZE (PN-16), 2 1/2&quot;, 200 PSI, EXTREMIDADES COM ROSCA"/>
            <x14:filter val="VALVULA DE RETENCAO VERTICAL, DE BRONZE (PN-16), 2&quot;, 200 PSI, EXTREMIDADES COM ROSCA"/>
            <x14:filter val="VALVULA DE RETENCAO VERTICAL, DE BRONZE (PN-16), 3&quot;, 200 PSI, EXTREMIDADES COM ROSCA"/>
            <x14:filter val="VALVULA DE RETENCAO VERTICAL, DE BRONZE (PN-16), 3/4&quot;, 200 PSI, EXTREMIDADES COM ROSCA"/>
            <x14:filter val="VALVULA DE RETENCAO VERTICAL, DE BRONZE (PN-16), 4&quot;, 200 PSI, EXTREMIDADES COM ROSCA"/>
            <x14:filter val="VEDACAO DE CALHA, EM BORRACHA COR PRETA, MEDIDA ENTRE 119 E 170 MM, PARA DRENAGEM PLUVIAL PREDIAL"/>
          </mc:Choice>
          <mc:Fallback>
            <filter val="ABRACADEIRA PVC, PARA CALHA PLUVIAL, DIAMETRO ENTRE *80 E 100* MM, PARA DRENAGEM PLUVIAL PREDIAL"/>
            <filter val="AQUECEDOR DE OLEO BPF (FLUIDO) TERMICO, CAPACIDADE DE 300.000 KCAL/H"/>
            <filter val="ARMACAO VERTICAL COM HASTE E CONTRA-PINO, EM CHAPA DE ACO GALVANIZADO 3/16&quot;, COM 1 ESTRIBO E 1 ISOLADOR"/>
            <filter val="ARMACAO VERTICAL COM HASTE E CONTRA-PINO, EM CHAPA DE ACO GALVANIZADO 3/16&quot;, COM 1 ESTRIBO, SEM ISOLADOR"/>
            <filter val="ARMACAO VERTICAL COM HASTE E CONTRA-PINO, EM CHAPA DE ACO GALVANIZADO 3/16&quot;, COM 2 ESTRIBOS, E 2 ISOLADORES"/>
            <filter val="ARMACAO VERTICAL COM HASTE E CONTRA-PINO, EM CHAPA DE ACO GALVANIZADO 3/16&quot;, COM 2 ESTRIBOS, SEM ISOLADOR"/>
            <filter val="ARMACAO VERTICAL COM HASTE E CONTRA-PINO, EM CHAPA DE ACO GALVANIZADO 3/16&quot;, COM 3 ESTRIBOS E 3 ISOLADORES"/>
            <filter val="ARMACAO VERTICAL COM HASTE E CONTRA-PINO, EM CHAPA DE ACO GALVANIZADO 3/16&quot;, COM 3 ESTRIBOS, SEM ISOLADOR"/>
            <filter val="ARMACAO VERTICAL COM HASTE E CONTRA-PINO, EM CHAPA DE ACO GALVANIZADO 3/16&quot;, COM 4 ESTRIBOS E 4 ISOLADORES"/>
            <filter val="ARMACAO VERTICAL COM HASTE E CONTRA-PINO, EM CHAPA DE ACO GALVANIZADO 3/16&quot;, COM 4 ESTRIBOS, SEM ISOLADOR"/>
            <filter val="BACIA SANITARIA (VASO) CONVENCIONAL, DE LOUCA BRANCA, SIFAO APARENTE, SAIDA VERTICAL (SEM ASSENTO)"/>
            <filter val="BACIA SANITARIA (VASO) CONVENCIONAL, DE LOUCA COLORIDA, SIFAO APARENTE, SAIDA VERTICAL (SEM ASSENTO)"/>
            <filter val="BATENTE / PORTAL / ADUELA / MARCO EM MADEIRA MACICA COM REBAIXO, E = *3* CM, L = *14* CM, PARA PORTAS DE GIRO DE *60 CM A 120* CM X *210* CM, PINUS / EUCALIPTO / VIROLA OU EQUIVALENTE DA REGIAO (NAO INCLUI ALIZARES)"/>
            <filter val="BATENTE / PORTAL / ADUELA / MARCO EM MADEIRA MACICA COM REBAIXO, E = *3* CM, L = *16* CM, PARA PORTAS DE GIRO DE *60 CM A 120* CM X *210* CM, PINUS / EUCALIPTO / VIROLA OU EQUIVALENTE DA REGIAO (NAO INCLUI ALIZARES)"/>
            <filter val="BLOCO CERAMICO / TIJOLO VAZADO PARA ALVENARIA DE VEDACAO, FUROS NA VERTICAL DE 11,5 X 19 X 29 CM (L X A X C)"/>
            <filter val="BLOCO CERAMICO / TIJOLO VAZADO PARA ALVENARIA DE VEDACAO, FUROS NA VERTICAL DE 11,5 X 19 X 39 CM (L X A X C)"/>
            <filter val="BLOCO CERAMICO / TIJOLO VAZADO PARA ALVENARIA DE VEDACAO, FUROS NA VERTICAL DE 14 X 19 X 29 CM (L X A X C)"/>
            <filter val="BLOCO CERAMICO / TIJOLO VAZADO PARA ALVENARIA DE VEDACAO, FUROS NA VERTICAL DE 14 X 19 X 39 CM (L X A X C)"/>
            <filter val="BLOCO CERAMICO / TIJOLO VAZADO PARA ALVENARIA DE VEDACAO, FUROS NA VERTICAL DE 19 X 19 X 39 CM (L X A X C)"/>
            <filter val="BLOCO CERAMICO / TIJOLO VAZADO PARA ALVENARIA DE VEDACAO, FUROS NA VERTICAL DE 9 X 19 X 39 CM (L X A X C)"/>
            <filter val="BOCAL PVC, PARA CALHA PLUVIAL, DIAMETRO DA SAIDA ENTRE *75 E 120* MM, PARA DRENAGEM PLUVIAL PREDIAL"/>
            <filter val="BOMBA SUBMERSA PARA POCOS TUBULARES PROFUNDOS DIAMETRO DE 4 POLEGADAS, ELETRICA, MONOFASICA, POTENCIA 0,49 HP, 13 ESTAGIOS, BOCAL DE DESCARGA DIAMETRO DE UMA POLEGADA E MEIA, HM/Q = 18 M / 1,90 M3/H A 85 M / 0,60 M3/H"/>
            <filter val="BOMBA SUBMERSA PARA POCOS TUBULARES PROFUNDOS DIAMETRO DE 4 POLEGADAS, ELETRICA, TRIFASICA, POTENCIA 1,97 HP, 20 ESTAGIOS, BOCAL DE DESCARGA DIAMETRO DE UMA POLEGADA E MEIA, HM/Q = 18 M / 5,40 M3/H A 164 M / 0,80 M3/H"/>
            <filter val="BOMBA SUBMERSA PARA POCOS TUBULARES PROFUNDOS DIAMETRO DE 4 POLEGADAS, ELETRICA, TRIFASICA, POTENCIA 5,42 HP, 15 ESTAGIOS, BOCAL DE DESCARGA DIAMETRO DE 2 POLEGADAS, HM/Q = 18 M / 18,10 M3/H A 121 M / 2,90 M3/H"/>
            <filter val="BOMBA SUBMERSA PARA POCOS TUBULARES PROFUNDOS DIAMETRO DE 4 POLEGADAS, ELETRICA, TRIFASICA, POTENCIA 5,42 HP, 29 ESTAGIOS, BOCAL DE DESCARGA DE UMA POLEGADA E MEIA, HM/Q = 18 M / 8,10 M3/H A 201 M / 3,2 M3/H"/>
            <filter val="BOMBA SUBMERSA PARA POCOS TUBULARES PROFUNDOS DIAMETRO DE 6 POLEGADAS, ELETRICA, TRIFASICA, POTENCIA 27,12 HP, 7 ESTAGIOS, BOCAL DE DESCARGA DIAMETRO DE 4 POLEGADAS, HM/Q = 13,9 M / 90 M3/H A 44,0 M / 25,0 M3/H"/>
            <filter val="BOMBA SUBMERSA PARA POCOS TUBULARES PROFUNDOS DIAMETRO DE 6 POLEGADAS, ELETRICA, TRIFASICA, POTENCIA 3,45 HP, 5 ESTAGIOS, BOCAL DE DESCARGA DIAMETRO DE 2 POLEGADAS, HM/Q = 68,5 M / 6,12 M3/H A 39,5 M / 14,04 M3/H"/>
            <filter val="BOMBA SUBMERSA PARA POCOS TUBULARES PROFUNDOS DIAMETRO DE 6 POLEGADAS, ELETRICA, TRIFASICA, POTENCIA 32 HP, 9 ESTAGIOS, BOCAL DE DESCARGA DIAMETRO DE 4 POLEGADAS, HM/Q = 114,0 M / 13,9 M3/H A 57,0 M / 25,0 M3/H"/>
            <filter val="BOMBA SUBMERSIVEL, ELETRICA, TRIFASICA, POTENCIA 0,98 HP, DIAMETRO DO ROTOR 142 MM SEMIABERTO, BOCAL DE SAIDA DIAMETRO DE 2 POLEGADAS, HM/Q = 2 M / 32 M3/H A 8 M / 16 M3/H"/>
            <filter val="BOMBA SUBMERSIVEL, ELETRICA, TRIFASICA, POTENCIA 0,99 HP, DIAMETRO ROTOR 98 MM SEMIABERTO, BOCAL DE SAIDA DIAMETRO 2 POLEGADAS, HM/Q = 2 M / 28,90 M3/H A 14 M / 7 M3/H"/>
            <filter val="BOMBA SUBMERSIVEL, ELETRICA, TRIFASICA, POTENCIA 1,97 HP, DIAMETRO DO ROTOR 144 MM SEMIABERTO, BOCAL DE SAIDA DIAMETRO DE 2 POLEGADAS, HM/Q = 2 M / 26,8 M3/H A 28 M / 4,6 M3/H"/>
            <filter val="BOMBA SUBMERSIVEL, ELETRICA, TRIFASICA, POTENCIA 13 HP, DIAMETRO DO ROTOR 170 MM, BOCAL DE SAIDA DIAMETRO DE 3 POLEGADAS, HM/Q = 11 M / 68,40 M3/H A 72 M / 3,6 M3/H"/>
            <filter val="BOMBA SUBMERSIVEL, ELETRICA, TRIFASICA, POTENCIA 2,96 HP, DIAMETRO DO ROTOR 144 MM SEMIABERTO, BOCAL DE SAIDA DIAMETRO DE DUAS POLEGADAS, HM/Q = 2 M / 38,8 M3/H A 28 M / 5 M3/H"/>
            <filter val="BOMBA SUBMERSIVEL, ELETRICA, TRIFASICA, POTENCIA 3,75 HP, DIAMETRO DO ROTOR 90 MM SEMIABERTO, BOCAL DE SAIDA DIAMETRO DE 2 POLEGADAS, HM/Q = 5 M / 61,2 M3/H A 25,5 M / 3,6 M3/H"/>
            <filter val="BOMBA SUBMERSIVEL, ELETRICA, TRIFASICA, POTENCIA 6 HP, DIAMETRO DO ROTOR 127 MM, BOCAL DE SAIDA DIAMETRO DE 3 POLEGADAS, HM/Q = 7 M / 66,90 M3/H A 26 M / 2,88 M3/H"/>
            <filter val="BOMBA TRIPLEX, PARA INJECAO DE CALDA DE CIMENTO, VAZAO MAXIMA DE *100* LITROS/MINUTO, PRESSAO MAXIMA DE *70* BAR, POTENCIA DE 15 CV"/>
            <filter val="CABECEIRA DIREITA OU ESQUERDA, PVC, PARA CALHA PLUVIAL, DIAMETRO ENTRE *119 E 170* MM, PARA DRENAGEM PLUVIAL PREDIAL"/>
            <filter val="CAIBRO ROLICO DE MADEIRA TRATADA, D = 4 A 7 CM, H = 3,00 M, EM EUCALIPTO OU EQUIVALENTE DA REGIAO"/>
            <filter val="CAIXA DE DERIVACAO PARA MEDIDOR DE ENERGIA, COM BARRAMENTO MONOFASICO, EM POLICARBONATO / TERMOPLASTICO - MODULO (PADRAO CONCESSIONARIA LOCAL)"/>
            <filter val="CAIXA DE DERIVACAO PARA MEDIDOR DE ENERGIA, COM BARRAMENTO POLIFASICO, EM POLICARBONATO / TERMOPLASTICO - MODULO (PADRAO CONCESSIONARIA LOCAL)"/>
            <filter val="CAIXA DE PASSAGEM/ LUZ / TELEFONIA, DE EMBUTIR, EM CHAPA DE ACO GALVANIZADO, DIMENSOES 120 X 120 X *12* CM (PADRAO CONCESSIONARIA LOCAL)"/>
            <filter val="CAIXA DE PASSAGEM/ LUZ / TELEFONIA, DE EMBUTIR, EM CHAPA DE ACO GALVANIZADO, DIMENSOES 150 X 150 X 15 CM (PADRAO CONCESSIONARIA LOCAL)"/>
            <filter val="CAIXA DE PASSAGEM/ LUZ / TELEFONIA, DE EMBUTIR, EM CHAPA DE ACO GALVANIZADO, DIMENSOES 20 X 20 X *12* CM (PADRAO CONCESSIONARIA LOCAL)"/>
            <filter val="CAIXA DE PASSAGEM/ LUZ / TELEFONIA, DE EMBUTIR, EM CHAPA DE ACO GALVANIZADO, DIMENSOES 200 X 200 X 20 CM (PADRAO CONCESSIONARIA LOCAL)"/>
            <filter val="CAIXA DE PASSAGEM/ LUZ / TELEFONIA, DE EMBUTIR, EM CHAPA DE ACO GALVANIZADO, DIMENSOES 40 X 40 X *12* CM (PADRAO CONCESSIONARIA LOCAL)"/>
            <filter val="CAIXA DE PASSAGEM/ LUZ / TELEFONIA, DE EMBUTIR, EM CHAPA DE ACO GALVANIZADO, DIMENSOES 60 X 60 X *12* CM (PADRAO CONCESSIONARIA LOCAL)"/>
            <filter val="CAIXA DE PASSAGEM/ LUZ / TELEFONIA, DE EMBUTIR, EM CHAPA DE ACO GALVANIZADO, DIMENSOES 80 X 80 X *12* CM (PADRAO CONCESSIONARIA LOCAL)"/>
            <filter val="CAIXA DE PASSAGEM/ LUZ / TELEFONIA, DE SOBREPOR, EM CHAPA DE ACO GALVANIZADO, DIMENSOES 80 X 80 X *12* CM (PADRAO CONCESSIONARIA LOCAL)"/>
            <filter val="CAIXA DE PROTECAO EXTERNA PARA MEDIDOR HOROSAZONAL, DE BAIXA TENSAO, COM MODULO, EM CHAPA DE ACO (PADRAO DA CONCESSIONARIA LOCAL)"/>
            <filter val="CAIXA DE PROTECAO PARA TRANSFORMADOR CORRENTE, EM CHAPA DE ACO 18 USG (PADRAO DA CONCESSIONARIA LOCAL)"/>
            <filter val="CAIXA INTERNA/EXTERNA DE MEDICAO PARA 1 MEDIDOR TRIFASICO, COM VISOR, EM CHAPA DE ACO 18 USG (PADRAO DA CONCESSIONARIA LOCAL)"/>
            <filter val="CAIXA INTERNA/EXTERNA DE MEDICAO PARA 4 MEDIDORES MONOFASICOS, COM VISOR, EM CHAPA DE ACO 18 USG (PADRAO DA CONCESSIONARIA LOCAL)"/>
            <filter val="CAIXA MODULAR PARA MEDIDOR DE ENERGIA AGRUPADA, EM POLICARBONATO / TERMOPLASTICO, COM SUPORTE PARA DISJUNTOR (PADRAO DA CONCESSIONARIA LOCAL)"/>
            <filter val="CAIXA PARA MEDIDOR MONOFASICO, EM POLICARBONATO / TERMOPLASTICO, PARA ALOJAR 1 DISJUNTOR (PADRAO DA CONCESSIONARIA LOCAL)"/>
            <filter val="CAIXA PARA MEDIDOR POLIFASICO, EM POLICARBONATO / TERMOPLASTICO, PARA ALOJAR 1 DISJUNTOR (PADRAO DA CONCESSIONARIA LOCAL)"/>
            <filter val="CAL HIDRATADA CH-I PARA ARGAMASSAS"/>
            <filter val="CAL HIDRATADA PARA PINTURA"/>
            <filter val="CAL VIRGEM COMUM PARA ARGAMASSAS (NBR 6453)"/>
            <filter val="CALCARIO DOLOMITICO A (POSTO PEDREIRA/FORNECEDOR, SEM FRETE)"/>
            <filter val="CALCETEIRO / RASTELEIRO (HORISTA)"/>
            <filter val="CALCETEIRO / RASTELEIRO (MENSALISTA)"/>
            <filter val="CALHA / PERFIL PLUVIAL DE PVC, DIAMETRO ENTRE *119 E 170* MM, COMPRIMENTO DE 3 M, PARA DRENAGEM PLUVIAL PREDIAL"/>
            <filter val="CALHA MOLDURA AMERICANA DE CHAPA DE ACO GALVANIZADA NUM 26, CORTE 33 CM"/>
            <filter val="CALHA PARA AGUA FURTADA DE CHAPA DE ACO GALVANIZADA NUM 26, CORTE 40 CM"/>
            <filter val="CALHA PARA AGUA FURTADA DE CHAPA DE ACO GALVANIZADA NUM 26, CORTE 50 CM"/>
            <filter val="CALHA PLATIBANDA DE CHAPA DE ACO GALVANIZADA NUM 26, CORTE 45 CM"/>
            <filter val="CALHA QUADRADA DE CHAPA DE ACO GALVANIZADA NUM 24, CORTE 100 CM"/>
            <filter val="CALHA QUADRADA DE CHAPA DE ACO GALVANIZADA NUM 24, CORTE 33 CM"/>
            <filter val="CALHA QUADRADA DE CHAPA DE ACO GALVANIZADA NUM 24, CORTE 50 CM"/>
            <filter val="CALHA QUADRADA DE CHAPA DE ACO GALVANIZADA NUM 26, CORTE 33 CM"/>
            <filter val="CALHA QUADRADA DE CHAPA DE ACO GALVANIZADA NUM 28, CORTE 25 CM"/>
            <filter val="CALHA/CANALETA DE CONCRETO SIMPLES, TIPO MEIA CANA, DIAMETRO DE 20 CM, PARA AGUA PLUVIAL"/>
            <filter val="CALHA/CANALETA DE CONCRETO SIMPLES, TIPO MEIA CANA, DIAMETRO DE 30 CM, PARA AGUA PLUVIAL"/>
            <filter val="CALHA/CANALETA DE CONCRETO SIMPLES, TIPO MEIA CANA, DIAMETRO DE 40 CM, PARA AGUA PLUVIAL"/>
            <filter val="CALHA/CANALETA DE CONCRETO SIMPLES, TIPO MEIA CANA, DIAMETRO DE 50 CM, PARA AGUA PLUVIAL"/>
            <filter val="CALHA/CANALETA DE CONCRETO SIMPLES, TIPO MEIA CANA, DIAMETRO DE 60 CM, PARA AGUA PLUVIAL"/>
            <filter val="CALHA/CANALETA DE CONCRETO SIMPLES, TIPO MEIA CANA, DIAMETRO DE 80 CM, PARA AGUA PLUVIAL"/>
            <filter val="CENTRO DE MEDICAO AGRUPADA, EM POLICARBONATO / PVC, COM 12 MEDIDORES E PROTECAO GERAL (INCLUI BARRAMENTO, DISJUNTORES E ACESSORIOS DE FIXACAO) (PADRAO CONCESSIONARIA LOCAL)"/>
            <filter val="CENTRO DE MEDICAO AGRUPADA, EM POLICARBONATO / PVC, COM 16 MEDIDORES E PROTECAO GERAL (INCLUI BARRAMENTO, DISJUNTORES E ACESSORIOS DE FIXACAO) (PADRAO CONCESSIONARIA LOCAL)"/>
            <filter val="CENTRO DE MEDICAO AGRUPADA, EM POLICARBONATO / PVC, COM 4 MEDIDORES E PROTECAO GERAL (INCLUI BARRAMENTO, DISJUNTORES E ACESSORIOS DE FIXACAO) (PADRAO CONCESSIONARIA LOCAL)"/>
            <filter val="CENTRO DE MEDICAO AGRUPADA, EM POLICARBONATO / PVC, COM 8 MEDIDORES E PROTECAO GERAL (INCLUI BARRAMENTO, DISJUNTORES E ACESSORIOS DE FIXACAO) (PADRAO CONCESSIONARIA LOCAL)"/>
            <filter val="CRUZETA DE MADEIRA TRATADA, *90 X 115 X 2400* MM, EM EUCALIPTO OU EQUIVALENTE DA REGIAO"/>
            <filter val="EMENDA PARA CALHA PLUVIAL, PVC, DIAMETRO ENTRE 119 E 170 MM, PARA DRENAGEM PLUVIAL PREDIAL"/>
            <filter val="FINCAPINO CURTO CALIBRE 22, CARGA MEDIA POTENCIA 5 (PARA FERRAMENTA DE ACAO DIRETA) COR VERMELHA"/>
            <filter val="FINCAPINO LONGO CALIBRE 22, CARGA FORTE POTENCIA 7 (PARA FERRAMENTA DE ACAO DIRETA), COR AMARELA"/>
            <filter val="GRANILHA/ GRANA/ PEDRISCO OU AGREGADO EM MARMORE/ GRANITO/ QUARTZO E CALCARIO, PRETO, CINZA, PALHA OU BRANCO"/>
            <filter val="GUARNICAO / ALIZAR / VISTA LISA EM MADEIRA MACICA, PARA PORTA, E = *1* CM, L = *5* CM, PINUS /EUCALIPTO / VIROLA OU EQUIVALENTE DA REGIAO"/>
            <filter val="INVERSOR DE SOLDA MONOFASICO DE 200 A, POTENCIA DE *9600* W, TENSAO DE 220 V, TURBO VENTILADO, PROTECAO POR DISSIPADORES DE CALOR, PARA ELETRODOS DE *2,5 A 4,0* MM"/>
            <filter val="JANELA BASCULANTE EM MADEIRA PINUS/ EUCALIPTO/ TAUARI/ VIROLA OU EQUIVALENTE DA REGIAO, *60 X 60*, CAIXA DO BATENTE/ MARCO E = *10* CM, 2 BASCULAS PARA VIDRO, COM FERRAGENS (SEM VIDRO, SEM GUARNICAO/ALIZAR E SEM ACABAMENTO)"/>
            <filter val="JANELA BASCULANTE EM MADEIRA PINUS/ EUCALIPTO/ TAUARI/ VIROLA OU EQUIVALENTE DA REGIAO, CAIXA DO BATENTE/ MARCO *10* CM, *2* FOLHAS BASCULANTES PARA VIDRO, COM FERRAGENS (SEM VIDRO, SEM GUARNICAO/ALIZAR E SEM ACABAMENTO)"/>
            <filter val="JANELA DE ABRIR EM MADEIRA PINUS/EUCALIPTO/TAUARI/VIROLA OU EQUIVALENTE DA REGIAO, CAIXA DO BATENTE/MARCO *10* CM, 2 FOLHAS DE ABRIR TIPO VENEZIANA E 2 FOLHAS GUILHOTINA PARA VIDRO, COM FERRAGENS (SEM VIDRO, SEM GUARNICAO/ALIZAR E SEM ACABAMENTO)"/>
            <filter val="KIT ACESSORIOS PARA COMPRESSOR DE AR, 5 PECAS (PISTOLAS PINTURA, LIMPEZA E PULVERIZACAO, CALIBRADOR E MANGUEIRA)"/>
            <filter val="LOCACAO DE BOMBA SUBMERSIVEL PARA DRENAGEM E ESGOTAMENTO, MOTOR ELETRICO TRIFASICO, POTENCIA DE 1 CV, DIAMETRO DE RECALQUE DE 2&quot;. FAIXA DE OPERACAO Q=25 M3/H (+ OU - 1 M3/H) E AMT=2 M, Q=12 M3/H (+ OU - 2 M3/H) E AMT = 12 M (+ OU - 2 M)"/>
            <filter val="LOCACAO DE BOMBA SUBMERSIVEL PARA DRENAGEM E ESGOTAMENTO, MOTOR ELETRICO TRIFASICO, POTENCIA DE 2 CV, DIAMETRO DE RECALQUE DE 2&quot;, FAIXA DE OPERACAO Q=35 M3/H (+ OU - 3 M3/H) E AMT=2 M, Q=13 M3/H (+ OU - 3 M3/H) E AMT = 17 M (+ OU - 3 M)"/>
            <filter val="LOCACAO DE BOMBA SUBMERSIVEL PARA DRENAGEM E ESGOTAMENTO, MOTOR ELETRICO TRIFASICO, POTENCIA DE 2 CV, DIAMETRO DE RECALQUE DE 3&quot;. FAIXA DE OPERACAO Q=70 M3/H (+ OU - 2 M3/H) E AMT=2 M, Q=9,5 M3/H (+ OU - 3,5 M3/H) E AMT = 10 M (+ OU - 2 M)"/>
            <filter val="LOCACAO DE BOMBA SUBMERSIVEL PARA DRENAGEM E ESGOTAMENTO, MOTOR ELETRICO TRIFASICO, POTENCIA DE 3 CV, DIAMETRO DE RECALQUE DE 2&quot;, FAIXA DE OPERACAO Q=84 M3/H (+ OU - 2,5 M3/H) E AMT=2 M, Q=9,1 M3/H (+ OU - 2 M3/H) E AMT = 12 M (+ OU - 2 M)"/>
            <filter val="LOCACAO DE BOMBA SUBMERSIVEL PARA DRENAGEM E ESGOTAMENTO, MOTOR ELETRICO TRIFASICO, POTENCIA DE 4 CV, DIAMETRO DE RECALQUE DE 3&quot;. FAIXA DE OPERACAO Q=60 M3/H (+ OU - 1 M3/H) E AMT=2 M, Q=11 M3/H (+ OU - 1 M3/H) E AMT = 23 M (+ OU - 1 M)"/>
            <filter val="MADEIRA ROLICA TRATADA, D = 12 A 15 CM, H = 3,00 M, EM EUCALIPTO OU EQUIVALENTE DA REGIAO"/>
            <filter val="MADEIRA ROLICA TRATADA, D = 16 A 20 CM, H = 6,00 M, EM EUCALIPTO OU EQUIVALENTE DA REGIAO"/>
            <filter val="MADEIRA ROLICA TRATADA, D = 25 A 29 CM, H = 6,50 M, EM EUCALIPTO OU EQUIVALENTE DA REGIAO"/>
            <filter val="MADEIRA ROLICA TRATADA, D = 30 A 34 CM, H = 6,50 M, EM EUCALIPTO OU EQUIVALENTE DA REGIAO"/>
            <filter val="MANOMETRO COM CAIXA EM ACO PINTADO, ESCALA *10* KGF/CM2 (*10* BAR), DIAMETRO NOMINAL DE *63* MM, CONEXAO DE 1/4&quot;"/>
            <filter val="MANOMETRO COM CAIXA EM ACO PINTADO, ESCALA *10* KGF/CM2 (*10* BAR), DIAMETRO NOMINAL DE 100 MM, CONEXAO DE 1/2&quot;"/>
            <filter val="METACAULIM DE ALTA REATIVIDADE/CAULIM CALCINADO"/>
            <filter val="MOTOBOMBA AUTOESCORVANTE POTENCIA 5,42 HP, BOCAIS SUCCAO X RECALQUE 2&quot; X 2&quot;, A GASOLINA, DIAMETRO DO ROTOR 122 MM HM/Q = 6 MCA / 33,0 M3/H A 28 MCA / 8,0 M3/H"/>
            <filter val="MOTOBOMBA TRASH (PARA AGUA SUJA) AUTO ESCORVANTE, MOTOR GASOLINA DE 6,41 HP, DIAMETROS DE SUCCAO X RECALQUE: 3&quot; X 3&quot;, HM/Q: 10/60 A 23/0"/>
            <filter val="MOURAO ROLICO DE MADEIRA TRATADA, D = 16 A 20 CM, H = 2,20 M, EM EUCALIPTO OU EQUIVALENTE DA REGIAO (PARA CERCA)"/>
            <filter val="MOURAO ROLICO DE MADEIRA TRATADA, D = 8 A 11 CM, H = 2,20 M, EM EUCALIPTO OU EQUIVALENTE DA REGIAO (PARA CERCA)"/>
            <filter val="PEDRA GRANITICA OU BASALTICA IRREGULAR, FAIXA GRANULOMETRICA 100 A 150 MM PARA PAVIMENTACAO OU CALCAMENTO POLIEDRICO, POSTO PEDREIRA / FORNECEDOR (SEM FRETE)"/>
            <filter val="PEDRA QUARTZITO OU CALCARIO LAMINADO, CACO, TIPO CARIRI, ITACOLOMI, LAGOA SANTA, LUMINARIA, PIRENOPOLIS, SAO TOME OU OUTRAS SIMILARES DA REGIAO, E= *1,5 A *2,5 CM"/>
            <filter val="PEDRA QUARTZITO OU CALCARIO LAMINADO, SERRADA, TIPO CARIRI, ITACOLOMI, LAGOA SANTA, LUMINARIA, PIRENOPOLIS, SAO TOME OU OUTRAS SIMILARES DA REGIAO, *20 X *40 CM, E= *1,5 A *2,5 CM"/>
            <filter val="PELICULA REFLETIVA, GT 7 ANOS PARA SINALIZACAO VERTICAL"/>
            <filter val="PERFURATRIZ PARA FURO DIRECIONAL HORIZONTAL (HDD) COM CAPACIDADE ATE 89 KN, POTENCIA 24,8 HP A 80 HP (INCLUSO FERRAMENTAS E LOCALIZADOR), PARA REDE SUBTERRANEA"/>
            <filter val="PERFURATRIZ PARA FURO DIRECIONAL HORIZONTAL (HDD) COM CAPACIDADE DE 201 KN A 560 KN, POTENCIA 200 HP A 260 HP (INCLUSO FERRAMENTAS E LOCALIZADOR), PARA REDE SUBTERRANEA"/>
            <filter val="PERFURATRIZ PARA FURO DIRECIONAL HORIZONTAL (HDD) COM CAPACIDADE DE 90 KN A 200 KN, POTENCIA 100 HP A 160 HP (INCLUSO FERRAMENTAS E LOCALIZADOR), PARA REDE SUBTERRANEA"/>
            <filter val="PONTALETE ROLICO SEM TRATAMENTO, D = 8 A 11 CM, H = 3 M, EM EUCALIPTO OU EQUIVALENTE DA REGIAO - BRUTA (PARA ESCORAMENTO)"/>
            <filter val="PONTALETE ROLICO SEM TRATAMENTO, D = 8 A 11 CM, H = 6 M, EM EUCALIPTO OU EQUIVALENTE DA REGIAO - BRUTA (PARA ESCORAMENTO)"/>
            <filter val="PORTA DE ABRIR / GIRO, EM MADEIRA MACICA (ANGELIM OU EQUIVALENTE REGIONAL), QUALQUER DESENHO (VERTICAL/DIAGONAL/HORIZ.), E = *3,5* CM, DIMENSOES 2,10 X 0,70 (SOMENTE FOLHA DE PORTA, ACABAMENTO NATURAL)"/>
            <filter val="PORTA DE MADEIRA QUADRICULADA PARA VIDRO, DE CORRER (EUCALIPTO OU EQUIVALENTE REGIONAL), E = *3,5* CM"/>
            <filter val="PORTA DE MADEIRA TIPO VENEZIANA (EUCALIPTO OU EQUIVALENTE REGIONAL), E = *3,5* CM"/>
            <filter val="PORTAO DE ABRIR / GIRO, EM GRADIL DE METALON REDONDO DE 3/4&quot; VERTICAL, COM REQUADRO, ACABAMENTO NATURAL - COMPLETO"/>
            <filter val="PORTAO DE CORRER EM GRADIL FIXO DE BARRA DE FERRO CHATA DE 3 X 1/4&quot; NA VERTICAL, SEM REQUADRO, ACABAMENTO NATURAL, COM TRILHOS E ROLDANAS"/>
            <filter val="POSTE ROLICO DE MADEIRA TRATADA, D = 20 A 25 CM, H = 12,00 M, EM EUCALIPTO OU EQUIVALENTE DA REGIAO"/>
            <filter val="PRUMO DE CENTRO EM ACO *400* G, COM CORDAO EM NYLON E CALCO GUIA EM ACO OU MADEIRA"/>
            <filter val="RALO FOFO SEMIESFERICO, 100 MM, PARA LAJES/ CALHAS"/>
            <filter val="RALO FOFO SEMIESFERICO, 150 MM, PARA LAJES/ CALHAS"/>
            <filter val="RALO FOFO SEMIESFERICO, 200 MM, PARA LAJES/ CALHAS"/>
            <filter val="RALO FOFO SEMIESFERICO, 75 MM, PARA LAJES/ CALHAS"/>
            <filter val="ROTACAO VERTICAL DUPLO, EM TUBO DE ACO CARBONO, PINTURA NO PROCESSO ELETROSTATICO - EQUIPAMENTO DE GINASTICA PARA ACADEMIA AO AR LIVRE / ACADEMIA DA TERCEIRA IDADE - ATI"/>
            <filter val="SELANTE TIPO VEDA CALHA PARA METAL E FIBROCIMENTO"/>
            <filter val="SUPORTE METALICO PARA CALHA PLUVIAL, ZINCADO, DOBRADO, DIAMETRO ENTRE 119 E 170 MM, PARA DRENAGEM PLUVIAL PREDIAL"/>
            <filter val="SUPORTE PARA CALHA DE 150 MM EM ACO GALVANIZADO"/>
            <filter val="TELA DE FIBRA DE VIDRO, ACABAMENTO ANTI-ALCALINO, MALHA 10 X 10 MM"/>
            <filter val="TUBO / MANGUEIRA PRETA EM POLIETILENO, LINHA PESADA OU REFORCADA, TIPO ESPAGUETE, PARA INJECAO DE CALDA DE CIMENTO, D = 1/2&quot;, ESPESSURA 1,5 MM"/>
            <filter val="UNIFORME PROFISSIONAL DE BRIM, CALCA E CAMISA MANGA LONGA COM FAIXA REFLETIVA"/>
            <filter val="USINA MISTURADORA DE SOLOS, DOSADORES TRIPLOS, CALHA VIBRATORIA CAPACIDADE DE 200 A 500 T/H, POTENCIA DE 75 KW"/>
            <filter val="VALVULA DE RETENCAO VERTICAL, DE BRONZE (PN-16), 1 1/2&quot;, 200 PSI, EXTREMIDADES COM ROSCA"/>
            <filter val="VALVULA DE RETENCAO VERTICAL, DE BRONZE (PN-16), 1 1/4&quot;, 200 PSI, EXTREMIDADES COM ROSCA"/>
            <filter val="VALVULA DE RETENCAO VERTICAL, DE BRONZE (PN-16), 1&quot;, 200 PSI, EXTREMIDADES COM ROSCA"/>
            <filter val="VALVULA DE RETENCAO VERTICAL, DE BRONZE (PN-16), 1/2&quot;, 200 PSI, EXTREMIDADES COM ROSCA"/>
            <filter val="VALVULA DE RETENCAO VERTICAL, DE BRONZE (PN-16), 2 1/2&quot;, 200 PSI, EXTREMIDADES COM ROSCA"/>
            <filter val="VALVULA DE RETENCAO VERTICAL, DE BRONZE (PN-16), 2&quot;, 200 PSI, EXTREMIDADES COM ROSCA"/>
            <filter val="VALVULA DE RETENCAO VERTICAL, DE BRONZE (PN-16), 3&quot;, 200 PSI, EXTREMIDADES COM ROSCA"/>
            <filter val="VALVULA DE RETENCAO VERTICAL, DE BRONZE (PN-16), 3/4&quot;, 200 PSI, EXTREMIDADES COM ROSCA"/>
            <filter val="VALVULA DE RETENCAO VERTICAL, DE BRONZE (PN-16), 4&quot;, 200 PSI, EXTREMIDADES COM ROSCA"/>
            <filter val="VEDACAO DE CALHA, EM BORRACHA COR PRETA, MEDIDA ENTRE 119 E 170 MM, PARA DRENAGEM PLUVIAL PREDIAL"/>
          </mc:Fallback>
        </mc:AlternateContent>
      </filters>
    </filterColumn>
  </autoFilter>
  <pageMargins left="0.511811024" right="0.511811024" top="0.78740157499999996" bottom="0.78740157499999996" header="0.31496062000000002" footer="0.31496062000000002"/>
  <pageSetup paperSize="9" orientation="portrait" horizontalDpi="0"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filterMode="1"/>
  <dimension ref="A1:K542"/>
  <sheetViews>
    <sheetView zoomScale="80" zoomScaleNormal="80" workbookViewId="0">
      <selection activeCell="E578" sqref="E578"/>
    </sheetView>
  </sheetViews>
  <sheetFormatPr defaultRowHeight="15" x14ac:dyDescent="0.25"/>
  <cols>
    <col min="1" max="1" width="9.28515625" customWidth="1"/>
    <col min="2" max="2" width="120" customWidth="1"/>
    <col min="3" max="11" width="18" customWidth="1"/>
  </cols>
  <sheetData>
    <row r="1" spans="1:11" ht="48" customHeight="1" x14ac:dyDescent="0.25">
      <c r="A1" s="539" t="s">
        <v>5574</v>
      </c>
      <c r="B1" s="540" t="s">
        <v>211</v>
      </c>
      <c r="C1" s="540" t="s">
        <v>5575</v>
      </c>
      <c r="D1" s="540" t="s">
        <v>5576</v>
      </c>
      <c r="E1" s="540" t="s">
        <v>5577</v>
      </c>
      <c r="F1" s="540" t="s">
        <v>5578</v>
      </c>
      <c r="G1" s="540" t="s">
        <v>5579</v>
      </c>
      <c r="H1" s="540" t="s">
        <v>5580</v>
      </c>
      <c r="I1" s="540" t="s">
        <v>5581</v>
      </c>
      <c r="J1" s="540" t="s">
        <v>5582</v>
      </c>
      <c r="K1" s="541" t="s">
        <v>5583</v>
      </c>
    </row>
    <row r="2" spans="1:11" ht="15.75" hidden="1" customHeight="1" x14ac:dyDescent="0.25">
      <c r="A2" s="542" t="s">
        <v>5584</v>
      </c>
      <c r="B2" s="543" t="s">
        <v>5585</v>
      </c>
      <c r="C2" s="544">
        <v>71859.275299999994</v>
      </c>
      <c r="D2" s="544">
        <v>9.5812000000000008</v>
      </c>
      <c r="E2" s="544">
        <v>1.4779</v>
      </c>
      <c r="F2" s="544">
        <v>0</v>
      </c>
      <c r="G2" s="544">
        <v>7.1859000000000002</v>
      </c>
      <c r="H2" s="544">
        <v>0</v>
      </c>
      <c r="I2" s="544">
        <v>0</v>
      </c>
      <c r="J2" s="544">
        <v>18.245000000000001</v>
      </c>
      <c r="K2" s="544">
        <v>11.059100000000001</v>
      </c>
    </row>
    <row r="3" spans="1:11" ht="15.75" hidden="1" customHeight="1" x14ac:dyDescent="0.25">
      <c r="A3" s="542" t="s">
        <v>5586</v>
      </c>
      <c r="B3" s="543" t="s">
        <v>5587</v>
      </c>
      <c r="C3" s="544">
        <v>94130.843800000002</v>
      </c>
      <c r="D3" s="544">
        <v>12.550800000000001</v>
      </c>
      <c r="E3" s="544">
        <v>1.9359999999999999</v>
      </c>
      <c r="F3" s="544">
        <v>0</v>
      </c>
      <c r="G3" s="544">
        <v>9.4131</v>
      </c>
      <c r="H3" s="544">
        <v>0</v>
      </c>
      <c r="I3" s="544">
        <v>0</v>
      </c>
      <c r="J3" s="544">
        <v>23.899899999999999</v>
      </c>
      <c r="K3" s="544">
        <v>14.486800000000001</v>
      </c>
    </row>
    <row r="4" spans="1:11" ht="15.75" hidden="1" customHeight="1" x14ac:dyDescent="0.25">
      <c r="A4" s="542" t="s">
        <v>5588</v>
      </c>
      <c r="B4" s="543" t="s">
        <v>5589</v>
      </c>
      <c r="C4" s="544">
        <v>98387.472299999994</v>
      </c>
      <c r="D4" s="544">
        <v>13.1183</v>
      </c>
      <c r="E4" s="544">
        <v>2.0234999999999999</v>
      </c>
      <c r="F4" s="544">
        <v>0</v>
      </c>
      <c r="G4" s="544">
        <v>9.8386999999999993</v>
      </c>
      <c r="H4" s="544">
        <v>0</v>
      </c>
      <c r="I4" s="544">
        <v>0</v>
      </c>
      <c r="J4" s="544">
        <v>24.980499999999999</v>
      </c>
      <c r="K4" s="544">
        <v>15.1418</v>
      </c>
    </row>
    <row r="5" spans="1:11" ht="15.75" hidden="1" customHeight="1" x14ac:dyDescent="0.25">
      <c r="A5" s="542" t="s">
        <v>5590</v>
      </c>
      <c r="B5" s="543" t="s">
        <v>5591</v>
      </c>
      <c r="C5" s="544">
        <v>124378.6197</v>
      </c>
      <c r="D5" s="544">
        <v>16.5838</v>
      </c>
      <c r="E5" s="544">
        <v>2.5581</v>
      </c>
      <c r="F5" s="544">
        <v>0</v>
      </c>
      <c r="G5" s="544">
        <v>12.437900000000001</v>
      </c>
      <c r="H5" s="544">
        <v>0</v>
      </c>
      <c r="I5" s="544">
        <v>0</v>
      </c>
      <c r="J5" s="544">
        <v>31.579799999999999</v>
      </c>
      <c r="K5" s="544">
        <v>19.1419</v>
      </c>
    </row>
    <row r="6" spans="1:11" ht="15.75" hidden="1" customHeight="1" x14ac:dyDescent="0.25">
      <c r="A6" s="542" t="s">
        <v>5592</v>
      </c>
      <c r="B6" s="543" t="s">
        <v>5593</v>
      </c>
      <c r="C6" s="544">
        <v>147014.24429999999</v>
      </c>
      <c r="D6" s="544">
        <v>19.601900000000001</v>
      </c>
      <c r="E6" s="544">
        <v>3.0236000000000001</v>
      </c>
      <c r="F6" s="544">
        <v>0</v>
      </c>
      <c r="G6" s="544">
        <v>14.7014</v>
      </c>
      <c r="H6" s="544">
        <v>0</v>
      </c>
      <c r="I6" s="544">
        <v>0</v>
      </c>
      <c r="J6" s="544">
        <v>37.326900000000002</v>
      </c>
      <c r="K6" s="544">
        <v>22.625499999999999</v>
      </c>
    </row>
    <row r="7" spans="1:11" ht="15.75" hidden="1" customHeight="1" x14ac:dyDescent="0.25">
      <c r="A7" s="542" t="s">
        <v>5594</v>
      </c>
      <c r="B7" s="543" t="s">
        <v>5595</v>
      </c>
      <c r="C7" s="544">
        <v>4884.3631999999998</v>
      </c>
      <c r="D7" s="544">
        <v>0.83030000000000004</v>
      </c>
      <c r="E7" s="544">
        <v>0.1055</v>
      </c>
      <c r="F7" s="544">
        <v>0</v>
      </c>
      <c r="G7" s="544">
        <v>0.4884</v>
      </c>
      <c r="H7" s="544">
        <v>0</v>
      </c>
      <c r="I7" s="544">
        <v>0</v>
      </c>
      <c r="J7" s="544">
        <v>1.4241999999999999</v>
      </c>
      <c r="K7" s="544">
        <v>0.93579999999999997</v>
      </c>
    </row>
    <row r="8" spans="1:11" ht="15.75" hidden="1" customHeight="1" x14ac:dyDescent="0.25">
      <c r="A8" s="542" t="s">
        <v>5596</v>
      </c>
      <c r="B8" s="543" t="s">
        <v>5597</v>
      </c>
      <c r="C8" s="544">
        <v>165469.13699999999</v>
      </c>
      <c r="D8" s="544">
        <v>16.546900000000001</v>
      </c>
      <c r="E8" s="544">
        <v>3.1905000000000001</v>
      </c>
      <c r="F8" s="544">
        <v>0</v>
      </c>
      <c r="G8" s="544">
        <v>14.4785</v>
      </c>
      <c r="H8" s="544">
        <v>8.4481000000000002</v>
      </c>
      <c r="I8" s="544">
        <v>0</v>
      </c>
      <c r="J8" s="544">
        <v>42.664000000000001</v>
      </c>
      <c r="K8" s="544">
        <v>19.737400000000001</v>
      </c>
    </row>
    <row r="9" spans="1:11" ht="15.75" hidden="1" customHeight="1" x14ac:dyDescent="0.25">
      <c r="A9" s="542" t="s">
        <v>5598</v>
      </c>
      <c r="B9" s="543" t="s">
        <v>5599</v>
      </c>
      <c r="C9" s="544">
        <v>1521.5773999999999</v>
      </c>
      <c r="D9" s="544">
        <v>1.3694</v>
      </c>
      <c r="E9" s="544">
        <v>7.0400000000000004E-2</v>
      </c>
      <c r="F9" s="544">
        <v>0</v>
      </c>
      <c r="G9" s="544">
        <v>0.76080000000000003</v>
      </c>
      <c r="H9" s="544">
        <v>0</v>
      </c>
      <c r="I9" s="544">
        <v>0</v>
      </c>
      <c r="J9" s="544">
        <v>2.2006000000000001</v>
      </c>
      <c r="K9" s="544">
        <v>1.4398</v>
      </c>
    </row>
    <row r="10" spans="1:11" ht="15.75" hidden="1" customHeight="1" x14ac:dyDescent="0.25">
      <c r="A10" s="542" t="s">
        <v>5600</v>
      </c>
      <c r="B10" s="543" t="s">
        <v>5601</v>
      </c>
      <c r="C10" s="544">
        <v>622274.90209999995</v>
      </c>
      <c r="D10" s="544">
        <v>7.1231</v>
      </c>
      <c r="E10" s="544">
        <v>3.577</v>
      </c>
      <c r="F10" s="544">
        <v>0</v>
      </c>
      <c r="G10" s="544">
        <v>15.8291</v>
      </c>
      <c r="H10" s="544">
        <v>276.10860000000002</v>
      </c>
      <c r="I10" s="544">
        <v>125.6335</v>
      </c>
      <c r="J10" s="544">
        <v>428.2713</v>
      </c>
      <c r="K10" s="544">
        <v>136.33359999999999</v>
      </c>
    </row>
    <row r="11" spans="1:11" ht="15.75" hidden="1" customHeight="1" x14ac:dyDescent="0.25">
      <c r="A11" s="542" t="s">
        <v>5602</v>
      </c>
      <c r="B11" s="543" t="s">
        <v>5603</v>
      </c>
      <c r="C11" s="544">
        <v>4204.3329999999996</v>
      </c>
      <c r="D11" s="544">
        <v>0.63060000000000005</v>
      </c>
      <c r="E11" s="544">
        <v>8.6499999999999994E-2</v>
      </c>
      <c r="F11" s="544">
        <v>0</v>
      </c>
      <c r="G11" s="544">
        <v>0.35039999999999999</v>
      </c>
      <c r="H11" s="544">
        <v>0</v>
      </c>
      <c r="I11" s="544">
        <v>0</v>
      </c>
      <c r="J11" s="544">
        <v>1.0674999999999999</v>
      </c>
      <c r="K11" s="544">
        <v>0.71709999999999996</v>
      </c>
    </row>
    <row r="12" spans="1:11" ht="15.75" hidden="1" customHeight="1" x14ac:dyDescent="0.25">
      <c r="A12" s="542" t="s">
        <v>5604</v>
      </c>
      <c r="B12" s="543" t="s">
        <v>5605</v>
      </c>
      <c r="C12" s="544">
        <v>1718.1656</v>
      </c>
      <c r="D12" s="544">
        <v>0.30930000000000002</v>
      </c>
      <c r="E12" s="544">
        <v>3.7100000000000001E-2</v>
      </c>
      <c r="F12" s="544">
        <v>0</v>
      </c>
      <c r="G12" s="544">
        <v>0.17180000000000001</v>
      </c>
      <c r="H12" s="544">
        <v>0</v>
      </c>
      <c r="I12" s="544">
        <v>0</v>
      </c>
      <c r="J12" s="544">
        <v>0.51819999999999999</v>
      </c>
      <c r="K12" s="544">
        <v>0.34639999999999999</v>
      </c>
    </row>
    <row r="13" spans="1:11" ht="15.75" hidden="1" customHeight="1" x14ac:dyDescent="0.25">
      <c r="A13" s="542" t="s">
        <v>5606</v>
      </c>
      <c r="B13" s="543" t="s">
        <v>5607</v>
      </c>
      <c r="C13" s="544">
        <v>2296757.3990000002</v>
      </c>
      <c r="D13" s="544">
        <v>183.7406</v>
      </c>
      <c r="E13" s="544">
        <v>42.512999999999998</v>
      </c>
      <c r="F13" s="544">
        <v>0</v>
      </c>
      <c r="G13" s="544">
        <v>114.8379</v>
      </c>
      <c r="H13" s="544">
        <v>0</v>
      </c>
      <c r="I13" s="544">
        <v>32.764899999999997</v>
      </c>
      <c r="J13" s="544">
        <v>373.85640000000001</v>
      </c>
      <c r="K13" s="544">
        <v>259.01850000000002</v>
      </c>
    </row>
    <row r="14" spans="1:11" ht="15.75" hidden="1" customHeight="1" x14ac:dyDescent="0.25">
      <c r="A14" s="542" t="s">
        <v>5608</v>
      </c>
      <c r="B14" s="543" t="s">
        <v>5609</v>
      </c>
      <c r="C14" s="544">
        <v>68159.685500000007</v>
      </c>
      <c r="D14" s="544">
        <v>5.4527999999999999</v>
      </c>
      <c r="E14" s="544">
        <v>1.2616000000000001</v>
      </c>
      <c r="F14" s="544">
        <v>0</v>
      </c>
      <c r="G14" s="544">
        <v>4.7712000000000003</v>
      </c>
      <c r="H14" s="544">
        <v>0</v>
      </c>
      <c r="I14" s="544">
        <v>23.799499999999998</v>
      </c>
      <c r="J14" s="544">
        <v>35.2851</v>
      </c>
      <c r="K14" s="544">
        <v>30.5139</v>
      </c>
    </row>
    <row r="15" spans="1:11" ht="15.75" hidden="1" customHeight="1" x14ac:dyDescent="0.25">
      <c r="A15" s="542" t="s">
        <v>5610</v>
      </c>
      <c r="B15" s="543" t="s">
        <v>5611</v>
      </c>
      <c r="C15" s="544">
        <v>10352080.199999999</v>
      </c>
      <c r="D15" s="544">
        <v>1449.2911999999999</v>
      </c>
      <c r="E15" s="544">
        <v>223.5532</v>
      </c>
      <c r="F15" s="544">
        <v>0</v>
      </c>
      <c r="G15" s="544">
        <v>1863.3743999999999</v>
      </c>
      <c r="H15" s="544">
        <v>98.232200000000006</v>
      </c>
      <c r="I15" s="544">
        <v>42.84</v>
      </c>
      <c r="J15" s="544">
        <v>3677.2910000000002</v>
      </c>
      <c r="K15" s="544">
        <v>1715.6844000000001</v>
      </c>
    </row>
    <row r="16" spans="1:11" ht="15.75" hidden="1" customHeight="1" x14ac:dyDescent="0.25">
      <c r="A16" s="542" t="s">
        <v>5612</v>
      </c>
      <c r="B16" s="543" t="s">
        <v>5613</v>
      </c>
      <c r="C16" s="544">
        <v>709384.98569999996</v>
      </c>
      <c r="D16" s="544">
        <v>58.419899999999998</v>
      </c>
      <c r="E16" s="544">
        <v>13.5169</v>
      </c>
      <c r="F16" s="544">
        <v>0</v>
      </c>
      <c r="G16" s="544">
        <v>58.419899999999998</v>
      </c>
      <c r="H16" s="544">
        <v>45.114400000000003</v>
      </c>
      <c r="I16" s="544">
        <v>33.497199999999999</v>
      </c>
      <c r="J16" s="544">
        <v>208.9683</v>
      </c>
      <c r="K16" s="544">
        <v>105.434</v>
      </c>
    </row>
    <row r="17" spans="1:11" ht="15.75" hidden="1" customHeight="1" x14ac:dyDescent="0.25">
      <c r="A17" s="542" t="s">
        <v>5614</v>
      </c>
      <c r="B17" s="543" t="s">
        <v>5615</v>
      </c>
      <c r="C17" s="544">
        <v>5745072.7470000004</v>
      </c>
      <c r="D17" s="544">
        <v>804.31020000000001</v>
      </c>
      <c r="E17" s="544">
        <v>124.06480000000001</v>
      </c>
      <c r="F17" s="544">
        <v>0</v>
      </c>
      <c r="G17" s="544">
        <v>1149.0145</v>
      </c>
      <c r="H17" s="544">
        <v>493.4384</v>
      </c>
      <c r="I17" s="544">
        <v>42.84</v>
      </c>
      <c r="J17" s="544">
        <v>2613.6678999999999</v>
      </c>
      <c r="K17" s="544">
        <v>971.21500000000003</v>
      </c>
    </row>
    <row r="18" spans="1:11" ht="15.75" hidden="1" customHeight="1" x14ac:dyDescent="0.25">
      <c r="A18" s="542" t="s">
        <v>5616</v>
      </c>
      <c r="B18" s="543" t="s">
        <v>5617</v>
      </c>
      <c r="C18" s="544">
        <v>328110.7084</v>
      </c>
      <c r="D18" s="544">
        <v>22.967700000000001</v>
      </c>
      <c r="E18" s="544">
        <v>6.0732999999999997</v>
      </c>
      <c r="F18" s="544">
        <v>0</v>
      </c>
      <c r="G18" s="544">
        <v>16.4055</v>
      </c>
      <c r="H18" s="544">
        <v>376.04340000000002</v>
      </c>
      <c r="I18" s="544">
        <v>0</v>
      </c>
      <c r="J18" s="544">
        <v>421.48989999999998</v>
      </c>
      <c r="K18" s="544">
        <v>29.041</v>
      </c>
    </row>
    <row r="19" spans="1:11" ht="15.75" hidden="1" customHeight="1" x14ac:dyDescent="0.25">
      <c r="A19" s="542" t="s">
        <v>5618</v>
      </c>
      <c r="B19" s="543" t="s">
        <v>5619</v>
      </c>
      <c r="C19" s="544">
        <v>730109.60609999998</v>
      </c>
      <c r="D19" s="544">
        <v>36.505499999999998</v>
      </c>
      <c r="E19" s="544">
        <v>12.513299999999999</v>
      </c>
      <c r="F19" s="544">
        <v>0</v>
      </c>
      <c r="G19" s="544">
        <v>28.3932</v>
      </c>
      <c r="H19" s="544">
        <v>0</v>
      </c>
      <c r="I19" s="544">
        <v>23.799499999999998</v>
      </c>
      <c r="J19" s="544">
        <v>101.2115</v>
      </c>
      <c r="K19" s="544">
        <v>72.818299999999994</v>
      </c>
    </row>
    <row r="20" spans="1:11" ht="15.75" hidden="1" customHeight="1" x14ac:dyDescent="0.25">
      <c r="A20" s="542" t="s">
        <v>5620</v>
      </c>
      <c r="B20" s="543" t="s">
        <v>5621</v>
      </c>
      <c r="C20" s="544">
        <v>4005992.96</v>
      </c>
      <c r="D20" s="544">
        <v>155.7886</v>
      </c>
      <c r="E20" s="544">
        <v>68.658299999999997</v>
      </c>
      <c r="F20" s="544">
        <v>0</v>
      </c>
      <c r="G20" s="544">
        <v>222.55520000000001</v>
      </c>
      <c r="H20" s="544">
        <v>73.202399999999997</v>
      </c>
      <c r="I20" s="544">
        <v>42.84</v>
      </c>
      <c r="J20" s="544">
        <v>563.04449999999997</v>
      </c>
      <c r="K20" s="544">
        <v>267.2869</v>
      </c>
    </row>
    <row r="21" spans="1:11" ht="15.75" hidden="1" customHeight="1" x14ac:dyDescent="0.25">
      <c r="A21" s="542" t="s">
        <v>5622</v>
      </c>
      <c r="B21" s="543" t="s">
        <v>5623</v>
      </c>
      <c r="C21" s="544">
        <v>8358.3866999999991</v>
      </c>
      <c r="D21" s="544">
        <v>1.3372999999999999</v>
      </c>
      <c r="E21" s="544">
        <v>0.18049999999999999</v>
      </c>
      <c r="F21" s="544">
        <v>0</v>
      </c>
      <c r="G21" s="544">
        <v>1.1701999999999999</v>
      </c>
      <c r="H21" s="544">
        <v>0</v>
      </c>
      <c r="I21" s="544">
        <v>23.799499999999998</v>
      </c>
      <c r="J21" s="544">
        <v>26.487500000000001</v>
      </c>
      <c r="K21" s="544">
        <v>25.317299999999999</v>
      </c>
    </row>
    <row r="22" spans="1:11" ht="15.75" hidden="1" customHeight="1" x14ac:dyDescent="0.25">
      <c r="A22" s="542" t="s">
        <v>5624</v>
      </c>
      <c r="B22" s="543" t="s">
        <v>5625</v>
      </c>
      <c r="C22" s="544">
        <v>106149.0796</v>
      </c>
      <c r="D22" s="544">
        <v>6.0656999999999996</v>
      </c>
      <c r="E22" s="544">
        <v>1.8713</v>
      </c>
      <c r="F22" s="544">
        <v>0</v>
      </c>
      <c r="G22" s="544">
        <v>6.0656999999999996</v>
      </c>
      <c r="H22" s="544">
        <v>0</v>
      </c>
      <c r="I22" s="544">
        <v>42.84</v>
      </c>
      <c r="J22" s="544">
        <v>56.842700000000001</v>
      </c>
      <c r="K22" s="544">
        <v>50.777000000000001</v>
      </c>
    </row>
    <row r="23" spans="1:11" ht="15.75" hidden="1" customHeight="1" x14ac:dyDescent="0.25">
      <c r="A23" s="542" t="s">
        <v>5626</v>
      </c>
      <c r="B23" s="543" t="s">
        <v>5627</v>
      </c>
      <c r="C23" s="544">
        <v>33959.035100000001</v>
      </c>
      <c r="D23" s="544">
        <v>3.3959000000000001</v>
      </c>
      <c r="E23" s="544">
        <v>0.65480000000000005</v>
      </c>
      <c r="F23" s="544">
        <v>0</v>
      </c>
      <c r="G23" s="544">
        <v>2.9714</v>
      </c>
      <c r="H23" s="544">
        <v>0</v>
      </c>
      <c r="I23" s="544">
        <v>0</v>
      </c>
      <c r="J23" s="544">
        <v>7.0221</v>
      </c>
      <c r="K23" s="544">
        <v>4.0507</v>
      </c>
    </row>
    <row r="24" spans="1:11" ht="15.75" hidden="1" customHeight="1" x14ac:dyDescent="0.25">
      <c r="A24" s="542" t="s">
        <v>5628</v>
      </c>
      <c r="B24" s="543" t="s">
        <v>5629</v>
      </c>
      <c r="C24" s="544">
        <v>5372.1500999999998</v>
      </c>
      <c r="D24" s="544">
        <v>1.0744</v>
      </c>
      <c r="E24" s="544">
        <v>0.12429999999999999</v>
      </c>
      <c r="F24" s="544">
        <v>0</v>
      </c>
      <c r="G24" s="544">
        <v>1.2087000000000001</v>
      </c>
      <c r="H24" s="544">
        <v>9.7294999999999998</v>
      </c>
      <c r="I24" s="544">
        <v>23.799499999999998</v>
      </c>
      <c r="J24" s="544">
        <v>35.936399999999999</v>
      </c>
      <c r="K24" s="544">
        <v>24.998200000000001</v>
      </c>
    </row>
    <row r="25" spans="1:11" ht="15.75" hidden="1" customHeight="1" x14ac:dyDescent="0.25">
      <c r="A25" s="542" t="s">
        <v>5630</v>
      </c>
      <c r="B25" s="543" t="s">
        <v>5631</v>
      </c>
      <c r="C25" s="544">
        <v>134980.53779999999</v>
      </c>
      <c r="D25" s="544">
        <v>7.7131999999999996</v>
      </c>
      <c r="E25" s="544">
        <v>2.3795000000000002</v>
      </c>
      <c r="F25" s="544">
        <v>0</v>
      </c>
      <c r="G25" s="544">
        <v>7.7131999999999996</v>
      </c>
      <c r="H25" s="544">
        <v>0</v>
      </c>
      <c r="I25" s="544">
        <v>42.84</v>
      </c>
      <c r="J25" s="544">
        <v>60.645899999999997</v>
      </c>
      <c r="K25" s="544">
        <v>52.932699999999997</v>
      </c>
    </row>
    <row r="26" spans="1:11" ht="15.75" hidden="1" customHeight="1" x14ac:dyDescent="0.25">
      <c r="A26" s="542" t="s">
        <v>5632</v>
      </c>
      <c r="B26" s="543" t="s">
        <v>5633</v>
      </c>
      <c r="C26" s="544">
        <v>14554.101199999999</v>
      </c>
      <c r="D26" s="544">
        <v>0.83169999999999999</v>
      </c>
      <c r="E26" s="544">
        <v>0.25659999999999999</v>
      </c>
      <c r="F26" s="544">
        <v>0</v>
      </c>
      <c r="G26" s="544">
        <v>0.83169999999999999</v>
      </c>
      <c r="H26" s="544">
        <v>0</v>
      </c>
      <c r="I26" s="544">
        <v>0</v>
      </c>
      <c r="J26" s="544">
        <v>1.92</v>
      </c>
      <c r="K26" s="544">
        <v>1.0883</v>
      </c>
    </row>
    <row r="27" spans="1:11" ht="15.75" hidden="1" customHeight="1" x14ac:dyDescent="0.25">
      <c r="A27" s="542" t="s">
        <v>5634</v>
      </c>
      <c r="B27" s="543" t="s">
        <v>5635</v>
      </c>
      <c r="C27" s="544">
        <v>332677.37709999998</v>
      </c>
      <c r="D27" s="544">
        <v>26.6142</v>
      </c>
      <c r="E27" s="544">
        <v>6.1578999999999997</v>
      </c>
      <c r="F27" s="544">
        <v>0</v>
      </c>
      <c r="G27" s="544">
        <v>23.287400000000002</v>
      </c>
      <c r="H27" s="544">
        <v>0</v>
      </c>
      <c r="I27" s="544">
        <v>23.799499999999998</v>
      </c>
      <c r="J27" s="544">
        <v>79.858999999999995</v>
      </c>
      <c r="K27" s="544">
        <v>56.571599999999997</v>
      </c>
    </row>
    <row r="28" spans="1:11" ht="15.75" hidden="1" customHeight="1" x14ac:dyDescent="0.25">
      <c r="A28" s="542" t="s">
        <v>5636</v>
      </c>
      <c r="B28" s="543" t="s">
        <v>5637</v>
      </c>
      <c r="C28" s="544">
        <v>78384.940400000007</v>
      </c>
      <c r="D28" s="544">
        <v>4.4790999999999999</v>
      </c>
      <c r="E28" s="544">
        <v>1.3817999999999999</v>
      </c>
      <c r="F28" s="544">
        <v>0</v>
      </c>
      <c r="G28" s="544">
        <v>4.4790999999999999</v>
      </c>
      <c r="H28" s="544">
        <v>0</v>
      </c>
      <c r="I28" s="544">
        <v>42.84</v>
      </c>
      <c r="J28" s="544">
        <v>53.18</v>
      </c>
      <c r="K28" s="544">
        <v>48.700899999999997</v>
      </c>
    </row>
    <row r="29" spans="1:11" ht="15.75" hidden="1" customHeight="1" x14ac:dyDescent="0.25">
      <c r="A29" s="542" t="s">
        <v>5638</v>
      </c>
      <c r="B29" s="543" t="s">
        <v>5639</v>
      </c>
      <c r="C29" s="544">
        <v>111974.6781</v>
      </c>
      <c r="D29" s="544">
        <v>6.3986000000000001</v>
      </c>
      <c r="E29" s="544">
        <v>1.974</v>
      </c>
      <c r="F29" s="544">
        <v>0</v>
      </c>
      <c r="G29" s="544">
        <v>6.3986000000000001</v>
      </c>
      <c r="H29" s="544">
        <v>0</v>
      </c>
      <c r="I29" s="544">
        <v>42.84</v>
      </c>
      <c r="J29" s="544">
        <v>57.611199999999997</v>
      </c>
      <c r="K29" s="544">
        <v>51.212600000000002</v>
      </c>
    </row>
    <row r="30" spans="1:11" ht="15.75" hidden="1" customHeight="1" x14ac:dyDescent="0.25">
      <c r="A30" s="542" t="s">
        <v>5640</v>
      </c>
      <c r="B30" s="543" t="s">
        <v>5641</v>
      </c>
      <c r="C30" s="544">
        <v>167950.68909999999</v>
      </c>
      <c r="D30" s="544">
        <v>9.5972000000000008</v>
      </c>
      <c r="E30" s="544">
        <v>2.9607000000000001</v>
      </c>
      <c r="F30" s="544">
        <v>0</v>
      </c>
      <c r="G30" s="544">
        <v>9.5972000000000008</v>
      </c>
      <c r="H30" s="544">
        <v>0</v>
      </c>
      <c r="I30" s="544">
        <v>42.84</v>
      </c>
      <c r="J30" s="544">
        <v>64.995099999999994</v>
      </c>
      <c r="K30" s="544">
        <v>55.3979</v>
      </c>
    </row>
    <row r="31" spans="1:11" ht="15.75" hidden="1" customHeight="1" x14ac:dyDescent="0.25">
      <c r="A31" s="542" t="s">
        <v>5642</v>
      </c>
      <c r="B31" s="543" t="s">
        <v>5643</v>
      </c>
      <c r="C31" s="544">
        <v>223926.89670000001</v>
      </c>
      <c r="D31" s="544">
        <v>12.7958</v>
      </c>
      <c r="E31" s="544">
        <v>3.9474999999999998</v>
      </c>
      <c r="F31" s="544">
        <v>0</v>
      </c>
      <c r="G31" s="544">
        <v>12.7958</v>
      </c>
      <c r="H31" s="544">
        <v>0</v>
      </c>
      <c r="I31" s="544">
        <v>42.84</v>
      </c>
      <c r="J31" s="544">
        <v>72.379099999999994</v>
      </c>
      <c r="K31" s="544">
        <v>59.583300000000001</v>
      </c>
    </row>
    <row r="32" spans="1:11" ht="15.75" hidden="1" customHeight="1" x14ac:dyDescent="0.25">
      <c r="A32" s="542" t="s">
        <v>5644</v>
      </c>
      <c r="B32" s="543" t="s">
        <v>5645</v>
      </c>
      <c r="C32" s="544">
        <v>3862135.1323000002</v>
      </c>
      <c r="D32" s="544">
        <v>150.19409999999999</v>
      </c>
      <c r="E32" s="544">
        <v>66.192700000000002</v>
      </c>
      <c r="F32" s="544">
        <v>0</v>
      </c>
      <c r="G32" s="544">
        <v>171.65049999999999</v>
      </c>
      <c r="H32" s="544">
        <v>0</v>
      </c>
      <c r="I32" s="544">
        <v>42.84</v>
      </c>
      <c r="J32" s="544">
        <v>430.87729999999999</v>
      </c>
      <c r="K32" s="544">
        <v>259.22680000000003</v>
      </c>
    </row>
    <row r="33" spans="1:11" ht="15.75" hidden="1" customHeight="1" x14ac:dyDescent="0.25">
      <c r="A33" s="542" t="s">
        <v>5646</v>
      </c>
      <c r="B33" s="543" t="s">
        <v>5647</v>
      </c>
      <c r="C33" s="544">
        <v>18308.592000000001</v>
      </c>
      <c r="D33" s="544">
        <v>1.0462</v>
      </c>
      <c r="E33" s="544">
        <v>0.32279999999999998</v>
      </c>
      <c r="F33" s="544">
        <v>0</v>
      </c>
      <c r="G33" s="544">
        <v>1.0462</v>
      </c>
      <c r="H33" s="544">
        <v>0</v>
      </c>
      <c r="I33" s="544">
        <v>42.84</v>
      </c>
      <c r="J33" s="544">
        <v>45.255200000000002</v>
      </c>
      <c r="K33" s="544">
        <v>44.209000000000003</v>
      </c>
    </row>
    <row r="34" spans="1:11" ht="15.75" hidden="1" customHeight="1" x14ac:dyDescent="0.25">
      <c r="A34" s="542" t="s">
        <v>5648</v>
      </c>
      <c r="B34" s="543" t="s">
        <v>5649</v>
      </c>
      <c r="C34" s="544">
        <v>115407.4954</v>
      </c>
      <c r="D34" s="544">
        <v>15.387700000000001</v>
      </c>
      <c r="E34" s="544">
        <v>2.3734999999999999</v>
      </c>
      <c r="F34" s="544">
        <v>0</v>
      </c>
      <c r="G34" s="544">
        <v>15.387700000000001</v>
      </c>
      <c r="H34" s="544">
        <v>4.1210000000000004</v>
      </c>
      <c r="I34" s="544">
        <v>42.84</v>
      </c>
      <c r="J34" s="544">
        <v>80.109899999999996</v>
      </c>
      <c r="K34" s="544">
        <v>60.601199999999999</v>
      </c>
    </row>
    <row r="35" spans="1:11" ht="15.75" hidden="1" customHeight="1" x14ac:dyDescent="0.25">
      <c r="A35" s="542" t="s">
        <v>5650</v>
      </c>
      <c r="B35" s="543" t="s">
        <v>5651</v>
      </c>
      <c r="C35" s="544">
        <v>480.06119999999999</v>
      </c>
      <c r="D35" s="544">
        <v>4.3200000000000002E-2</v>
      </c>
      <c r="E35" s="544">
        <v>8.8999999999999999E-3</v>
      </c>
      <c r="F35" s="544">
        <v>0</v>
      </c>
      <c r="G35" s="544">
        <v>2.4E-2</v>
      </c>
      <c r="H35" s="544">
        <v>0</v>
      </c>
      <c r="I35" s="544">
        <v>0</v>
      </c>
      <c r="J35" s="544">
        <v>7.6100000000000001E-2</v>
      </c>
      <c r="K35" s="544">
        <v>5.21E-2</v>
      </c>
    </row>
    <row r="36" spans="1:11" ht="15.75" hidden="1" customHeight="1" x14ac:dyDescent="0.25">
      <c r="A36" s="542" t="s">
        <v>5652</v>
      </c>
      <c r="B36" s="543" t="s">
        <v>5653</v>
      </c>
      <c r="C36" s="544">
        <v>1306754.8589999999</v>
      </c>
      <c r="D36" s="544">
        <v>114.3411</v>
      </c>
      <c r="E36" s="544">
        <v>25.195900000000002</v>
      </c>
      <c r="F36" s="544">
        <v>0</v>
      </c>
      <c r="G36" s="544">
        <v>163.34440000000001</v>
      </c>
      <c r="H36" s="544">
        <v>73.636200000000002</v>
      </c>
      <c r="I36" s="544">
        <v>33.497199999999999</v>
      </c>
      <c r="J36" s="544">
        <v>410.01479999999998</v>
      </c>
      <c r="K36" s="544">
        <v>173.0342</v>
      </c>
    </row>
    <row r="37" spans="1:11" ht="15.75" hidden="1" customHeight="1" x14ac:dyDescent="0.25">
      <c r="A37" s="542" t="s">
        <v>5654</v>
      </c>
      <c r="B37" s="543" t="s">
        <v>5655</v>
      </c>
      <c r="C37" s="544">
        <v>33161.998299999999</v>
      </c>
      <c r="D37" s="544">
        <v>0.37959999999999999</v>
      </c>
      <c r="E37" s="544">
        <v>0.19059999999999999</v>
      </c>
      <c r="F37" s="544">
        <v>0</v>
      </c>
      <c r="G37" s="544">
        <v>0.42180000000000001</v>
      </c>
      <c r="H37" s="544">
        <v>39.773499999999999</v>
      </c>
      <c r="I37" s="544">
        <v>38.4</v>
      </c>
      <c r="J37" s="544">
        <v>79.165499999999994</v>
      </c>
      <c r="K37" s="544">
        <v>38.970199999999998</v>
      </c>
    </row>
    <row r="38" spans="1:11" ht="15.75" hidden="1" customHeight="1" x14ac:dyDescent="0.25">
      <c r="A38" s="542" t="s">
        <v>5656</v>
      </c>
      <c r="B38" s="543" t="s">
        <v>5657</v>
      </c>
      <c r="C38" s="544">
        <v>1904352.686</v>
      </c>
      <c r="D38" s="544">
        <v>190.43530000000001</v>
      </c>
      <c r="E38" s="544">
        <v>36.718299999999999</v>
      </c>
      <c r="F38" s="544">
        <v>0</v>
      </c>
      <c r="G38" s="544">
        <v>166.6309</v>
      </c>
      <c r="H38" s="544">
        <v>0</v>
      </c>
      <c r="I38" s="544">
        <v>42.84</v>
      </c>
      <c r="J38" s="544">
        <v>436.62450000000001</v>
      </c>
      <c r="K38" s="544">
        <v>269.99360000000001</v>
      </c>
    </row>
    <row r="39" spans="1:11" ht="15.75" hidden="1" customHeight="1" x14ac:dyDescent="0.25">
      <c r="A39" s="542" t="s">
        <v>5658</v>
      </c>
      <c r="B39" s="543" t="s">
        <v>5659</v>
      </c>
      <c r="C39" s="544">
        <v>68422.356599999999</v>
      </c>
      <c r="D39" s="544">
        <v>5.4737999999999998</v>
      </c>
      <c r="E39" s="544">
        <v>1.2665</v>
      </c>
      <c r="F39" s="544">
        <v>0</v>
      </c>
      <c r="G39" s="544">
        <v>5.4737999999999998</v>
      </c>
      <c r="H39" s="544">
        <v>6.1585000000000001</v>
      </c>
      <c r="I39" s="544">
        <v>42.84</v>
      </c>
      <c r="J39" s="544">
        <v>61.212600000000002</v>
      </c>
      <c r="K39" s="544">
        <v>49.580300000000001</v>
      </c>
    </row>
    <row r="40" spans="1:11" ht="15.75" hidden="1" customHeight="1" x14ac:dyDescent="0.25">
      <c r="A40" s="542" t="s">
        <v>5660</v>
      </c>
      <c r="B40" s="543" t="s">
        <v>5661</v>
      </c>
      <c r="C40" s="544">
        <v>86504.207899999994</v>
      </c>
      <c r="D40" s="544">
        <v>6.9203000000000001</v>
      </c>
      <c r="E40" s="544">
        <v>1.6012</v>
      </c>
      <c r="F40" s="544">
        <v>0</v>
      </c>
      <c r="G40" s="544">
        <v>6.9203000000000001</v>
      </c>
      <c r="H40" s="544">
        <v>6.1585000000000001</v>
      </c>
      <c r="I40" s="544">
        <v>42.84</v>
      </c>
      <c r="J40" s="544">
        <v>64.440299999999993</v>
      </c>
      <c r="K40" s="544">
        <v>51.361499999999999</v>
      </c>
    </row>
    <row r="41" spans="1:11" ht="15.75" hidden="1" customHeight="1" x14ac:dyDescent="0.25">
      <c r="A41" s="542" t="s">
        <v>5662</v>
      </c>
      <c r="B41" s="543" t="s">
        <v>5663</v>
      </c>
      <c r="C41" s="544">
        <v>119275.69439999999</v>
      </c>
      <c r="D41" s="544">
        <v>9.5420999999999996</v>
      </c>
      <c r="E41" s="544">
        <v>2.2078000000000002</v>
      </c>
      <c r="F41" s="544">
        <v>0</v>
      </c>
      <c r="G41" s="544">
        <v>9.5420999999999996</v>
      </c>
      <c r="H41" s="544">
        <v>6.1585000000000001</v>
      </c>
      <c r="I41" s="544">
        <v>42.84</v>
      </c>
      <c r="J41" s="544">
        <v>70.290499999999994</v>
      </c>
      <c r="K41" s="544">
        <v>54.5899</v>
      </c>
    </row>
    <row r="42" spans="1:11" ht="15.75" hidden="1" customHeight="1" x14ac:dyDescent="0.25">
      <c r="A42" s="542" t="s">
        <v>5664</v>
      </c>
      <c r="B42" s="543" t="s">
        <v>5665</v>
      </c>
      <c r="C42" s="544">
        <v>138072.96859999999</v>
      </c>
      <c r="D42" s="544">
        <v>11.0458</v>
      </c>
      <c r="E42" s="544">
        <v>2.5556999999999999</v>
      </c>
      <c r="F42" s="544">
        <v>0</v>
      </c>
      <c r="G42" s="544">
        <v>11.0458</v>
      </c>
      <c r="H42" s="544">
        <v>6.1585000000000001</v>
      </c>
      <c r="I42" s="544">
        <v>42.84</v>
      </c>
      <c r="J42" s="544">
        <v>73.645799999999994</v>
      </c>
      <c r="K42" s="544">
        <v>56.441499999999998</v>
      </c>
    </row>
    <row r="43" spans="1:11" ht="15.75" hidden="1" customHeight="1" x14ac:dyDescent="0.25">
      <c r="A43" s="542" t="s">
        <v>5666</v>
      </c>
      <c r="B43" s="543" t="s">
        <v>5667</v>
      </c>
      <c r="C43" s="544">
        <v>725352.31160000002</v>
      </c>
      <c r="D43" s="544">
        <v>145.07050000000001</v>
      </c>
      <c r="E43" s="544">
        <v>16.782800000000002</v>
      </c>
      <c r="F43" s="544">
        <v>0</v>
      </c>
      <c r="G43" s="544">
        <v>163.20429999999999</v>
      </c>
      <c r="H43" s="544">
        <v>58.561900000000001</v>
      </c>
      <c r="I43" s="544">
        <v>23.799499999999998</v>
      </c>
      <c r="J43" s="544">
        <v>407.41899999999998</v>
      </c>
      <c r="K43" s="544">
        <v>185.65280000000001</v>
      </c>
    </row>
    <row r="44" spans="1:11" ht="15.75" hidden="1" customHeight="1" x14ac:dyDescent="0.25">
      <c r="A44" s="542" t="s">
        <v>5668</v>
      </c>
      <c r="B44" s="543" t="s">
        <v>5669</v>
      </c>
      <c r="C44" s="544">
        <v>3217700.048</v>
      </c>
      <c r="D44" s="544">
        <v>160.88499999999999</v>
      </c>
      <c r="E44" s="544">
        <v>56.723500000000001</v>
      </c>
      <c r="F44" s="544">
        <v>0</v>
      </c>
      <c r="G44" s="544">
        <v>206.85210000000001</v>
      </c>
      <c r="H44" s="544">
        <v>26.2986</v>
      </c>
      <c r="I44" s="544">
        <v>32.764899999999997</v>
      </c>
      <c r="J44" s="544">
        <v>483.52409999999998</v>
      </c>
      <c r="K44" s="544">
        <v>250.3734</v>
      </c>
    </row>
    <row r="45" spans="1:11" ht="15.75" hidden="1" customHeight="1" x14ac:dyDescent="0.25">
      <c r="A45" s="542" t="s">
        <v>5670</v>
      </c>
      <c r="B45" s="543" t="s">
        <v>5671</v>
      </c>
      <c r="C45" s="544">
        <v>1031754.566</v>
      </c>
      <c r="D45" s="544">
        <v>82.540400000000005</v>
      </c>
      <c r="E45" s="544">
        <v>19.097799999999999</v>
      </c>
      <c r="F45" s="544">
        <v>0</v>
      </c>
      <c r="G45" s="544">
        <v>72.222800000000007</v>
      </c>
      <c r="H45" s="544">
        <v>11.076700000000001</v>
      </c>
      <c r="I45" s="544">
        <v>23.799499999999998</v>
      </c>
      <c r="J45" s="544">
        <v>208.7372</v>
      </c>
      <c r="K45" s="544">
        <v>125.43770000000001</v>
      </c>
    </row>
    <row r="46" spans="1:11" ht="15.75" hidden="1" customHeight="1" x14ac:dyDescent="0.25">
      <c r="A46" s="542" t="s">
        <v>5672</v>
      </c>
      <c r="B46" s="543" t="s">
        <v>5673</v>
      </c>
      <c r="C46" s="544">
        <v>757322.39170000004</v>
      </c>
      <c r="D46" s="544">
        <v>60.585799999999999</v>
      </c>
      <c r="E46" s="544">
        <v>14.018000000000001</v>
      </c>
      <c r="F46" s="544">
        <v>0</v>
      </c>
      <c r="G46" s="544">
        <v>53.012599999999999</v>
      </c>
      <c r="H46" s="544">
        <v>66.695499999999996</v>
      </c>
      <c r="I46" s="544">
        <v>23.799499999999998</v>
      </c>
      <c r="J46" s="544">
        <v>218.1114</v>
      </c>
      <c r="K46" s="544">
        <v>98.403300000000002</v>
      </c>
    </row>
    <row r="47" spans="1:11" ht="15.75" hidden="1" customHeight="1" x14ac:dyDescent="0.25">
      <c r="A47" s="542" t="s">
        <v>5674</v>
      </c>
      <c r="B47" s="543" t="s">
        <v>5675</v>
      </c>
      <c r="C47" s="544">
        <v>574830.17949999997</v>
      </c>
      <c r="D47" s="544">
        <v>15.3972</v>
      </c>
      <c r="E47" s="544">
        <v>4.9611999999999998</v>
      </c>
      <c r="F47" s="544">
        <v>0</v>
      </c>
      <c r="G47" s="544">
        <v>13.686400000000001</v>
      </c>
      <c r="H47" s="544">
        <v>17.351700000000001</v>
      </c>
      <c r="I47" s="544">
        <v>29.056799999999999</v>
      </c>
      <c r="J47" s="544">
        <v>80.453299999999999</v>
      </c>
      <c r="K47" s="544">
        <v>49.415199999999999</v>
      </c>
    </row>
    <row r="48" spans="1:11" ht="15.75" hidden="1" customHeight="1" x14ac:dyDescent="0.25">
      <c r="A48" s="542" t="s">
        <v>5676</v>
      </c>
      <c r="B48" s="543" t="s">
        <v>5677</v>
      </c>
      <c r="C48" s="544">
        <v>1782031.58</v>
      </c>
      <c r="D48" s="544">
        <v>237.60419999999999</v>
      </c>
      <c r="E48" s="544">
        <v>36.650399999999998</v>
      </c>
      <c r="F48" s="544">
        <v>0</v>
      </c>
      <c r="G48" s="544">
        <v>148.5026</v>
      </c>
      <c r="H48" s="544">
        <v>20.0578</v>
      </c>
      <c r="I48" s="544">
        <v>23.799499999999998</v>
      </c>
      <c r="J48" s="544">
        <v>466.61450000000002</v>
      </c>
      <c r="K48" s="544">
        <v>298.05410000000001</v>
      </c>
    </row>
    <row r="49" spans="1:11" ht="15.75" hidden="1" customHeight="1" x14ac:dyDescent="0.25">
      <c r="A49" s="542" t="s">
        <v>5678</v>
      </c>
      <c r="B49" s="543" t="s">
        <v>5679</v>
      </c>
      <c r="C49" s="544">
        <v>538230.06790000002</v>
      </c>
      <c r="D49" s="544">
        <v>53.823</v>
      </c>
      <c r="E49" s="544">
        <v>10.1471</v>
      </c>
      <c r="F49" s="544">
        <v>0</v>
      </c>
      <c r="G49" s="544">
        <v>29.901700000000002</v>
      </c>
      <c r="H49" s="544">
        <v>0</v>
      </c>
      <c r="I49" s="544">
        <v>0</v>
      </c>
      <c r="J49" s="544">
        <v>93.871799999999993</v>
      </c>
      <c r="K49" s="544">
        <v>63.970100000000002</v>
      </c>
    </row>
    <row r="50" spans="1:11" ht="15.75" hidden="1" customHeight="1" x14ac:dyDescent="0.25">
      <c r="A50" s="542" t="s">
        <v>5680</v>
      </c>
      <c r="B50" s="543" t="s">
        <v>5681</v>
      </c>
      <c r="C50" s="544">
        <v>844116.55379999999</v>
      </c>
      <c r="D50" s="544">
        <v>9.6624999999999996</v>
      </c>
      <c r="E50" s="544">
        <v>4.8521999999999998</v>
      </c>
      <c r="F50" s="544">
        <v>0</v>
      </c>
      <c r="G50" s="544">
        <v>21.472200000000001</v>
      </c>
      <c r="H50" s="544">
        <v>0</v>
      </c>
      <c r="I50" s="544">
        <v>104.17919999999999</v>
      </c>
      <c r="J50" s="544">
        <v>140.1661</v>
      </c>
      <c r="K50" s="544">
        <v>118.6939</v>
      </c>
    </row>
    <row r="51" spans="1:11" ht="15.75" hidden="1" customHeight="1" x14ac:dyDescent="0.25">
      <c r="A51" s="542" t="s">
        <v>5682</v>
      </c>
      <c r="B51" s="543" t="s">
        <v>5683</v>
      </c>
      <c r="C51" s="544">
        <v>225729.55040000001</v>
      </c>
      <c r="D51" s="544">
        <v>9.6740999999999993</v>
      </c>
      <c r="E51" s="544">
        <v>3.8134999999999999</v>
      </c>
      <c r="F51" s="544">
        <v>0</v>
      </c>
      <c r="G51" s="544">
        <v>16.1235</v>
      </c>
      <c r="H51" s="544">
        <v>0</v>
      </c>
      <c r="I51" s="544">
        <v>27.0627</v>
      </c>
      <c r="J51" s="544">
        <v>56.6738</v>
      </c>
      <c r="K51" s="544">
        <v>40.5503</v>
      </c>
    </row>
    <row r="52" spans="1:11" ht="15.75" hidden="1" customHeight="1" x14ac:dyDescent="0.25">
      <c r="A52" s="542" t="s">
        <v>5684</v>
      </c>
      <c r="B52" s="543" t="s">
        <v>5685</v>
      </c>
      <c r="C52" s="544">
        <v>675118.68169999996</v>
      </c>
      <c r="D52" s="544">
        <v>7.7279999999999998</v>
      </c>
      <c r="E52" s="544">
        <v>3.8807999999999998</v>
      </c>
      <c r="F52" s="544">
        <v>0</v>
      </c>
      <c r="G52" s="544">
        <v>12.88</v>
      </c>
      <c r="H52" s="544">
        <v>0</v>
      </c>
      <c r="I52" s="544">
        <v>27.0627</v>
      </c>
      <c r="J52" s="544">
        <v>51.551499999999997</v>
      </c>
      <c r="K52" s="544">
        <v>38.671500000000002</v>
      </c>
    </row>
    <row r="53" spans="1:11" ht="15.75" hidden="1" customHeight="1" x14ac:dyDescent="0.25">
      <c r="A53" s="542" t="s">
        <v>5686</v>
      </c>
      <c r="B53" s="543" t="s">
        <v>5687</v>
      </c>
      <c r="C53" s="544">
        <v>844116.55379999999</v>
      </c>
      <c r="D53" s="544">
        <v>9.6624999999999996</v>
      </c>
      <c r="E53" s="544">
        <v>4.8521999999999998</v>
      </c>
      <c r="F53" s="544">
        <v>0</v>
      </c>
      <c r="G53" s="544">
        <v>21.472200000000001</v>
      </c>
      <c r="H53" s="544">
        <v>0</v>
      </c>
      <c r="I53" s="544">
        <v>104.17919999999999</v>
      </c>
      <c r="J53" s="544">
        <v>140.1661</v>
      </c>
      <c r="K53" s="544">
        <v>118.6939</v>
      </c>
    </row>
    <row r="54" spans="1:11" ht="15.75" hidden="1" customHeight="1" x14ac:dyDescent="0.25">
      <c r="A54" s="542" t="s">
        <v>5688</v>
      </c>
      <c r="B54" s="543" t="s">
        <v>5689</v>
      </c>
      <c r="C54" s="544">
        <v>40867.379800000002</v>
      </c>
      <c r="D54" s="544">
        <v>1.0947</v>
      </c>
      <c r="E54" s="544">
        <v>0.35270000000000001</v>
      </c>
      <c r="F54" s="544">
        <v>0</v>
      </c>
      <c r="G54" s="544">
        <v>0.97299999999999998</v>
      </c>
      <c r="H54" s="544">
        <v>0</v>
      </c>
      <c r="I54" s="544">
        <v>58.113599999999998</v>
      </c>
      <c r="J54" s="544">
        <v>60.533999999999999</v>
      </c>
      <c r="K54" s="544">
        <v>59.561</v>
      </c>
    </row>
    <row r="55" spans="1:11" ht="15.75" hidden="1" customHeight="1" x14ac:dyDescent="0.25">
      <c r="A55" s="542" t="s">
        <v>5690</v>
      </c>
      <c r="B55" s="543" t="s">
        <v>5691</v>
      </c>
      <c r="C55" s="544">
        <v>1382.9514999999999</v>
      </c>
      <c r="D55" s="544">
        <v>0.18440000000000001</v>
      </c>
      <c r="E55" s="544">
        <v>2.8400000000000002E-2</v>
      </c>
      <c r="F55" s="544">
        <v>0</v>
      </c>
      <c r="G55" s="544">
        <v>0.1152</v>
      </c>
      <c r="H55" s="544">
        <v>0</v>
      </c>
      <c r="I55" s="544">
        <v>0</v>
      </c>
      <c r="J55" s="544">
        <v>0.32800000000000001</v>
      </c>
      <c r="K55" s="544">
        <v>0.21279999999999999</v>
      </c>
    </row>
    <row r="56" spans="1:11" ht="15.75" hidden="1" customHeight="1" x14ac:dyDescent="0.25">
      <c r="A56" s="542" t="s">
        <v>5692</v>
      </c>
      <c r="B56" s="543" t="s">
        <v>5693</v>
      </c>
      <c r="C56" s="544">
        <v>5666.5487999999996</v>
      </c>
      <c r="D56" s="544">
        <v>0.75549999999999995</v>
      </c>
      <c r="E56" s="544">
        <v>0.11650000000000001</v>
      </c>
      <c r="F56" s="544">
        <v>0</v>
      </c>
      <c r="G56" s="544">
        <v>0.47220000000000001</v>
      </c>
      <c r="H56" s="544">
        <v>0</v>
      </c>
      <c r="I56" s="544">
        <v>0</v>
      </c>
      <c r="J56" s="544">
        <v>1.3442000000000001</v>
      </c>
      <c r="K56" s="544">
        <v>0.872</v>
      </c>
    </row>
    <row r="57" spans="1:11" ht="15.75" hidden="1" customHeight="1" x14ac:dyDescent="0.25">
      <c r="A57" s="542" t="s">
        <v>5694</v>
      </c>
      <c r="B57" s="543" t="s">
        <v>5695</v>
      </c>
      <c r="C57" s="544">
        <v>30048159.52</v>
      </c>
      <c r="D57" s="544">
        <v>1201.9264000000001</v>
      </c>
      <c r="E57" s="544">
        <v>509.84210000000002</v>
      </c>
      <c r="F57" s="544">
        <v>0</v>
      </c>
      <c r="G57" s="544">
        <v>1201.9264000000001</v>
      </c>
      <c r="H57" s="544">
        <v>195.2064</v>
      </c>
      <c r="I57" s="544">
        <v>42.84</v>
      </c>
      <c r="J57" s="544">
        <v>3151.7413000000001</v>
      </c>
      <c r="K57" s="544">
        <v>1754.6085</v>
      </c>
    </row>
    <row r="58" spans="1:11" ht="15.75" hidden="1" customHeight="1" x14ac:dyDescent="0.25">
      <c r="A58" s="542" t="s">
        <v>5696</v>
      </c>
      <c r="B58" s="543" t="s">
        <v>5697</v>
      </c>
      <c r="C58" s="544">
        <v>964.64559999999994</v>
      </c>
      <c r="D58" s="544">
        <v>0.96460000000000001</v>
      </c>
      <c r="E58" s="544">
        <v>4.4600000000000001E-2</v>
      </c>
      <c r="F58" s="544">
        <v>0</v>
      </c>
      <c r="G58" s="544">
        <v>0.48230000000000001</v>
      </c>
      <c r="H58" s="544">
        <v>0</v>
      </c>
      <c r="I58" s="544">
        <v>0</v>
      </c>
      <c r="J58" s="544">
        <v>1.4915</v>
      </c>
      <c r="K58" s="544">
        <v>1.0092000000000001</v>
      </c>
    </row>
    <row r="59" spans="1:11" ht="15.75" hidden="1" customHeight="1" x14ac:dyDescent="0.25">
      <c r="A59" s="542" t="s">
        <v>5698</v>
      </c>
      <c r="B59" s="543" t="s">
        <v>5699</v>
      </c>
      <c r="C59" s="544">
        <v>32827502.4177</v>
      </c>
      <c r="D59" s="544">
        <v>1313.1001000000001</v>
      </c>
      <c r="E59" s="544">
        <v>557.00059999999996</v>
      </c>
      <c r="F59" s="544">
        <v>0</v>
      </c>
      <c r="G59" s="544">
        <v>1148.9626000000001</v>
      </c>
      <c r="H59" s="544">
        <v>121.02800000000001</v>
      </c>
      <c r="I59" s="544">
        <v>42.84</v>
      </c>
      <c r="J59" s="544">
        <v>3182.9313000000002</v>
      </c>
      <c r="K59" s="544">
        <v>1912.9407000000001</v>
      </c>
    </row>
    <row r="60" spans="1:11" ht="15.75" hidden="1" customHeight="1" x14ac:dyDescent="0.25">
      <c r="A60" s="542" t="s">
        <v>5700</v>
      </c>
      <c r="B60" s="543" t="s">
        <v>5701</v>
      </c>
      <c r="C60" s="544">
        <v>66031.417799999996</v>
      </c>
      <c r="D60" s="544">
        <v>4.6222000000000003</v>
      </c>
      <c r="E60" s="544">
        <v>1.2222</v>
      </c>
      <c r="F60" s="544">
        <v>0</v>
      </c>
      <c r="G60" s="544">
        <v>3.3016000000000001</v>
      </c>
      <c r="H60" s="544">
        <v>11.332800000000001</v>
      </c>
      <c r="I60" s="544">
        <v>0</v>
      </c>
      <c r="J60" s="544">
        <v>20.4788</v>
      </c>
      <c r="K60" s="544">
        <v>5.8444000000000003</v>
      </c>
    </row>
    <row r="61" spans="1:11" ht="15.75" hidden="1" customHeight="1" x14ac:dyDescent="0.25">
      <c r="A61" s="542" t="s">
        <v>5702</v>
      </c>
      <c r="B61" s="543" t="s">
        <v>5703</v>
      </c>
      <c r="C61" s="544">
        <v>1665405.4606999999</v>
      </c>
      <c r="D61" s="544">
        <v>66.616200000000006</v>
      </c>
      <c r="E61" s="544">
        <v>28.2578</v>
      </c>
      <c r="F61" s="544">
        <v>0</v>
      </c>
      <c r="G61" s="544">
        <v>41.635100000000001</v>
      </c>
      <c r="H61" s="544">
        <v>74.829099999999997</v>
      </c>
      <c r="I61" s="544">
        <v>23.799499999999998</v>
      </c>
      <c r="J61" s="544">
        <v>235.1377</v>
      </c>
      <c r="K61" s="544">
        <v>118.6735</v>
      </c>
    </row>
    <row r="62" spans="1:11" ht="15.75" hidden="1" customHeight="1" x14ac:dyDescent="0.25">
      <c r="A62" s="542" t="s">
        <v>5704</v>
      </c>
      <c r="B62" s="543" t="s">
        <v>5705</v>
      </c>
      <c r="C62" s="544">
        <v>5657209.1529999999</v>
      </c>
      <c r="D62" s="544">
        <v>452.57670000000002</v>
      </c>
      <c r="E62" s="544">
        <v>104.7149</v>
      </c>
      <c r="F62" s="544">
        <v>0</v>
      </c>
      <c r="G62" s="544">
        <v>452.57670000000002</v>
      </c>
      <c r="H62" s="544">
        <v>100.0433</v>
      </c>
      <c r="I62" s="544">
        <v>33.497199999999999</v>
      </c>
      <c r="J62" s="544">
        <v>1143.4087999999999</v>
      </c>
      <c r="K62" s="544">
        <v>590.78880000000004</v>
      </c>
    </row>
    <row r="63" spans="1:11" ht="15.75" hidden="1" customHeight="1" x14ac:dyDescent="0.25">
      <c r="A63" s="542" t="s">
        <v>5706</v>
      </c>
      <c r="B63" s="543" t="s">
        <v>5707</v>
      </c>
      <c r="C63" s="544">
        <v>4320.1587</v>
      </c>
      <c r="D63" s="544">
        <v>0.86399999999999999</v>
      </c>
      <c r="E63" s="544">
        <v>0.1</v>
      </c>
      <c r="F63" s="544">
        <v>0</v>
      </c>
      <c r="G63" s="544">
        <v>0.54</v>
      </c>
      <c r="H63" s="544">
        <v>7.6714000000000002</v>
      </c>
      <c r="I63" s="544">
        <v>0</v>
      </c>
      <c r="J63" s="544">
        <v>9.1753999999999998</v>
      </c>
      <c r="K63" s="544">
        <v>0.96399999999999997</v>
      </c>
    </row>
    <row r="64" spans="1:11" ht="15.75" hidden="1" customHeight="1" x14ac:dyDescent="0.25">
      <c r="A64" s="542" t="s">
        <v>5708</v>
      </c>
      <c r="B64" s="543" t="s">
        <v>5709</v>
      </c>
      <c r="C64" s="544">
        <v>390096.10840000003</v>
      </c>
      <c r="D64" s="544">
        <v>17.337599999999998</v>
      </c>
      <c r="E64" s="544">
        <v>6.6858000000000004</v>
      </c>
      <c r="F64" s="544">
        <v>0</v>
      </c>
      <c r="G64" s="544">
        <v>10.836</v>
      </c>
      <c r="H64" s="544">
        <v>0</v>
      </c>
      <c r="I64" s="544">
        <v>23.799499999999998</v>
      </c>
      <c r="J64" s="544">
        <v>58.658900000000003</v>
      </c>
      <c r="K64" s="544">
        <v>47.822899999999997</v>
      </c>
    </row>
    <row r="65" spans="1:11" ht="15.75" hidden="1" customHeight="1" x14ac:dyDescent="0.25">
      <c r="A65" s="542" t="s">
        <v>5710</v>
      </c>
      <c r="B65" s="543" t="s">
        <v>5711</v>
      </c>
      <c r="C65" s="544">
        <v>442.2518</v>
      </c>
      <c r="D65" s="544">
        <v>0.44230000000000003</v>
      </c>
      <c r="E65" s="544">
        <v>2.0500000000000001E-2</v>
      </c>
      <c r="F65" s="544">
        <v>0</v>
      </c>
      <c r="G65" s="544">
        <v>0.22109999999999999</v>
      </c>
      <c r="H65" s="544">
        <v>0</v>
      </c>
      <c r="I65" s="544">
        <v>0</v>
      </c>
      <c r="J65" s="544">
        <v>0.68389999999999995</v>
      </c>
      <c r="K65" s="544">
        <v>0.46279999999999999</v>
      </c>
    </row>
    <row r="66" spans="1:11" ht="15.75" hidden="1" customHeight="1" x14ac:dyDescent="0.25">
      <c r="A66" s="542" t="s">
        <v>5712</v>
      </c>
      <c r="B66" s="543" t="s">
        <v>5713</v>
      </c>
      <c r="C66" s="544">
        <v>3415846.4419999998</v>
      </c>
      <c r="D66" s="544">
        <v>455.44619999999998</v>
      </c>
      <c r="E66" s="544">
        <v>70.252600000000001</v>
      </c>
      <c r="F66" s="544">
        <v>0</v>
      </c>
      <c r="G66" s="544">
        <v>398.5154</v>
      </c>
      <c r="H66" s="544">
        <v>395.29300000000001</v>
      </c>
      <c r="I66" s="544">
        <v>42.84</v>
      </c>
      <c r="J66" s="544">
        <v>1362.3471999999999</v>
      </c>
      <c r="K66" s="544">
        <v>568.53880000000004</v>
      </c>
    </row>
    <row r="67" spans="1:11" ht="15.75" hidden="1" customHeight="1" x14ac:dyDescent="0.25">
      <c r="A67" s="542" t="s">
        <v>5714</v>
      </c>
      <c r="B67" s="543" t="s">
        <v>5715</v>
      </c>
      <c r="C67" s="544">
        <v>501295.8137</v>
      </c>
      <c r="D67" s="544">
        <v>50.129600000000003</v>
      </c>
      <c r="E67" s="544">
        <v>9.6655999999999995</v>
      </c>
      <c r="F67" s="544">
        <v>0</v>
      </c>
      <c r="G67" s="544">
        <v>50.129600000000003</v>
      </c>
      <c r="H67" s="544">
        <v>76.238900000000001</v>
      </c>
      <c r="I67" s="544">
        <v>23.799499999999998</v>
      </c>
      <c r="J67" s="544">
        <v>209.9632</v>
      </c>
      <c r="K67" s="544">
        <v>83.594700000000003</v>
      </c>
    </row>
    <row r="68" spans="1:11" ht="15.75" hidden="1" customHeight="1" x14ac:dyDescent="0.25">
      <c r="A68" s="542" t="s">
        <v>5716</v>
      </c>
      <c r="B68" s="543" t="s">
        <v>5717</v>
      </c>
      <c r="C68" s="544">
        <v>879836.20310000004</v>
      </c>
      <c r="D68" s="544">
        <v>117.3115</v>
      </c>
      <c r="E68" s="544">
        <v>18.095300000000002</v>
      </c>
      <c r="F68" s="544">
        <v>0</v>
      </c>
      <c r="G68" s="544">
        <v>73.319699999999997</v>
      </c>
      <c r="H68" s="544">
        <v>0</v>
      </c>
      <c r="I68" s="544">
        <v>0</v>
      </c>
      <c r="J68" s="544">
        <v>208.72649999999999</v>
      </c>
      <c r="K68" s="544">
        <v>135.4068</v>
      </c>
    </row>
    <row r="69" spans="1:11" ht="15.75" hidden="1" customHeight="1" x14ac:dyDescent="0.25">
      <c r="A69" s="542" t="s">
        <v>5718</v>
      </c>
      <c r="B69" s="543" t="s">
        <v>5719</v>
      </c>
      <c r="C69" s="544">
        <v>133.8022</v>
      </c>
      <c r="D69" s="544">
        <v>6.6900000000000001E-2</v>
      </c>
      <c r="E69" s="544">
        <v>4.1000000000000003E-3</v>
      </c>
      <c r="F69" s="544">
        <v>0</v>
      </c>
      <c r="G69" s="544">
        <v>3.3500000000000002E-2</v>
      </c>
      <c r="H69" s="544">
        <v>0</v>
      </c>
      <c r="I69" s="544">
        <v>0</v>
      </c>
      <c r="J69" s="544">
        <v>0.1045</v>
      </c>
      <c r="K69" s="544">
        <v>7.0999999999999994E-2</v>
      </c>
    </row>
    <row r="70" spans="1:11" ht="15.75" hidden="1" customHeight="1" x14ac:dyDescent="0.25">
      <c r="A70" s="542" t="s">
        <v>5720</v>
      </c>
      <c r="B70" s="543" t="s">
        <v>5721</v>
      </c>
      <c r="C70" s="544">
        <v>163976.22940000001</v>
      </c>
      <c r="D70" s="544">
        <v>10.5413</v>
      </c>
      <c r="E70" s="544">
        <v>2.8906999999999998</v>
      </c>
      <c r="F70" s="544">
        <v>0</v>
      </c>
      <c r="G70" s="544">
        <v>5.8563000000000001</v>
      </c>
      <c r="H70" s="544">
        <v>0</v>
      </c>
      <c r="I70" s="544">
        <v>23.799499999999998</v>
      </c>
      <c r="J70" s="544">
        <v>43.087800000000001</v>
      </c>
      <c r="K70" s="544">
        <v>37.231499999999997</v>
      </c>
    </row>
    <row r="71" spans="1:11" ht="15.75" hidden="1" customHeight="1" x14ac:dyDescent="0.25">
      <c r="A71" s="542" t="s">
        <v>5722</v>
      </c>
      <c r="B71" s="543" t="s">
        <v>5723</v>
      </c>
      <c r="C71" s="544">
        <v>4826956.2829999998</v>
      </c>
      <c r="D71" s="544">
        <v>386.15649999999999</v>
      </c>
      <c r="E71" s="544">
        <v>89.346999999999994</v>
      </c>
      <c r="F71" s="544">
        <v>0</v>
      </c>
      <c r="G71" s="544">
        <v>386.15649999999999</v>
      </c>
      <c r="H71" s="544">
        <v>148.03149999999999</v>
      </c>
      <c r="I71" s="544">
        <v>33.497199999999999</v>
      </c>
      <c r="J71" s="544">
        <v>1043.1886999999999</v>
      </c>
      <c r="K71" s="544">
        <v>509.00069999999999</v>
      </c>
    </row>
    <row r="72" spans="1:11" ht="15.75" hidden="1" customHeight="1" x14ac:dyDescent="0.25">
      <c r="A72" s="542" t="s">
        <v>5724</v>
      </c>
      <c r="B72" s="543" t="s">
        <v>5725</v>
      </c>
      <c r="C72" s="544">
        <v>3510500</v>
      </c>
      <c r="D72" s="544">
        <v>156.0222</v>
      </c>
      <c r="E72" s="544">
        <v>60.1661</v>
      </c>
      <c r="F72" s="544">
        <v>0</v>
      </c>
      <c r="G72" s="544">
        <v>97.513900000000007</v>
      </c>
      <c r="H72" s="544">
        <v>0</v>
      </c>
      <c r="I72" s="544">
        <v>42.84</v>
      </c>
      <c r="J72" s="544">
        <v>356.54219999999998</v>
      </c>
      <c r="K72" s="544">
        <v>259.0283</v>
      </c>
    </row>
    <row r="73" spans="1:11" ht="15.75" hidden="1" customHeight="1" x14ac:dyDescent="0.25">
      <c r="A73" s="542" t="s">
        <v>5726</v>
      </c>
      <c r="B73" s="543" t="s">
        <v>5727</v>
      </c>
      <c r="C73" s="544">
        <v>179103.09220000001</v>
      </c>
      <c r="D73" s="544">
        <v>17.910299999999999</v>
      </c>
      <c r="E73" s="544">
        <v>3.4533</v>
      </c>
      <c r="F73" s="544">
        <v>0</v>
      </c>
      <c r="G73" s="544">
        <v>15.6715</v>
      </c>
      <c r="H73" s="544">
        <v>0</v>
      </c>
      <c r="I73" s="544">
        <v>0</v>
      </c>
      <c r="J73" s="544">
        <v>37.0351</v>
      </c>
      <c r="K73" s="544">
        <v>21.363600000000002</v>
      </c>
    </row>
    <row r="74" spans="1:11" ht="15.75" hidden="1" customHeight="1" x14ac:dyDescent="0.25">
      <c r="A74" s="542" t="s">
        <v>5728</v>
      </c>
      <c r="B74" s="543" t="s">
        <v>5729</v>
      </c>
      <c r="C74" s="544">
        <v>1830025.3907000001</v>
      </c>
      <c r="D74" s="544">
        <v>82.351100000000002</v>
      </c>
      <c r="E74" s="544">
        <v>31.050999999999998</v>
      </c>
      <c r="F74" s="544">
        <v>0</v>
      </c>
      <c r="G74" s="544">
        <v>45.750599999999999</v>
      </c>
      <c r="H74" s="544">
        <v>0</v>
      </c>
      <c r="I74" s="544">
        <v>23.799499999999998</v>
      </c>
      <c r="J74" s="544">
        <v>182.9522</v>
      </c>
      <c r="K74" s="544">
        <v>137.20160000000001</v>
      </c>
    </row>
    <row r="75" spans="1:11" ht="15.75" hidden="1" customHeight="1" x14ac:dyDescent="0.25">
      <c r="A75" s="542" t="s">
        <v>5730</v>
      </c>
      <c r="B75" s="543" t="s">
        <v>5731</v>
      </c>
      <c r="C75" s="544">
        <v>95285</v>
      </c>
      <c r="D75" s="544">
        <v>4.2877999999999998</v>
      </c>
      <c r="E75" s="544">
        <v>1.6167</v>
      </c>
      <c r="F75" s="544">
        <v>0</v>
      </c>
      <c r="G75" s="544">
        <v>2.3820999999999999</v>
      </c>
      <c r="H75" s="544">
        <v>0</v>
      </c>
      <c r="I75" s="544">
        <v>0</v>
      </c>
      <c r="J75" s="544">
        <v>8.2866</v>
      </c>
      <c r="K75" s="544">
        <v>5.9044999999999996</v>
      </c>
    </row>
    <row r="76" spans="1:11" ht="15.75" hidden="1" customHeight="1" x14ac:dyDescent="0.25">
      <c r="A76" s="542" t="s">
        <v>5732</v>
      </c>
      <c r="B76" s="543" t="s">
        <v>5733</v>
      </c>
      <c r="C76" s="544">
        <v>868455.30130000005</v>
      </c>
      <c r="D76" s="544">
        <v>13.750500000000001</v>
      </c>
      <c r="E76" s="544">
        <v>13.842499999999999</v>
      </c>
      <c r="F76" s="544">
        <v>0</v>
      </c>
      <c r="G76" s="544">
        <v>7.2370999999999999</v>
      </c>
      <c r="H76" s="544">
        <v>0</v>
      </c>
      <c r="I76" s="544">
        <v>0</v>
      </c>
      <c r="J76" s="544">
        <v>34.830100000000002</v>
      </c>
      <c r="K76" s="544">
        <v>27.593</v>
      </c>
    </row>
    <row r="77" spans="1:11" ht="15.75" hidden="1" customHeight="1" x14ac:dyDescent="0.25">
      <c r="A77" s="542" t="s">
        <v>5734</v>
      </c>
      <c r="B77" s="543" t="s">
        <v>5735</v>
      </c>
      <c r="C77" s="544">
        <v>1264142.0360000001</v>
      </c>
      <c r="D77" s="544">
        <v>20.015599999999999</v>
      </c>
      <c r="E77" s="544">
        <v>20.1494</v>
      </c>
      <c r="F77" s="544">
        <v>0</v>
      </c>
      <c r="G77" s="544">
        <v>10.5345</v>
      </c>
      <c r="H77" s="544">
        <v>0</v>
      </c>
      <c r="I77" s="544">
        <v>0</v>
      </c>
      <c r="J77" s="544">
        <v>50.6995</v>
      </c>
      <c r="K77" s="544">
        <v>40.164999999999999</v>
      </c>
    </row>
    <row r="78" spans="1:11" ht="15.75" hidden="1" customHeight="1" x14ac:dyDescent="0.25">
      <c r="A78" s="542" t="s">
        <v>5736</v>
      </c>
      <c r="B78" s="543" t="s">
        <v>5737</v>
      </c>
      <c r="C78" s="544">
        <v>637209.80680000002</v>
      </c>
      <c r="D78" s="544">
        <v>10.0892</v>
      </c>
      <c r="E78" s="544">
        <v>10.156599999999999</v>
      </c>
      <c r="F78" s="544">
        <v>0</v>
      </c>
      <c r="G78" s="544">
        <v>5.3101000000000003</v>
      </c>
      <c r="H78" s="544">
        <v>0</v>
      </c>
      <c r="I78" s="544">
        <v>0</v>
      </c>
      <c r="J78" s="544">
        <v>25.555900000000001</v>
      </c>
      <c r="K78" s="544">
        <v>20.245799999999999</v>
      </c>
    </row>
    <row r="79" spans="1:11" ht="15.75" hidden="1" customHeight="1" x14ac:dyDescent="0.25">
      <c r="A79" s="542" t="s">
        <v>5738</v>
      </c>
      <c r="B79" s="543" t="s">
        <v>5739</v>
      </c>
      <c r="C79" s="544">
        <v>521379.90629999997</v>
      </c>
      <c r="D79" s="544">
        <v>52.137999999999998</v>
      </c>
      <c r="E79" s="544">
        <v>10.052899999999999</v>
      </c>
      <c r="F79" s="544">
        <v>0</v>
      </c>
      <c r="G79" s="544">
        <v>52.137999999999998</v>
      </c>
      <c r="H79" s="544">
        <v>76.238900000000001</v>
      </c>
      <c r="I79" s="544">
        <v>23.799499999999998</v>
      </c>
      <c r="J79" s="544">
        <v>214.3673</v>
      </c>
      <c r="K79" s="544">
        <v>85.990399999999994</v>
      </c>
    </row>
    <row r="80" spans="1:11" ht="15.75" customHeight="1" x14ac:dyDescent="0.25">
      <c r="A80" s="542" t="s">
        <v>225</v>
      </c>
      <c r="B80" s="543" t="s">
        <v>5740</v>
      </c>
      <c r="C80" s="544">
        <v>3259.75</v>
      </c>
      <c r="D80" s="544">
        <v>0.48899999999999999</v>
      </c>
      <c r="E80" s="544">
        <v>6.7000000000000004E-2</v>
      </c>
      <c r="F80" s="544">
        <v>0</v>
      </c>
      <c r="G80" s="544">
        <v>0.38030000000000003</v>
      </c>
      <c r="H80" s="544">
        <v>8.2326999999999995</v>
      </c>
      <c r="I80" s="544">
        <v>0</v>
      </c>
      <c r="J80" s="544">
        <v>9.1690000000000005</v>
      </c>
      <c r="K80" s="544">
        <v>0.55600000000000005</v>
      </c>
    </row>
    <row r="81" spans="1:11" ht="15.75" hidden="1" customHeight="1" x14ac:dyDescent="0.25">
      <c r="A81" s="542" t="s">
        <v>5741</v>
      </c>
      <c r="B81" s="543" t="s">
        <v>5742</v>
      </c>
      <c r="C81" s="544">
        <v>77551.861999999994</v>
      </c>
      <c r="D81" s="544">
        <v>4.6531000000000002</v>
      </c>
      <c r="E81" s="544">
        <v>1.4355</v>
      </c>
      <c r="F81" s="544">
        <v>0.58160000000000001</v>
      </c>
      <c r="G81" s="544">
        <v>4.6531000000000002</v>
      </c>
      <c r="H81" s="544">
        <v>25.4999</v>
      </c>
      <c r="I81" s="544">
        <v>0</v>
      </c>
      <c r="J81" s="544">
        <v>36.8232</v>
      </c>
      <c r="K81" s="544">
        <v>6.6702000000000004</v>
      </c>
    </row>
    <row r="82" spans="1:11" ht="15.75" hidden="1" customHeight="1" x14ac:dyDescent="0.25">
      <c r="A82" s="542" t="s">
        <v>5743</v>
      </c>
      <c r="B82" s="543" t="s">
        <v>5744</v>
      </c>
      <c r="C82" s="544">
        <v>21303204.539999999</v>
      </c>
      <c r="D82" s="544">
        <v>745.61220000000003</v>
      </c>
      <c r="E82" s="544">
        <v>361.46210000000002</v>
      </c>
      <c r="F82" s="544">
        <v>146.45949999999999</v>
      </c>
      <c r="G82" s="544">
        <v>958.64419999999996</v>
      </c>
      <c r="H82" s="544">
        <v>122.004</v>
      </c>
      <c r="I82" s="544">
        <v>32.764899999999997</v>
      </c>
      <c r="J82" s="544">
        <v>2366.9468999999999</v>
      </c>
      <c r="K82" s="544">
        <v>1286.2987000000001</v>
      </c>
    </row>
    <row r="83" spans="1:11" ht="15.75" hidden="1" customHeight="1" x14ac:dyDescent="0.25">
      <c r="A83" s="542" t="s">
        <v>5745</v>
      </c>
      <c r="B83" s="543" t="s">
        <v>5746</v>
      </c>
      <c r="C83" s="544">
        <v>36281967.109999999</v>
      </c>
      <c r="D83" s="544">
        <v>1269.8688</v>
      </c>
      <c r="E83" s="544">
        <v>615.61429999999996</v>
      </c>
      <c r="F83" s="544">
        <v>249.4385</v>
      </c>
      <c r="G83" s="544">
        <v>1632.6885</v>
      </c>
      <c r="H83" s="544">
        <v>135.56</v>
      </c>
      <c r="I83" s="544">
        <v>32.764899999999997</v>
      </c>
      <c r="J83" s="544">
        <v>3935.9349999999999</v>
      </c>
      <c r="K83" s="544">
        <v>2167.6864999999998</v>
      </c>
    </row>
    <row r="84" spans="1:11" ht="15.75" hidden="1" customHeight="1" x14ac:dyDescent="0.25">
      <c r="A84" s="542" t="s">
        <v>5747</v>
      </c>
      <c r="B84" s="543" t="s">
        <v>5748</v>
      </c>
      <c r="C84" s="544">
        <v>401427.16210000002</v>
      </c>
      <c r="D84" s="544">
        <v>35.124899999999997</v>
      </c>
      <c r="E84" s="544">
        <v>7.74</v>
      </c>
      <c r="F84" s="544">
        <v>0</v>
      </c>
      <c r="G84" s="544">
        <v>35.124899999999997</v>
      </c>
      <c r="H84" s="544">
        <v>61.6798</v>
      </c>
      <c r="I84" s="544">
        <v>33.497199999999999</v>
      </c>
      <c r="J84" s="544">
        <v>173.16679999999999</v>
      </c>
      <c r="K84" s="544">
        <v>76.362099999999998</v>
      </c>
    </row>
    <row r="85" spans="1:11" ht="15.75" hidden="1" customHeight="1" x14ac:dyDescent="0.25">
      <c r="A85" s="542" t="s">
        <v>5749</v>
      </c>
      <c r="B85" s="543" t="s">
        <v>5750</v>
      </c>
      <c r="C85" s="544">
        <v>49312.768199999999</v>
      </c>
      <c r="D85" s="544">
        <v>3.9449999999999998</v>
      </c>
      <c r="E85" s="544">
        <v>0.91279999999999994</v>
      </c>
      <c r="F85" s="544">
        <v>0</v>
      </c>
      <c r="G85" s="544">
        <v>3.4519000000000002</v>
      </c>
      <c r="H85" s="544">
        <v>18.130600000000001</v>
      </c>
      <c r="I85" s="544">
        <v>0</v>
      </c>
      <c r="J85" s="544">
        <v>26.440300000000001</v>
      </c>
      <c r="K85" s="544">
        <v>4.8578000000000001</v>
      </c>
    </row>
    <row r="86" spans="1:11" ht="15.75" hidden="1" customHeight="1" x14ac:dyDescent="0.25">
      <c r="A86" s="542" t="s">
        <v>5751</v>
      </c>
      <c r="B86" s="543" t="s">
        <v>5752</v>
      </c>
      <c r="C86" s="544">
        <v>81579.112299999993</v>
      </c>
      <c r="D86" s="544">
        <v>6.5263</v>
      </c>
      <c r="E86" s="544">
        <v>1.51</v>
      </c>
      <c r="F86" s="544">
        <v>0</v>
      </c>
      <c r="G86" s="544">
        <v>5.7104999999999997</v>
      </c>
      <c r="H86" s="544">
        <v>8.4915000000000003</v>
      </c>
      <c r="I86" s="544">
        <v>23.799499999999998</v>
      </c>
      <c r="J86" s="544">
        <v>46.037799999999997</v>
      </c>
      <c r="K86" s="544">
        <v>31.835799999999999</v>
      </c>
    </row>
    <row r="87" spans="1:11" ht="15.75" hidden="1" customHeight="1" x14ac:dyDescent="0.25">
      <c r="A87" s="542" t="s">
        <v>5753</v>
      </c>
      <c r="B87" s="543" t="s">
        <v>5754</v>
      </c>
      <c r="C87" s="544">
        <v>66792.246299999999</v>
      </c>
      <c r="D87" s="544">
        <v>5.3433999999999999</v>
      </c>
      <c r="E87" s="544">
        <v>1.2363</v>
      </c>
      <c r="F87" s="544">
        <v>0</v>
      </c>
      <c r="G87" s="544">
        <v>4.6755000000000004</v>
      </c>
      <c r="H87" s="544">
        <v>8.4915000000000003</v>
      </c>
      <c r="I87" s="544">
        <v>23.799499999999998</v>
      </c>
      <c r="J87" s="544">
        <v>43.546199999999999</v>
      </c>
      <c r="K87" s="544">
        <v>30.379200000000001</v>
      </c>
    </row>
    <row r="88" spans="1:11" ht="15.75" hidden="1" customHeight="1" x14ac:dyDescent="0.25">
      <c r="A88" s="542" t="s">
        <v>5755</v>
      </c>
      <c r="B88" s="543" t="s">
        <v>5756</v>
      </c>
      <c r="C88" s="544">
        <v>5421155.1270000003</v>
      </c>
      <c r="D88" s="544">
        <v>62.055300000000003</v>
      </c>
      <c r="E88" s="544">
        <v>31.162299999999998</v>
      </c>
      <c r="F88" s="544">
        <v>0</v>
      </c>
      <c r="G88" s="544">
        <v>137.9008</v>
      </c>
      <c r="H88" s="544">
        <v>383.2552</v>
      </c>
      <c r="I88" s="544">
        <v>125.6335</v>
      </c>
      <c r="J88" s="544">
        <v>740.00710000000004</v>
      </c>
      <c r="K88" s="544">
        <v>218.8511</v>
      </c>
    </row>
    <row r="89" spans="1:11" ht="15.75" hidden="1" customHeight="1" x14ac:dyDescent="0.25">
      <c r="A89" s="542" t="s">
        <v>5757</v>
      </c>
      <c r="B89" s="543" t="s">
        <v>5758</v>
      </c>
      <c r="C89" s="544">
        <v>1932655.9822</v>
      </c>
      <c r="D89" s="544">
        <v>22.122900000000001</v>
      </c>
      <c r="E89" s="544">
        <v>11.109400000000001</v>
      </c>
      <c r="F89" s="544">
        <v>0</v>
      </c>
      <c r="G89" s="544">
        <v>36.871499999999997</v>
      </c>
      <c r="H89" s="544">
        <v>0</v>
      </c>
      <c r="I89" s="544">
        <v>27.0627</v>
      </c>
      <c r="J89" s="544">
        <v>97.166499999999999</v>
      </c>
      <c r="K89" s="544">
        <v>60.295000000000002</v>
      </c>
    </row>
    <row r="90" spans="1:11" ht="15.75" hidden="1" customHeight="1" x14ac:dyDescent="0.25">
      <c r="A90" s="542" t="s">
        <v>5759</v>
      </c>
      <c r="B90" s="543" t="s">
        <v>5760</v>
      </c>
      <c r="C90" s="544">
        <v>11445.187599999999</v>
      </c>
      <c r="D90" s="544">
        <v>2.2890000000000001</v>
      </c>
      <c r="E90" s="544">
        <v>0.26479999999999998</v>
      </c>
      <c r="F90" s="544">
        <v>0</v>
      </c>
      <c r="G90" s="544">
        <v>2.2890000000000001</v>
      </c>
      <c r="H90" s="544">
        <v>4.1912000000000003</v>
      </c>
      <c r="I90" s="544">
        <v>0</v>
      </c>
      <c r="J90" s="544">
        <v>9.0340000000000007</v>
      </c>
      <c r="K90" s="544">
        <v>2.5537999999999998</v>
      </c>
    </row>
    <row r="91" spans="1:11" ht="15.75" hidden="1" customHeight="1" x14ac:dyDescent="0.25">
      <c r="A91" s="542" t="s">
        <v>5761</v>
      </c>
      <c r="B91" s="543" t="s">
        <v>5762</v>
      </c>
      <c r="C91" s="544">
        <v>10000000</v>
      </c>
      <c r="D91" s="544">
        <v>160</v>
      </c>
      <c r="E91" s="544">
        <v>160.41999999999999</v>
      </c>
      <c r="F91" s="544">
        <v>0</v>
      </c>
      <c r="G91" s="544">
        <v>200</v>
      </c>
      <c r="H91" s="544">
        <v>260.27519999999998</v>
      </c>
      <c r="I91" s="544">
        <v>85.68</v>
      </c>
      <c r="J91" s="544">
        <v>866.37519999999995</v>
      </c>
      <c r="K91" s="544">
        <v>406.1</v>
      </c>
    </row>
    <row r="92" spans="1:11" ht="15.75" hidden="1" customHeight="1" x14ac:dyDescent="0.25">
      <c r="A92" s="542" t="s">
        <v>5763</v>
      </c>
      <c r="B92" s="543" t="s">
        <v>5764</v>
      </c>
      <c r="C92" s="544">
        <v>1170817.2660000001</v>
      </c>
      <c r="D92" s="544">
        <v>117.0817</v>
      </c>
      <c r="E92" s="544">
        <v>23.219799999999999</v>
      </c>
      <c r="F92" s="544">
        <v>0</v>
      </c>
      <c r="G92" s="544">
        <v>117.0817</v>
      </c>
      <c r="H92" s="544">
        <v>121.5702</v>
      </c>
      <c r="I92" s="544">
        <v>33.497199999999999</v>
      </c>
      <c r="J92" s="544">
        <v>412.45060000000001</v>
      </c>
      <c r="K92" s="544">
        <v>173.7987</v>
      </c>
    </row>
    <row r="93" spans="1:11" ht="15.75" hidden="1" customHeight="1" x14ac:dyDescent="0.25">
      <c r="A93" s="542" t="s">
        <v>5765</v>
      </c>
      <c r="B93" s="543" t="s">
        <v>5766</v>
      </c>
      <c r="C93" s="544">
        <v>339363.3125</v>
      </c>
      <c r="D93" s="544">
        <v>61.0854</v>
      </c>
      <c r="E93" s="544">
        <v>7.3285999999999998</v>
      </c>
      <c r="F93" s="544">
        <v>0</v>
      </c>
      <c r="G93" s="544">
        <v>61.0854</v>
      </c>
      <c r="H93" s="544">
        <v>0</v>
      </c>
      <c r="I93" s="544">
        <v>23.799499999999998</v>
      </c>
      <c r="J93" s="544">
        <v>153.2989</v>
      </c>
      <c r="K93" s="544">
        <v>92.213499999999996</v>
      </c>
    </row>
    <row r="94" spans="1:11" ht="15.75" hidden="1" customHeight="1" x14ac:dyDescent="0.25">
      <c r="A94" s="542" t="s">
        <v>5767</v>
      </c>
      <c r="B94" s="543" t="s">
        <v>5768</v>
      </c>
      <c r="C94" s="544">
        <v>21437.972600000001</v>
      </c>
      <c r="D94" s="544">
        <v>2.4117999999999999</v>
      </c>
      <c r="E94" s="544">
        <v>0.41339999999999999</v>
      </c>
      <c r="F94" s="544">
        <v>0</v>
      </c>
      <c r="G94" s="544">
        <v>1.3399000000000001</v>
      </c>
      <c r="H94" s="544">
        <v>0</v>
      </c>
      <c r="I94" s="544">
        <v>0</v>
      </c>
      <c r="J94" s="544">
        <v>4.1650999999999998</v>
      </c>
      <c r="K94" s="544">
        <v>2.8252000000000002</v>
      </c>
    </row>
    <row r="95" spans="1:11" ht="15.75" hidden="1" customHeight="1" x14ac:dyDescent="0.25">
      <c r="A95" s="542" t="s">
        <v>5769</v>
      </c>
      <c r="B95" s="543" t="s">
        <v>5770</v>
      </c>
      <c r="C95" s="544">
        <v>147169.50839999999</v>
      </c>
      <c r="D95" s="544">
        <v>16.5566</v>
      </c>
      <c r="E95" s="544">
        <v>2.8376000000000001</v>
      </c>
      <c r="F95" s="544">
        <v>0</v>
      </c>
      <c r="G95" s="544">
        <v>9.1981000000000002</v>
      </c>
      <c r="H95" s="544">
        <v>0</v>
      </c>
      <c r="I95" s="544">
        <v>0</v>
      </c>
      <c r="J95" s="544">
        <v>28.592300000000002</v>
      </c>
      <c r="K95" s="544">
        <v>19.394200000000001</v>
      </c>
    </row>
    <row r="96" spans="1:11" ht="15.75" hidden="1" customHeight="1" x14ac:dyDescent="0.25">
      <c r="A96" s="542" t="s">
        <v>5771</v>
      </c>
      <c r="B96" s="543" t="s">
        <v>5772</v>
      </c>
      <c r="C96" s="544">
        <v>7847.2653</v>
      </c>
      <c r="D96" s="544">
        <v>0.88280000000000003</v>
      </c>
      <c r="E96" s="544">
        <v>0.15129999999999999</v>
      </c>
      <c r="F96" s="544">
        <v>0</v>
      </c>
      <c r="G96" s="544">
        <v>0.49049999999999999</v>
      </c>
      <c r="H96" s="544">
        <v>0</v>
      </c>
      <c r="I96" s="544">
        <v>0</v>
      </c>
      <c r="J96" s="544">
        <v>1.5246</v>
      </c>
      <c r="K96" s="544">
        <v>1.0341</v>
      </c>
    </row>
    <row r="97" spans="1:11" ht="15.75" hidden="1" customHeight="1" x14ac:dyDescent="0.25">
      <c r="A97" s="542" t="s">
        <v>5773</v>
      </c>
      <c r="B97" s="543" t="s">
        <v>5774</v>
      </c>
      <c r="C97" s="544">
        <v>976972.47140000004</v>
      </c>
      <c r="D97" s="544">
        <v>78.068600000000004</v>
      </c>
      <c r="E97" s="544">
        <v>18.510400000000001</v>
      </c>
      <c r="F97" s="544">
        <v>0</v>
      </c>
      <c r="G97" s="544">
        <v>78.068600000000004</v>
      </c>
      <c r="H97" s="544">
        <v>108.1769</v>
      </c>
      <c r="I97" s="544">
        <v>33.497199999999999</v>
      </c>
      <c r="J97" s="544">
        <v>316.32170000000002</v>
      </c>
      <c r="K97" s="544">
        <v>130.0762</v>
      </c>
    </row>
    <row r="98" spans="1:11" ht="15.75" hidden="1" customHeight="1" x14ac:dyDescent="0.25">
      <c r="A98" s="542" t="s">
        <v>5775</v>
      </c>
      <c r="B98" s="543" t="s">
        <v>5776</v>
      </c>
      <c r="C98" s="544">
        <v>488579.69579999999</v>
      </c>
      <c r="D98" s="544">
        <v>65.144000000000005</v>
      </c>
      <c r="E98" s="544">
        <v>10.048500000000001</v>
      </c>
      <c r="F98" s="544">
        <v>0</v>
      </c>
      <c r="G98" s="544">
        <v>65.144000000000005</v>
      </c>
      <c r="H98" s="544">
        <v>45.060099999999998</v>
      </c>
      <c r="I98" s="544">
        <v>23.799499999999998</v>
      </c>
      <c r="J98" s="544">
        <v>209.1961</v>
      </c>
      <c r="K98" s="544">
        <v>98.992000000000004</v>
      </c>
    </row>
    <row r="99" spans="1:11" ht="15.75" hidden="1" customHeight="1" x14ac:dyDescent="0.25">
      <c r="A99" s="542" t="s">
        <v>5777</v>
      </c>
      <c r="B99" s="543" t="s">
        <v>5778</v>
      </c>
      <c r="C99" s="544">
        <v>761538.60160000005</v>
      </c>
      <c r="D99" s="544">
        <v>66.634600000000006</v>
      </c>
      <c r="E99" s="544">
        <v>14.683400000000001</v>
      </c>
      <c r="F99" s="544">
        <v>0</v>
      </c>
      <c r="G99" s="544">
        <v>66.634600000000006</v>
      </c>
      <c r="H99" s="544">
        <v>75.100200000000001</v>
      </c>
      <c r="I99" s="544">
        <v>33.497199999999999</v>
      </c>
      <c r="J99" s="544">
        <v>256.55</v>
      </c>
      <c r="K99" s="544">
        <v>114.8152</v>
      </c>
    </row>
    <row r="100" spans="1:11" ht="15.75" hidden="1" customHeight="1" x14ac:dyDescent="0.25">
      <c r="A100" s="542" t="s">
        <v>5779</v>
      </c>
      <c r="B100" s="543" t="s">
        <v>5780</v>
      </c>
      <c r="C100" s="544">
        <v>2563459.727</v>
      </c>
      <c r="D100" s="544">
        <v>149.5352</v>
      </c>
      <c r="E100" s="544">
        <v>46.131599999999999</v>
      </c>
      <c r="F100" s="544">
        <v>0</v>
      </c>
      <c r="G100" s="544">
        <v>149.5352</v>
      </c>
      <c r="H100" s="544">
        <v>181.8673</v>
      </c>
      <c r="I100" s="544">
        <v>23.799499999999998</v>
      </c>
      <c r="J100" s="544">
        <v>550.86879999999996</v>
      </c>
      <c r="K100" s="544">
        <v>219.46629999999999</v>
      </c>
    </row>
    <row r="101" spans="1:11" ht="15.75" hidden="1" customHeight="1" x14ac:dyDescent="0.25">
      <c r="A101" s="542" t="s">
        <v>5781</v>
      </c>
      <c r="B101" s="543" t="s">
        <v>5782</v>
      </c>
      <c r="C101" s="544">
        <v>7291001.1359999999</v>
      </c>
      <c r="D101" s="544">
        <v>583.28009999999995</v>
      </c>
      <c r="E101" s="544">
        <v>134.9564</v>
      </c>
      <c r="F101" s="544">
        <v>0</v>
      </c>
      <c r="G101" s="544">
        <v>583.28009999999995</v>
      </c>
      <c r="H101" s="544">
        <v>105.19459999999999</v>
      </c>
      <c r="I101" s="544">
        <v>33.497199999999999</v>
      </c>
      <c r="J101" s="544">
        <v>1440.2084</v>
      </c>
      <c r="K101" s="544">
        <v>751.7337</v>
      </c>
    </row>
    <row r="102" spans="1:11" ht="15.75" hidden="1" customHeight="1" x14ac:dyDescent="0.25">
      <c r="A102" s="542" t="s">
        <v>5783</v>
      </c>
      <c r="B102" s="543" t="s">
        <v>5784</v>
      </c>
      <c r="C102" s="544">
        <v>224501.5036</v>
      </c>
      <c r="D102" s="544">
        <v>11.225099999999999</v>
      </c>
      <c r="E102" s="544">
        <v>4.0400999999999998</v>
      </c>
      <c r="F102" s="544">
        <v>1.637</v>
      </c>
      <c r="G102" s="544">
        <v>11.225099999999999</v>
      </c>
      <c r="H102" s="544">
        <v>27.111999999999998</v>
      </c>
      <c r="I102" s="544">
        <v>26.467300000000002</v>
      </c>
      <c r="J102" s="544">
        <v>81.706599999999995</v>
      </c>
      <c r="K102" s="544">
        <v>43.369500000000002</v>
      </c>
    </row>
    <row r="103" spans="1:11" ht="15.75" hidden="1" customHeight="1" x14ac:dyDescent="0.25">
      <c r="A103" s="542" t="s">
        <v>5785</v>
      </c>
      <c r="B103" s="543" t="s">
        <v>5786</v>
      </c>
      <c r="C103" s="544">
        <v>193174186.09999999</v>
      </c>
      <c r="D103" s="544">
        <v>5174.3086000000003</v>
      </c>
      <c r="E103" s="544">
        <v>1667.2197000000001</v>
      </c>
      <c r="F103" s="544">
        <v>0</v>
      </c>
      <c r="G103" s="544">
        <v>11498.4635</v>
      </c>
      <c r="H103" s="544">
        <v>1030.2560000000001</v>
      </c>
      <c r="I103" s="544">
        <v>59.323399999999999</v>
      </c>
      <c r="J103" s="544">
        <v>19429.571199999998</v>
      </c>
      <c r="K103" s="544">
        <v>6900.8517000000002</v>
      </c>
    </row>
    <row r="104" spans="1:11" ht="15.75" hidden="1" customHeight="1" x14ac:dyDescent="0.25">
      <c r="A104" s="542" t="s">
        <v>5787</v>
      </c>
      <c r="B104" s="543" t="s">
        <v>5788</v>
      </c>
      <c r="C104" s="544">
        <v>889139.99340000004</v>
      </c>
      <c r="D104" s="544">
        <v>101.616</v>
      </c>
      <c r="E104" s="544">
        <v>17.633600000000001</v>
      </c>
      <c r="F104" s="544">
        <v>0</v>
      </c>
      <c r="G104" s="544">
        <v>127.02</v>
      </c>
      <c r="H104" s="544">
        <v>52.868400000000001</v>
      </c>
      <c r="I104" s="544">
        <v>33.497199999999999</v>
      </c>
      <c r="J104" s="544">
        <v>332.6352</v>
      </c>
      <c r="K104" s="544">
        <v>152.74680000000001</v>
      </c>
    </row>
    <row r="105" spans="1:11" ht="15.75" hidden="1" customHeight="1" x14ac:dyDescent="0.25">
      <c r="A105" s="542" t="s">
        <v>5789</v>
      </c>
      <c r="B105" s="543" t="s">
        <v>5790</v>
      </c>
      <c r="C105" s="544">
        <v>652611.04200000002</v>
      </c>
      <c r="D105" s="544">
        <v>27.969000000000001</v>
      </c>
      <c r="E105" s="544">
        <v>11.5046</v>
      </c>
      <c r="F105" s="544">
        <v>4.6615000000000002</v>
      </c>
      <c r="G105" s="544">
        <v>41.953600000000002</v>
      </c>
      <c r="H105" s="544">
        <v>114.3584</v>
      </c>
      <c r="I105" s="544">
        <v>28.5336</v>
      </c>
      <c r="J105" s="544">
        <v>228.98070000000001</v>
      </c>
      <c r="K105" s="544">
        <v>72.668700000000001</v>
      </c>
    </row>
    <row r="106" spans="1:11" ht="15.75" hidden="1" customHeight="1" x14ac:dyDescent="0.25">
      <c r="A106" s="542" t="s">
        <v>5791</v>
      </c>
      <c r="B106" s="543" t="s">
        <v>5792</v>
      </c>
      <c r="C106" s="544">
        <v>95907.934899999993</v>
      </c>
      <c r="D106" s="544">
        <v>7.6726000000000001</v>
      </c>
      <c r="E106" s="544">
        <v>1.7753000000000001</v>
      </c>
      <c r="F106" s="544">
        <v>0</v>
      </c>
      <c r="G106" s="544">
        <v>4.7953999999999999</v>
      </c>
      <c r="H106" s="544">
        <v>0</v>
      </c>
      <c r="I106" s="544">
        <v>0</v>
      </c>
      <c r="J106" s="544">
        <v>14.2433</v>
      </c>
      <c r="K106" s="544">
        <v>9.4479000000000006</v>
      </c>
    </row>
    <row r="107" spans="1:11" ht="15.75" hidden="1" customHeight="1" x14ac:dyDescent="0.25">
      <c r="A107" s="542" t="s">
        <v>5793</v>
      </c>
      <c r="B107" s="543" t="s">
        <v>5794</v>
      </c>
      <c r="C107" s="544">
        <v>286716.01130000001</v>
      </c>
      <c r="D107" s="544">
        <v>12.742900000000001</v>
      </c>
      <c r="E107" s="544">
        <v>4.9139999999999997</v>
      </c>
      <c r="F107" s="544">
        <v>0</v>
      </c>
      <c r="G107" s="544">
        <v>7.9642999999999997</v>
      </c>
      <c r="H107" s="544">
        <v>0</v>
      </c>
      <c r="I107" s="544">
        <v>23.799499999999998</v>
      </c>
      <c r="J107" s="544">
        <v>49.420699999999997</v>
      </c>
      <c r="K107" s="544">
        <v>41.456400000000002</v>
      </c>
    </row>
    <row r="108" spans="1:11" ht="15.75" hidden="1" customHeight="1" x14ac:dyDescent="0.25">
      <c r="A108" s="542" t="s">
        <v>5795</v>
      </c>
      <c r="B108" s="543" t="s">
        <v>5796</v>
      </c>
      <c r="C108" s="544">
        <v>100865.91929999999</v>
      </c>
      <c r="D108" s="544">
        <v>5.7637999999999998</v>
      </c>
      <c r="E108" s="544">
        <v>1.7781</v>
      </c>
      <c r="F108" s="544">
        <v>0</v>
      </c>
      <c r="G108" s="544">
        <v>5.7637999999999998</v>
      </c>
      <c r="H108" s="544">
        <v>0</v>
      </c>
      <c r="I108" s="544">
        <v>42.84</v>
      </c>
      <c r="J108" s="544">
        <v>56.145699999999998</v>
      </c>
      <c r="K108" s="544">
        <v>50.381900000000002</v>
      </c>
    </row>
    <row r="109" spans="1:11" ht="15.75" hidden="1" customHeight="1" x14ac:dyDescent="0.25">
      <c r="A109" s="542" t="s">
        <v>5797</v>
      </c>
      <c r="B109" s="543" t="s">
        <v>5798</v>
      </c>
      <c r="C109" s="544">
        <v>272577.8383</v>
      </c>
      <c r="D109" s="544">
        <v>21.8062</v>
      </c>
      <c r="E109" s="544">
        <v>5.0453999999999999</v>
      </c>
      <c r="F109" s="544">
        <v>0</v>
      </c>
      <c r="G109" s="544">
        <v>21.8062</v>
      </c>
      <c r="H109" s="544">
        <v>10.0289</v>
      </c>
      <c r="I109" s="544">
        <v>0</v>
      </c>
      <c r="J109" s="544">
        <v>58.686700000000002</v>
      </c>
      <c r="K109" s="544">
        <v>26.851600000000001</v>
      </c>
    </row>
    <row r="110" spans="1:11" ht="15.75" hidden="1" customHeight="1" x14ac:dyDescent="0.25">
      <c r="A110" s="542" t="s">
        <v>5799</v>
      </c>
      <c r="B110" s="543" t="s">
        <v>5800</v>
      </c>
      <c r="C110" s="544">
        <v>2940612.0380000002</v>
      </c>
      <c r="D110" s="544">
        <v>156.83260000000001</v>
      </c>
      <c r="E110" s="544">
        <v>51.406799999999997</v>
      </c>
      <c r="F110" s="544">
        <v>0</v>
      </c>
      <c r="G110" s="544">
        <v>156.83260000000001</v>
      </c>
      <c r="H110" s="544">
        <v>165.9254</v>
      </c>
      <c r="I110" s="544">
        <v>42.84</v>
      </c>
      <c r="J110" s="544">
        <v>573.8374</v>
      </c>
      <c r="K110" s="544">
        <v>251.07939999999999</v>
      </c>
    </row>
    <row r="111" spans="1:11" ht="15.75" hidden="1" customHeight="1" x14ac:dyDescent="0.25">
      <c r="A111" s="542" t="s">
        <v>5801</v>
      </c>
      <c r="B111" s="543" t="s">
        <v>5802</v>
      </c>
      <c r="C111" s="544">
        <v>1129.4997000000001</v>
      </c>
      <c r="D111" s="544">
        <v>9.6000000000000002E-2</v>
      </c>
      <c r="E111" s="544">
        <v>2.0899999999999998E-2</v>
      </c>
      <c r="F111" s="544">
        <v>0</v>
      </c>
      <c r="G111" s="544">
        <v>9.0399999999999994E-2</v>
      </c>
      <c r="H111" s="544">
        <v>0</v>
      </c>
      <c r="I111" s="544">
        <v>0</v>
      </c>
      <c r="J111" s="544">
        <v>0.20730000000000001</v>
      </c>
      <c r="K111" s="544">
        <v>0.1169</v>
      </c>
    </row>
    <row r="112" spans="1:11" ht="15.75" hidden="1" customHeight="1" x14ac:dyDescent="0.25">
      <c r="A112" s="542" t="s">
        <v>5803</v>
      </c>
      <c r="B112" s="543" t="s">
        <v>5804</v>
      </c>
      <c r="C112" s="544">
        <v>1019.5300999999999</v>
      </c>
      <c r="D112" s="544">
        <v>8.6699999999999999E-2</v>
      </c>
      <c r="E112" s="544">
        <v>1.89E-2</v>
      </c>
      <c r="F112" s="544">
        <v>0</v>
      </c>
      <c r="G112" s="544">
        <v>8.1600000000000006E-2</v>
      </c>
      <c r="H112" s="544">
        <v>0</v>
      </c>
      <c r="I112" s="544">
        <v>0</v>
      </c>
      <c r="J112" s="544">
        <v>0.18720000000000001</v>
      </c>
      <c r="K112" s="544">
        <v>0.1056</v>
      </c>
    </row>
    <row r="113" spans="1:11" ht="15.75" hidden="1" customHeight="1" x14ac:dyDescent="0.25">
      <c r="A113" s="542" t="s">
        <v>5805</v>
      </c>
      <c r="B113" s="543" t="s">
        <v>5806</v>
      </c>
      <c r="C113" s="544">
        <v>474982.94929999998</v>
      </c>
      <c r="D113" s="544">
        <v>85.496899999999997</v>
      </c>
      <c r="E113" s="544">
        <v>10.257300000000001</v>
      </c>
      <c r="F113" s="544">
        <v>0</v>
      </c>
      <c r="G113" s="544">
        <v>28.498999999999999</v>
      </c>
      <c r="H113" s="544">
        <v>28.467600000000001</v>
      </c>
      <c r="I113" s="544">
        <v>23.799499999999998</v>
      </c>
      <c r="J113" s="544">
        <v>176.52029999999999</v>
      </c>
      <c r="K113" s="544">
        <v>119.55370000000001</v>
      </c>
    </row>
    <row r="114" spans="1:11" ht="15.75" hidden="1" customHeight="1" x14ac:dyDescent="0.25">
      <c r="A114" s="542" t="s">
        <v>5807</v>
      </c>
      <c r="B114" s="543" t="s">
        <v>5808</v>
      </c>
      <c r="C114" s="544">
        <v>145192.2157</v>
      </c>
      <c r="D114" s="544">
        <v>21.7788</v>
      </c>
      <c r="E114" s="544">
        <v>2.9861</v>
      </c>
      <c r="F114" s="544">
        <v>0</v>
      </c>
      <c r="G114" s="544">
        <v>7.2595999999999998</v>
      </c>
      <c r="H114" s="544">
        <v>3.9474999999999998</v>
      </c>
      <c r="I114" s="544">
        <v>0</v>
      </c>
      <c r="J114" s="544">
        <v>35.972000000000001</v>
      </c>
      <c r="K114" s="544">
        <v>24.764900000000001</v>
      </c>
    </row>
    <row r="115" spans="1:11" ht="15.75" hidden="1" customHeight="1" x14ac:dyDescent="0.25">
      <c r="A115" s="542" t="s">
        <v>5809</v>
      </c>
      <c r="B115" s="543" t="s">
        <v>5810</v>
      </c>
      <c r="C115" s="544">
        <v>2423.2546000000002</v>
      </c>
      <c r="D115" s="544">
        <v>0.38769999999999999</v>
      </c>
      <c r="E115" s="544">
        <v>5.2299999999999999E-2</v>
      </c>
      <c r="F115" s="544">
        <v>0</v>
      </c>
      <c r="G115" s="544">
        <v>0.33929999999999999</v>
      </c>
      <c r="H115" s="544">
        <v>4.8647999999999998</v>
      </c>
      <c r="I115" s="544">
        <v>0</v>
      </c>
      <c r="J115" s="544">
        <v>5.6440999999999999</v>
      </c>
      <c r="K115" s="544">
        <v>0.44</v>
      </c>
    </row>
    <row r="116" spans="1:11" ht="15.75" hidden="1" customHeight="1" x14ac:dyDescent="0.25">
      <c r="A116" s="542" t="s">
        <v>5811</v>
      </c>
      <c r="B116" s="543" t="s">
        <v>5812</v>
      </c>
      <c r="C116" s="544">
        <v>8823659.4910000004</v>
      </c>
      <c r="D116" s="544">
        <v>141.17859999999999</v>
      </c>
      <c r="E116" s="544">
        <v>141.54910000000001</v>
      </c>
      <c r="F116" s="544">
        <v>0</v>
      </c>
      <c r="G116" s="544">
        <v>176.47319999999999</v>
      </c>
      <c r="H116" s="544">
        <v>1455.5890999999999</v>
      </c>
      <c r="I116" s="544">
        <v>30.974</v>
      </c>
      <c r="J116" s="544">
        <v>1945.7639999999999</v>
      </c>
      <c r="K116" s="544">
        <v>313.70170000000002</v>
      </c>
    </row>
    <row r="117" spans="1:11" ht="15.75" hidden="1" customHeight="1" x14ac:dyDescent="0.25">
      <c r="A117" s="542" t="s">
        <v>5813</v>
      </c>
      <c r="B117" s="543" t="s">
        <v>5814</v>
      </c>
      <c r="C117" s="544">
        <v>9213768.9279999994</v>
      </c>
      <c r="D117" s="544">
        <v>147.4203</v>
      </c>
      <c r="E117" s="544">
        <v>147.8073</v>
      </c>
      <c r="F117" s="544">
        <v>0</v>
      </c>
      <c r="G117" s="544">
        <v>184.27539999999999</v>
      </c>
      <c r="H117" s="544">
        <v>1455.5890999999999</v>
      </c>
      <c r="I117" s="544">
        <v>30.974</v>
      </c>
      <c r="J117" s="544">
        <v>1966.0661</v>
      </c>
      <c r="K117" s="544">
        <v>326.20159999999998</v>
      </c>
    </row>
    <row r="118" spans="1:11" ht="15.75" hidden="1" customHeight="1" x14ac:dyDescent="0.25">
      <c r="A118" s="542" t="s">
        <v>5815</v>
      </c>
      <c r="B118" s="543" t="s">
        <v>5816</v>
      </c>
      <c r="C118" s="544">
        <v>756429.70620000002</v>
      </c>
      <c r="D118" s="544">
        <v>11.976800000000001</v>
      </c>
      <c r="E118" s="544">
        <v>12.056900000000001</v>
      </c>
      <c r="F118" s="544">
        <v>0</v>
      </c>
      <c r="G118" s="544">
        <v>6.3036000000000003</v>
      </c>
      <c r="H118" s="544">
        <v>0</v>
      </c>
      <c r="I118" s="544">
        <v>0</v>
      </c>
      <c r="J118" s="544">
        <v>30.337299999999999</v>
      </c>
      <c r="K118" s="544">
        <v>24.0337</v>
      </c>
    </row>
    <row r="119" spans="1:11" ht="15.75" hidden="1" customHeight="1" x14ac:dyDescent="0.25">
      <c r="A119" s="542" t="s">
        <v>5817</v>
      </c>
      <c r="B119" s="543" t="s">
        <v>5818</v>
      </c>
      <c r="C119" s="544">
        <v>986647.44290000002</v>
      </c>
      <c r="D119" s="544">
        <v>15.6219</v>
      </c>
      <c r="E119" s="544">
        <v>15.7263</v>
      </c>
      <c r="F119" s="544">
        <v>0</v>
      </c>
      <c r="G119" s="544">
        <v>8.2220999999999993</v>
      </c>
      <c r="H119" s="544">
        <v>0</v>
      </c>
      <c r="I119" s="544">
        <v>0</v>
      </c>
      <c r="J119" s="544">
        <v>39.570300000000003</v>
      </c>
      <c r="K119" s="544">
        <v>31.348199999999999</v>
      </c>
    </row>
    <row r="120" spans="1:11" ht="15.75" hidden="1" customHeight="1" x14ac:dyDescent="0.25">
      <c r="A120" s="542" t="s">
        <v>5819</v>
      </c>
      <c r="B120" s="543" t="s">
        <v>5820</v>
      </c>
      <c r="C120" s="544">
        <v>750263.15969999996</v>
      </c>
      <c r="D120" s="544">
        <v>11.879200000000001</v>
      </c>
      <c r="E120" s="544">
        <v>11.958600000000001</v>
      </c>
      <c r="F120" s="544">
        <v>0</v>
      </c>
      <c r="G120" s="544">
        <v>6.2522000000000002</v>
      </c>
      <c r="H120" s="544">
        <v>0</v>
      </c>
      <c r="I120" s="544">
        <v>0</v>
      </c>
      <c r="J120" s="544">
        <v>30.09</v>
      </c>
      <c r="K120" s="544">
        <v>23.837800000000001</v>
      </c>
    </row>
    <row r="121" spans="1:11" ht="15.75" hidden="1" customHeight="1" x14ac:dyDescent="0.25">
      <c r="A121" s="542" t="s">
        <v>5821</v>
      </c>
      <c r="B121" s="543" t="s">
        <v>5822</v>
      </c>
      <c r="C121" s="544">
        <v>868455.30130000005</v>
      </c>
      <c r="D121" s="544">
        <v>13.750500000000001</v>
      </c>
      <c r="E121" s="544">
        <v>13.842499999999999</v>
      </c>
      <c r="F121" s="544">
        <v>0</v>
      </c>
      <c r="G121" s="544">
        <v>7.2370999999999999</v>
      </c>
      <c r="H121" s="544">
        <v>0</v>
      </c>
      <c r="I121" s="544">
        <v>0</v>
      </c>
      <c r="J121" s="544">
        <v>34.830100000000002</v>
      </c>
      <c r="K121" s="544">
        <v>27.593</v>
      </c>
    </row>
    <row r="122" spans="1:11" ht="15.75" hidden="1" customHeight="1" x14ac:dyDescent="0.25">
      <c r="A122" s="542" t="s">
        <v>5823</v>
      </c>
      <c r="B122" s="543" t="s">
        <v>5824</v>
      </c>
      <c r="C122" s="544">
        <v>904426.82259999996</v>
      </c>
      <c r="D122" s="544">
        <v>14.3201</v>
      </c>
      <c r="E122" s="544">
        <v>14.415800000000001</v>
      </c>
      <c r="F122" s="544">
        <v>0</v>
      </c>
      <c r="G122" s="544">
        <v>7.5369000000000002</v>
      </c>
      <c r="H122" s="544">
        <v>0</v>
      </c>
      <c r="I122" s="544">
        <v>0</v>
      </c>
      <c r="J122" s="544">
        <v>36.272799999999997</v>
      </c>
      <c r="K122" s="544">
        <v>28.735900000000001</v>
      </c>
    </row>
    <row r="123" spans="1:11" ht="15.75" hidden="1" customHeight="1" x14ac:dyDescent="0.25">
      <c r="A123" s="542" t="s">
        <v>5825</v>
      </c>
      <c r="B123" s="543" t="s">
        <v>5826</v>
      </c>
      <c r="C123" s="544">
        <v>1162201.389</v>
      </c>
      <c r="D123" s="544">
        <v>18.401499999999999</v>
      </c>
      <c r="E123" s="544">
        <v>18.5245</v>
      </c>
      <c r="F123" s="544">
        <v>0</v>
      </c>
      <c r="G123" s="544">
        <v>9.6850000000000005</v>
      </c>
      <c r="H123" s="544">
        <v>0</v>
      </c>
      <c r="I123" s="544">
        <v>0</v>
      </c>
      <c r="J123" s="544">
        <v>46.610999999999997</v>
      </c>
      <c r="K123" s="544">
        <v>36.926000000000002</v>
      </c>
    </row>
    <row r="124" spans="1:11" ht="15.75" hidden="1" customHeight="1" x14ac:dyDescent="0.25">
      <c r="A124" s="542" t="s">
        <v>5827</v>
      </c>
      <c r="B124" s="543" t="s">
        <v>5828</v>
      </c>
      <c r="C124" s="544">
        <v>2813415</v>
      </c>
      <c r="D124" s="544">
        <v>45.014600000000002</v>
      </c>
      <c r="E124" s="544">
        <v>45.132800000000003</v>
      </c>
      <c r="F124" s="544">
        <v>0</v>
      </c>
      <c r="G124" s="544">
        <v>56.268300000000004</v>
      </c>
      <c r="H124" s="544">
        <v>58.561900000000001</v>
      </c>
      <c r="I124" s="544">
        <v>42.84</v>
      </c>
      <c r="J124" s="544">
        <v>247.8176</v>
      </c>
      <c r="K124" s="544">
        <v>132.98740000000001</v>
      </c>
    </row>
    <row r="125" spans="1:11" ht="15.75" hidden="1" customHeight="1" x14ac:dyDescent="0.25">
      <c r="A125" s="542" t="s">
        <v>5829</v>
      </c>
      <c r="B125" s="543" t="s">
        <v>5830</v>
      </c>
      <c r="C125" s="544">
        <v>1473781.8859999999</v>
      </c>
      <c r="D125" s="544">
        <v>128.95590000000001</v>
      </c>
      <c r="E125" s="544">
        <v>28.416399999999999</v>
      </c>
      <c r="F125" s="544">
        <v>0</v>
      </c>
      <c r="G125" s="544">
        <v>128.95590000000001</v>
      </c>
      <c r="H125" s="544">
        <v>84.589399999999998</v>
      </c>
      <c r="I125" s="544">
        <v>33.497199999999999</v>
      </c>
      <c r="J125" s="544">
        <v>404.41480000000001</v>
      </c>
      <c r="K125" s="544">
        <v>190.86949999999999</v>
      </c>
    </row>
    <row r="126" spans="1:11" ht="15.75" hidden="1" customHeight="1" x14ac:dyDescent="0.25">
      <c r="A126" s="542" t="s">
        <v>5831</v>
      </c>
      <c r="B126" s="543" t="s">
        <v>5832</v>
      </c>
      <c r="C126" s="544">
        <v>976972.47140000004</v>
      </c>
      <c r="D126" s="544">
        <v>78.068600000000004</v>
      </c>
      <c r="E126" s="544">
        <v>18.510400000000001</v>
      </c>
      <c r="F126" s="544">
        <v>0</v>
      </c>
      <c r="G126" s="544">
        <v>78.068600000000004</v>
      </c>
      <c r="H126" s="544">
        <v>108.1769</v>
      </c>
      <c r="I126" s="544">
        <v>41.668100000000003</v>
      </c>
      <c r="J126" s="544">
        <v>324.49259999999998</v>
      </c>
      <c r="K126" s="544">
        <v>138.24709999999999</v>
      </c>
    </row>
    <row r="127" spans="1:11" ht="15.75" hidden="1" customHeight="1" x14ac:dyDescent="0.25">
      <c r="A127" s="542" t="s">
        <v>5833</v>
      </c>
      <c r="B127" s="543" t="s">
        <v>5834</v>
      </c>
      <c r="C127" s="544">
        <v>2054956.453</v>
      </c>
      <c r="D127" s="544">
        <v>234.85220000000001</v>
      </c>
      <c r="E127" s="544">
        <v>40.754199999999997</v>
      </c>
      <c r="F127" s="544">
        <v>0</v>
      </c>
      <c r="G127" s="544">
        <v>293.5652</v>
      </c>
      <c r="H127" s="544">
        <v>72.605900000000005</v>
      </c>
      <c r="I127" s="544">
        <v>41.668100000000003</v>
      </c>
      <c r="J127" s="544">
        <v>683.44560000000001</v>
      </c>
      <c r="K127" s="544">
        <v>317.27449999999999</v>
      </c>
    </row>
    <row r="128" spans="1:11" ht="15.75" hidden="1" customHeight="1" x14ac:dyDescent="0.25">
      <c r="A128" s="542" t="s">
        <v>5835</v>
      </c>
      <c r="B128" s="543" t="s">
        <v>5836</v>
      </c>
      <c r="C128" s="544">
        <v>2012118.6009</v>
      </c>
      <c r="D128" s="544">
        <v>160.96950000000001</v>
      </c>
      <c r="E128" s="544">
        <v>37.244300000000003</v>
      </c>
      <c r="F128" s="544">
        <v>0</v>
      </c>
      <c r="G128" s="544">
        <v>160.96950000000001</v>
      </c>
      <c r="H128" s="544">
        <v>117.9372</v>
      </c>
      <c r="I128" s="544">
        <v>41.668100000000003</v>
      </c>
      <c r="J128" s="544">
        <v>518.78859999999997</v>
      </c>
      <c r="K128" s="544">
        <v>239.8819</v>
      </c>
    </row>
    <row r="129" spans="1:11" ht="15.75" hidden="1" customHeight="1" x14ac:dyDescent="0.25">
      <c r="A129" s="542" t="s">
        <v>5837</v>
      </c>
      <c r="B129" s="543" t="s">
        <v>5838</v>
      </c>
      <c r="C129" s="544">
        <v>1040786.617</v>
      </c>
      <c r="D129" s="544">
        <v>83.262900000000002</v>
      </c>
      <c r="E129" s="544">
        <v>19.265000000000001</v>
      </c>
      <c r="F129" s="544">
        <v>0</v>
      </c>
      <c r="G129" s="544">
        <v>62.447200000000002</v>
      </c>
      <c r="H129" s="544">
        <v>0</v>
      </c>
      <c r="I129" s="544">
        <v>0</v>
      </c>
      <c r="J129" s="544">
        <v>164.9751</v>
      </c>
      <c r="K129" s="544">
        <v>102.5279</v>
      </c>
    </row>
    <row r="130" spans="1:11" ht="15.75" hidden="1" customHeight="1" x14ac:dyDescent="0.25">
      <c r="A130" s="542" t="s">
        <v>5839</v>
      </c>
      <c r="B130" s="543" t="s">
        <v>5840</v>
      </c>
      <c r="C130" s="544">
        <v>89073.404200000004</v>
      </c>
      <c r="D130" s="544">
        <v>11.8765</v>
      </c>
      <c r="E130" s="544">
        <v>1.8319000000000001</v>
      </c>
      <c r="F130" s="544">
        <v>0</v>
      </c>
      <c r="G130" s="544">
        <v>11.8765</v>
      </c>
      <c r="H130" s="544">
        <v>0</v>
      </c>
      <c r="I130" s="544">
        <v>0</v>
      </c>
      <c r="J130" s="544">
        <v>25.584900000000001</v>
      </c>
      <c r="K130" s="544">
        <v>13.708399999999999</v>
      </c>
    </row>
    <row r="131" spans="1:11" ht="15.75" hidden="1" customHeight="1" x14ac:dyDescent="0.25">
      <c r="A131" s="542" t="s">
        <v>5841</v>
      </c>
      <c r="B131" s="543" t="s">
        <v>5842</v>
      </c>
      <c r="C131" s="544">
        <v>7933.1341000000002</v>
      </c>
      <c r="D131" s="544">
        <v>1.0578000000000001</v>
      </c>
      <c r="E131" s="544">
        <v>0.16320000000000001</v>
      </c>
      <c r="F131" s="544">
        <v>0</v>
      </c>
      <c r="G131" s="544">
        <v>1.0578000000000001</v>
      </c>
      <c r="H131" s="544">
        <v>0</v>
      </c>
      <c r="I131" s="544">
        <v>0</v>
      </c>
      <c r="J131" s="544">
        <v>2.2787999999999999</v>
      </c>
      <c r="K131" s="544">
        <v>1.2210000000000001</v>
      </c>
    </row>
    <row r="132" spans="1:11" ht="15.75" hidden="1" customHeight="1" x14ac:dyDescent="0.25">
      <c r="A132" s="542" t="s">
        <v>5843</v>
      </c>
      <c r="B132" s="543" t="s">
        <v>5844</v>
      </c>
      <c r="C132" s="544">
        <v>24413.342400000001</v>
      </c>
      <c r="D132" s="544">
        <v>3.2551000000000001</v>
      </c>
      <c r="E132" s="544">
        <v>0.50209999999999999</v>
      </c>
      <c r="F132" s="544">
        <v>0</v>
      </c>
      <c r="G132" s="544">
        <v>3.2551000000000001</v>
      </c>
      <c r="H132" s="544">
        <v>0</v>
      </c>
      <c r="I132" s="544">
        <v>31.033300000000001</v>
      </c>
      <c r="J132" s="544">
        <v>38.0456</v>
      </c>
      <c r="K132" s="544">
        <v>34.790500000000002</v>
      </c>
    </row>
    <row r="133" spans="1:11" ht="15.75" hidden="1" customHeight="1" x14ac:dyDescent="0.25">
      <c r="A133" s="542" t="s">
        <v>5845</v>
      </c>
      <c r="B133" s="543" t="s">
        <v>5846</v>
      </c>
      <c r="C133" s="544">
        <v>14100621.48</v>
      </c>
      <c r="D133" s="544">
        <v>805.74980000000005</v>
      </c>
      <c r="E133" s="544">
        <v>248.57380000000001</v>
      </c>
      <c r="F133" s="544">
        <v>0</v>
      </c>
      <c r="G133" s="544">
        <v>1007.1872</v>
      </c>
      <c r="H133" s="544">
        <v>176.4991</v>
      </c>
      <c r="I133" s="544">
        <v>53.839399999999998</v>
      </c>
      <c r="J133" s="544">
        <v>2291.8492999999999</v>
      </c>
      <c r="K133" s="544">
        <v>1108.163</v>
      </c>
    </row>
    <row r="134" spans="1:11" ht="15.75" hidden="1" customHeight="1" x14ac:dyDescent="0.25">
      <c r="A134" s="542" t="s">
        <v>5847</v>
      </c>
      <c r="B134" s="543" t="s">
        <v>5848</v>
      </c>
      <c r="C134" s="544">
        <v>81.714399999999998</v>
      </c>
      <c r="D134" s="544">
        <v>1.09E-2</v>
      </c>
      <c r="E134" s="544">
        <v>1.6999999999999999E-3</v>
      </c>
      <c r="F134" s="544">
        <v>0</v>
      </c>
      <c r="G134" s="544">
        <v>1.09E-2</v>
      </c>
      <c r="H134" s="544">
        <v>0</v>
      </c>
      <c r="I134" s="544">
        <v>0</v>
      </c>
      <c r="J134" s="544">
        <v>2.35E-2</v>
      </c>
      <c r="K134" s="544">
        <v>1.26E-2</v>
      </c>
    </row>
    <row r="135" spans="1:11" ht="15.75" hidden="1" customHeight="1" x14ac:dyDescent="0.25">
      <c r="A135" s="542" t="s">
        <v>5849</v>
      </c>
      <c r="B135" s="543" t="s">
        <v>5850</v>
      </c>
      <c r="C135" s="544">
        <v>652611.04200000002</v>
      </c>
      <c r="D135" s="544">
        <v>27.969000000000001</v>
      </c>
      <c r="E135" s="544">
        <v>11.5046</v>
      </c>
      <c r="F135" s="544">
        <v>4.6615000000000002</v>
      </c>
      <c r="G135" s="544">
        <v>41.953600000000002</v>
      </c>
      <c r="H135" s="544">
        <v>114.3584</v>
      </c>
      <c r="I135" s="544">
        <v>0</v>
      </c>
      <c r="J135" s="544">
        <v>200.44710000000001</v>
      </c>
      <c r="K135" s="544">
        <v>44.135100000000001</v>
      </c>
    </row>
    <row r="136" spans="1:11" ht="15.75" hidden="1" customHeight="1" x14ac:dyDescent="0.25">
      <c r="A136" s="542" t="s">
        <v>5851</v>
      </c>
      <c r="B136" s="543" t="s">
        <v>5852</v>
      </c>
      <c r="C136" s="544">
        <v>1013304.166</v>
      </c>
      <c r="D136" s="544">
        <v>43.427300000000002</v>
      </c>
      <c r="E136" s="544">
        <v>17.863099999999999</v>
      </c>
      <c r="F136" s="544">
        <v>7.2378999999999998</v>
      </c>
      <c r="G136" s="544">
        <v>65.141000000000005</v>
      </c>
      <c r="H136" s="544">
        <v>180.29480000000001</v>
      </c>
      <c r="I136" s="544">
        <v>0</v>
      </c>
      <c r="J136" s="544">
        <v>313.96409999999997</v>
      </c>
      <c r="K136" s="544">
        <v>68.528300000000002</v>
      </c>
    </row>
    <row r="137" spans="1:11" ht="15.75" hidden="1" customHeight="1" x14ac:dyDescent="0.25">
      <c r="A137" s="542" t="s">
        <v>5853</v>
      </c>
      <c r="B137" s="543" t="s">
        <v>5854</v>
      </c>
      <c r="C137" s="544">
        <v>15626.963400000001</v>
      </c>
      <c r="D137" s="544">
        <v>1.0045999999999999</v>
      </c>
      <c r="E137" s="544">
        <v>0.27550000000000002</v>
      </c>
      <c r="F137" s="544">
        <v>0</v>
      </c>
      <c r="G137" s="544">
        <v>0.55810000000000004</v>
      </c>
      <c r="H137" s="544">
        <v>0</v>
      </c>
      <c r="I137" s="544">
        <v>0</v>
      </c>
      <c r="J137" s="544">
        <v>1.8382000000000001</v>
      </c>
      <c r="K137" s="544">
        <v>1.2801</v>
      </c>
    </row>
    <row r="138" spans="1:11" ht="15.75" hidden="1" customHeight="1" x14ac:dyDescent="0.25">
      <c r="A138" s="542" t="s">
        <v>5855</v>
      </c>
      <c r="B138" s="543" t="s">
        <v>5856</v>
      </c>
      <c r="C138" s="544">
        <v>624486.27119999996</v>
      </c>
      <c r="D138" s="544">
        <v>10.9285</v>
      </c>
      <c r="E138" s="544">
        <v>10.1143</v>
      </c>
      <c r="F138" s="544">
        <v>0</v>
      </c>
      <c r="G138" s="544">
        <v>15.6122</v>
      </c>
      <c r="H138" s="544">
        <v>0</v>
      </c>
      <c r="I138" s="544">
        <v>52.725299999999997</v>
      </c>
      <c r="J138" s="544">
        <v>89.380300000000005</v>
      </c>
      <c r="K138" s="544">
        <v>73.768100000000004</v>
      </c>
    </row>
    <row r="139" spans="1:11" ht="15.75" hidden="1" customHeight="1" x14ac:dyDescent="0.25">
      <c r="A139" s="542" t="s">
        <v>5857</v>
      </c>
      <c r="B139" s="543" t="s">
        <v>5858</v>
      </c>
      <c r="C139" s="544">
        <v>39861.438499999997</v>
      </c>
      <c r="D139" s="544">
        <v>2.5625</v>
      </c>
      <c r="E139" s="544">
        <v>0.70269999999999999</v>
      </c>
      <c r="F139" s="544">
        <v>0</v>
      </c>
      <c r="G139" s="544">
        <v>1.4236</v>
      </c>
      <c r="H139" s="544">
        <v>0</v>
      </c>
      <c r="I139" s="544">
        <v>0</v>
      </c>
      <c r="J139" s="544">
        <v>4.6887999999999996</v>
      </c>
      <c r="K139" s="544">
        <v>3.2652000000000001</v>
      </c>
    </row>
    <row r="140" spans="1:11" ht="15.75" hidden="1" customHeight="1" x14ac:dyDescent="0.25">
      <c r="A140" s="542" t="s">
        <v>5859</v>
      </c>
      <c r="B140" s="543" t="s">
        <v>5860</v>
      </c>
      <c r="C140" s="544">
        <v>6680.9669000000004</v>
      </c>
      <c r="D140" s="544">
        <v>0.42949999999999999</v>
      </c>
      <c r="E140" s="544">
        <v>0.1178</v>
      </c>
      <c r="F140" s="544">
        <v>0</v>
      </c>
      <c r="G140" s="544">
        <v>0.23860000000000001</v>
      </c>
      <c r="H140" s="544">
        <v>0</v>
      </c>
      <c r="I140" s="544">
        <v>0</v>
      </c>
      <c r="J140" s="544">
        <v>0.78590000000000004</v>
      </c>
      <c r="K140" s="544">
        <v>0.54730000000000001</v>
      </c>
    </row>
    <row r="141" spans="1:11" ht="15.75" hidden="1" customHeight="1" x14ac:dyDescent="0.25">
      <c r="A141" s="542" t="s">
        <v>5861</v>
      </c>
      <c r="B141" s="543" t="s">
        <v>5862</v>
      </c>
      <c r="C141" s="544">
        <v>12820.899299999999</v>
      </c>
      <c r="D141" s="544">
        <v>0.82420000000000004</v>
      </c>
      <c r="E141" s="544">
        <v>0.22600000000000001</v>
      </c>
      <c r="F141" s="544">
        <v>0</v>
      </c>
      <c r="G141" s="544">
        <v>0.45789999999999997</v>
      </c>
      <c r="H141" s="544">
        <v>0</v>
      </c>
      <c r="I141" s="544">
        <v>0</v>
      </c>
      <c r="J141" s="544">
        <v>1.5081</v>
      </c>
      <c r="K141" s="544">
        <v>1.0502</v>
      </c>
    </row>
    <row r="142" spans="1:11" ht="15.75" hidden="1" customHeight="1" x14ac:dyDescent="0.25">
      <c r="A142" s="542" t="s">
        <v>5863</v>
      </c>
      <c r="B142" s="543" t="s">
        <v>5864</v>
      </c>
      <c r="C142" s="544">
        <v>397855.50839999999</v>
      </c>
      <c r="D142" s="544">
        <v>35.364899999999999</v>
      </c>
      <c r="E142" s="544">
        <v>7.5007000000000001</v>
      </c>
      <c r="F142" s="544">
        <v>0</v>
      </c>
      <c r="G142" s="544">
        <v>35.364899999999999</v>
      </c>
      <c r="H142" s="544">
        <v>0</v>
      </c>
      <c r="I142" s="544">
        <v>52.725299999999997</v>
      </c>
      <c r="J142" s="544">
        <v>130.95580000000001</v>
      </c>
      <c r="K142" s="544">
        <v>95.590900000000005</v>
      </c>
    </row>
    <row r="143" spans="1:11" ht="15.75" hidden="1" customHeight="1" x14ac:dyDescent="0.25">
      <c r="A143" s="542" t="s">
        <v>5865</v>
      </c>
      <c r="B143" s="543" t="s">
        <v>5866</v>
      </c>
      <c r="C143" s="544">
        <v>52627.2183</v>
      </c>
      <c r="D143" s="544">
        <v>4.2102000000000004</v>
      </c>
      <c r="E143" s="544">
        <v>0.97409999999999997</v>
      </c>
      <c r="F143" s="544">
        <v>0</v>
      </c>
      <c r="G143" s="544">
        <v>4.2102000000000004</v>
      </c>
      <c r="H143" s="544">
        <v>6.8766999999999996</v>
      </c>
      <c r="I143" s="544">
        <v>0</v>
      </c>
      <c r="J143" s="544">
        <v>16.2712</v>
      </c>
      <c r="K143" s="544">
        <v>5.1843000000000004</v>
      </c>
    </row>
    <row r="144" spans="1:11" ht="15.75" hidden="1" customHeight="1" x14ac:dyDescent="0.25">
      <c r="A144" s="542" t="s">
        <v>5867</v>
      </c>
      <c r="B144" s="543" t="s">
        <v>5868</v>
      </c>
      <c r="C144" s="544">
        <v>81337.637400000007</v>
      </c>
      <c r="D144" s="544">
        <v>6.5069999999999997</v>
      </c>
      <c r="E144" s="544">
        <v>1.5056</v>
      </c>
      <c r="F144" s="544">
        <v>0</v>
      </c>
      <c r="G144" s="544">
        <v>6.5069999999999997</v>
      </c>
      <c r="H144" s="544">
        <v>14.914899999999999</v>
      </c>
      <c r="I144" s="544">
        <v>0</v>
      </c>
      <c r="J144" s="544">
        <v>29.4345</v>
      </c>
      <c r="K144" s="544">
        <v>8.0126000000000008</v>
      </c>
    </row>
    <row r="145" spans="1:11" ht="15.75" hidden="1" customHeight="1" x14ac:dyDescent="0.25">
      <c r="A145" s="542" t="s">
        <v>5869</v>
      </c>
      <c r="B145" s="543" t="s">
        <v>5870</v>
      </c>
      <c r="C145" s="544">
        <v>32606.153200000001</v>
      </c>
      <c r="D145" s="544">
        <v>4.3475000000000001</v>
      </c>
      <c r="E145" s="544">
        <v>0.67059999999999997</v>
      </c>
      <c r="F145" s="544">
        <v>0</v>
      </c>
      <c r="G145" s="544">
        <v>4.3475000000000001</v>
      </c>
      <c r="H145" s="544">
        <v>0</v>
      </c>
      <c r="I145" s="544">
        <v>0</v>
      </c>
      <c r="J145" s="544">
        <v>9.3656000000000006</v>
      </c>
      <c r="K145" s="544">
        <v>5.0180999999999996</v>
      </c>
    </row>
    <row r="146" spans="1:11" ht="15.75" hidden="1" customHeight="1" x14ac:dyDescent="0.25">
      <c r="A146" s="542" t="s">
        <v>5871</v>
      </c>
      <c r="B146" s="543" t="s">
        <v>5872</v>
      </c>
      <c r="C146" s="544">
        <v>3702.0497</v>
      </c>
      <c r="D146" s="544">
        <v>0.3332</v>
      </c>
      <c r="E146" s="544">
        <v>6.8500000000000005E-2</v>
      </c>
      <c r="F146" s="544">
        <v>0</v>
      </c>
      <c r="G146" s="544">
        <v>0.18509999999999999</v>
      </c>
      <c r="H146" s="544">
        <v>0</v>
      </c>
      <c r="I146" s="544">
        <v>0</v>
      </c>
      <c r="J146" s="544">
        <v>0.58679999999999999</v>
      </c>
      <c r="K146" s="544">
        <v>0.4017</v>
      </c>
    </row>
    <row r="147" spans="1:11" ht="15.75" hidden="1" customHeight="1" x14ac:dyDescent="0.25">
      <c r="A147" s="542" t="s">
        <v>5873</v>
      </c>
      <c r="B147" s="543" t="s">
        <v>5874</v>
      </c>
      <c r="C147" s="544">
        <v>67159.5285</v>
      </c>
      <c r="D147" s="544">
        <v>2.6863999999999999</v>
      </c>
      <c r="E147" s="544">
        <v>1.1395</v>
      </c>
      <c r="F147" s="544">
        <v>0</v>
      </c>
      <c r="G147" s="544">
        <v>2.3506</v>
      </c>
      <c r="H147" s="544">
        <v>0</v>
      </c>
      <c r="I147" s="544">
        <v>0</v>
      </c>
      <c r="J147" s="544">
        <v>6.1764999999999999</v>
      </c>
      <c r="K147" s="544">
        <v>3.8258999999999999</v>
      </c>
    </row>
    <row r="148" spans="1:11" ht="15.75" hidden="1" customHeight="1" x14ac:dyDescent="0.25">
      <c r="A148" s="542" t="s">
        <v>5875</v>
      </c>
      <c r="B148" s="543" t="s">
        <v>5876</v>
      </c>
      <c r="C148" s="544">
        <v>15906.7425</v>
      </c>
      <c r="D148" s="544">
        <v>0.63629999999999998</v>
      </c>
      <c r="E148" s="544">
        <v>0.26989999999999997</v>
      </c>
      <c r="F148" s="544">
        <v>0</v>
      </c>
      <c r="G148" s="544">
        <v>0.55669999999999997</v>
      </c>
      <c r="H148" s="544">
        <v>0</v>
      </c>
      <c r="I148" s="544">
        <v>0</v>
      </c>
      <c r="J148" s="544">
        <v>1.4629000000000001</v>
      </c>
      <c r="K148" s="544">
        <v>0.90620000000000001</v>
      </c>
    </row>
    <row r="149" spans="1:11" ht="15.75" hidden="1" customHeight="1" x14ac:dyDescent="0.25">
      <c r="A149" s="542" t="s">
        <v>5877</v>
      </c>
      <c r="B149" s="543" t="s">
        <v>5878</v>
      </c>
      <c r="C149" s="544">
        <v>21573.153200000001</v>
      </c>
      <c r="D149" s="544">
        <v>2.8763999999999998</v>
      </c>
      <c r="E149" s="544">
        <v>0.44369999999999998</v>
      </c>
      <c r="F149" s="544">
        <v>0</v>
      </c>
      <c r="G149" s="544">
        <v>2.8763999999999998</v>
      </c>
      <c r="H149" s="544">
        <v>0</v>
      </c>
      <c r="I149" s="544">
        <v>0</v>
      </c>
      <c r="J149" s="544">
        <v>6.1965000000000003</v>
      </c>
      <c r="K149" s="544">
        <v>3.3201000000000001</v>
      </c>
    </row>
    <row r="150" spans="1:11" ht="15.75" hidden="1" customHeight="1" x14ac:dyDescent="0.25">
      <c r="A150" s="542" t="s">
        <v>5879</v>
      </c>
      <c r="B150" s="543" t="s">
        <v>5880</v>
      </c>
      <c r="C150" s="544">
        <v>62449.232900000003</v>
      </c>
      <c r="D150" s="544">
        <v>6.2449000000000003</v>
      </c>
      <c r="E150" s="544">
        <v>1.2040999999999999</v>
      </c>
      <c r="F150" s="544">
        <v>0</v>
      </c>
      <c r="G150" s="544">
        <v>6.2449000000000003</v>
      </c>
      <c r="H150" s="544">
        <v>0</v>
      </c>
      <c r="I150" s="544">
        <v>23.799499999999998</v>
      </c>
      <c r="J150" s="544">
        <v>37.493400000000001</v>
      </c>
      <c r="K150" s="544">
        <v>31.2485</v>
      </c>
    </row>
    <row r="151" spans="1:11" ht="15.75" hidden="1" customHeight="1" x14ac:dyDescent="0.25">
      <c r="A151" s="542" t="s">
        <v>5881</v>
      </c>
      <c r="B151" s="543" t="s">
        <v>5882</v>
      </c>
      <c r="C151" s="544">
        <v>16974.8053</v>
      </c>
      <c r="D151" s="544">
        <v>1.5277000000000001</v>
      </c>
      <c r="E151" s="544">
        <v>0.31419999999999998</v>
      </c>
      <c r="F151" s="544">
        <v>0</v>
      </c>
      <c r="G151" s="544">
        <v>1.0185</v>
      </c>
      <c r="H151" s="544">
        <v>0</v>
      </c>
      <c r="I151" s="544">
        <v>0</v>
      </c>
      <c r="J151" s="544">
        <v>2.8603999999999998</v>
      </c>
      <c r="K151" s="544">
        <v>1.8419000000000001</v>
      </c>
    </row>
    <row r="152" spans="1:11" ht="15.75" hidden="1" customHeight="1" x14ac:dyDescent="0.25">
      <c r="A152" s="542" t="s">
        <v>5883</v>
      </c>
      <c r="B152" s="543" t="s">
        <v>5884</v>
      </c>
      <c r="C152" s="544">
        <v>4543</v>
      </c>
      <c r="D152" s="544">
        <v>0.3634</v>
      </c>
      <c r="E152" s="544">
        <v>8.4099999999999994E-2</v>
      </c>
      <c r="F152" s="544">
        <v>0</v>
      </c>
      <c r="G152" s="544">
        <v>0.22720000000000001</v>
      </c>
      <c r="H152" s="544">
        <v>0</v>
      </c>
      <c r="I152" s="544">
        <v>0</v>
      </c>
      <c r="J152" s="544">
        <v>0.67469999999999997</v>
      </c>
      <c r="K152" s="544">
        <v>0.44750000000000001</v>
      </c>
    </row>
    <row r="153" spans="1:11" ht="15.75" hidden="1" customHeight="1" x14ac:dyDescent="0.25">
      <c r="A153" s="542" t="s">
        <v>5885</v>
      </c>
      <c r="B153" s="543" t="s">
        <v>5886</v>
      </c>
      <c r="C153" s="544">
        <v>2284.6765999999998</v>
      </c>
      <c r="D153" s="544">
        <v>0.41120000000000001</v>
      </c>
      <c r="E153" s="544">
        <v>4.9299999999999997E-2</v>
      </c>
      <c r="F153" s="544">
        <v>0</v>
      </c>
      <c r="G153" s="544">
        <v>0.22850000000000001</v>
      </c>
      <c r="H153" s="544">
        <v>0</v>
      </c>
      <c r="I153" s="544">
        <v>0</v>
      </c>
      <c r="J153" s="544">
        <v>0.68899999999999995</v>
      </c>
      <c r="K153" s="544">
        <v>0.46050000000000002</v>
      </c>
    </row>
    <row r="154" spans="1:11" ht="15.75" hidden="1" customHeight="1" x14ac:dyDescent="0.25">
      <c r="A154" s="542" t="s">
        <v>5887</v>
      </c>
      <c r="B154" s="543" t="s">
        <v>5888</v>
      </c>
      <c r="C154" s="544">
        <v>20886.621899999998</v>
      </c>
      <c r="D154" s="544">
        <v>2.7848999999999999</v>
      </c>
      <c r="E154" s="544">
        <v>0.42959999999999998</v>
      </c>
      <c r="F154" s="544">
        <v>0</v>
      </c>
      <c r="G154" s="544">
        <v>1.7405999999999999</v>
      </c>
      <c r="H154" s="544">
        <v>0</v>
      </c>
      <c r="I154" s="544">
        <v>23.799499999999998</v>
      </c>
      <c r="J154" s="544">
        <v>28.7546</v>
      </c>
      <c r="K154" s="544">
        <v>27.013999999999999</v>
      </c>
    </row>
    <row r="155" spans="1:11" ht="15.75" hidden="1" customHeight="1" x14ac:dyDescent="0.25">
      <c r="A155" s="542" t="s">
        <v>5889</v>
      </c>
      <c r="B155" s="543" t="s">
        <v>5890</v>
      </c>
      <c r="C155" s="544">
        <v>10081.915300000001</v>
      </c>
      <c r="D155" s="544">
        <v>0.8962</v>
      </c>
      <c r="E155" s="544">
        <v>0.19009999999999999</v>
      </c>
      <c r="F155" s="544">
        <v>0</v>
      </c>
      <c r="G155" s="544">
        <v>0.67210000000000003</v>
      </c>
      <c r="H155" s="544">
        <v>0</v>
      </c>
      <c r="I155" s="544">
        <v>0</v>
      </c>
      <c r="J155" s="544">
        <v>1.7584</v>
      </c>
      <c r="K155" s="544">
        <v>1.0863</v>
      </c>
    </row>
    <row r="156" spans="1:11" ht="15.75" hidden="1" customHeight="1" x14ac:dyDescent="0.25">
      <c r="A156" s="542" t="s">
        <v>5891</v>
      </c>
      <c r="B156" s="543" t="s">
        <v>5892</v>
      </c>
      <c r="C156" s="544">
        <v>8816.5598000000009</v>
      </c>
      <c r="D156" s="544">
        <v>0.70530000000000004</v>
      </c>
      <c r="E156" s="544">
        <v>0.16320000000000001</v>
      </c>
      <c r="F156" s="544">
        <v>0</v>
      </c>
      <c r="G156" s="544">
        <v>0.44080000000000003</v>
      </c>
      <c r="H156" s="544">
        <v>0</v>
      </c>
      <c r="I156" s="544">
        <v>0</v>
      </c>
      <c r="J156" s="544">
        <v>1.3092999999999999</v>
      </c>
      <c r="K156" s="544">
        <v>0.86850000000000005</v>
      </c>
    </row>
    <row r="157" spans="1:11" ht="15.75" hidden="1" customHeight="1" x14ac:dyDescent="0.25">
      <c r="A157" s="542" t="s">
        <v>5893</v>
      </c>
      <c r="B157" s="543" t="s">
        <v>5894</v>
      </c>
      <c r="C157" s="544">
        <v>17997.5491</v>
      </c>
      <c r="D157" s="544">
        <v>1.4398</v>
      </c>
      <c r="E157" s="544">
        <v>0.33310000000000001</v>
      </c>
      <c r="F157" s="544">
        <v>0</v>
      </c>
      <c r="G157" s="544">
        <v>0.89990000000000003</v>
      </c>
      <c r="H157" s="544">
        <v>0</v>
      </c>
      <c r="I157" s="544">
        <v>0</v>
      </c>
      <c r="J157" s="544">
        <v>2.6728000000000001</v>
      </c>
      <c r="K157" s="544">
        <v>1.7728999999999999</v>
      </c>
    </row>
    <row r="158" spans="1:11" ht="15.75" hidden="1" customHeight="1" x14ac:dyDescent="0.25">
      <c r="A158" s="542" t="s">
        <v>5895</v>
      </c>
      <c r="B158" s="543" t="s">
        <v>5896</v>
      </c>
      <c r="C158" s="544">
        <v>6207.6733000000004</v>
      </c>
      <c r="D158" s="544">
        <v>0.55869999999999997</v>
      </c>
      <c r="E158" s="544">
        <v>0.1149</v>
      </c>
      <c r="F158" s="544">
        <v>0</v>
      </c>
      <c r="G158" s="544">
        <v>0.3725</v>
      </c>
      <c r="H158" s="544">
        <v>0</v>
      </c>
      <c r="I158" s="544">
        <v>0</v>
      </c>
      <c r="J158" s="544">
        <v>1.0461</v>
      </c>
      <c r="K158" s="544">
        <v>0.67359999999999998</v>
      </c>
    </row>
    <row r="159" spans="1:11" ht="15.75" hidden="1" customHeight="1" x14ac:dyDescent="0.25">
      <c r="A159" s="542" t="s">
        <v>5897</v>
      </c>
      <c r="B159" s="543" t="s">
        <v>5898</v>
      </c>
      <c r="C159" s="544">
        <v>457809.79979999998</v>
      </c>
      <c r="D159" s="544">
        <v>41.2029</v>
      </c>
      <c r="E159" s="544">
        <v>8.4741</v>
      </c>
      <c r="F159" s="544">
        <v>0</v>
      </c>
      <c r="G159" s="544">
        <v>27.468599999999999</v>
      </c>
      <c r="H159" s="544">
        <v>0</v>
      </c>
      <c r="I159" s="544">
        <v>0</v>
      </c>
      <c r="J159" s="544">
        <v>77.145600000000002</v>
      </c>
      <c r="K159" s="544">
        <v>49.677</v>
      </c>
    </row>
    <row r="160" spans="1:11" ht="15.75" hidden="1" customHeight="1" x14ac:dyDescent="0.25">
      <c r="A160" s="542" t="s">
        <v>5899</v>
      </c>
      <c r="B160" s="543" t="s">
        <v>5900</v>
      </c>
      <c r="C160" s="544">
        <v>978437.81200000003</v>
      </c>
      <c r="D160" s="544">
        <v>130.45840000000001</v>
      </c>
      <c r="E160" s="544">
        <v>20.123200000000001</v>
      </c>
      <c r="F160" s="544">
        <v>0</v>
      </c>
      <c r="G160" s="544">
        <v>97.843800000000002</v>
      </c>
      <c r="H160" s="544">
        <v>83.884500000000003</v>
      </c>
      <c r="I160" s="544">
        <v>33.497199999999999</v>
      </c>
      <c r="J160" s="544">
        <v>365.80709999999999</v>
      </c>
      <c r="K160" s="544">
        <v>184.0788</v>
      </c>
    </row>
    <row r="161" spans="1:11" ht="15.75" hidden="1" customHeight="1" x14ac:dyDescent="0.25">
      <c r="A161" s="542" t="s">
        <v>5901</v>
      </c>
      <c r="B161" s="543" t="s">
        <v>5902</v>
      </c>
      <c r="C161" s="544">
        <v>1312333.5190000001</v>
      </c>
      <c r="D161" s="544">
        <v>52.493299999999998</v>
      </c>
      <c r="E161" s="544">
        <v>22.266999999999999</v>
      </c>
      <c r="F161" s="544">
        <v>0</v>
      </c>
      <c r="G161" s="544">
        <v>45.931699999999999</v>
      </c>
      <c r="H161" s="544">
        <v>0</v>
      </c>
      <c r="I161" s="544">
        <v>23.799499999999998</v>
      </c>
      <c r="J161" s="544">
        <v>144.4915</v>
      </c>
      <c r="K161" s="544">
        <v>98.559799999999996</v>
      </c>
    </row>
    <row r="162" spans="1:11" ht="15.75" hidden="1" customHeight="1" x14ac:dyDescent="0.25">
      <c r="A162" s="542" t="s">
        <v>5903</v>
      </c>
      <c r="B162" s="543" t="s">
        <v>5904</v>
      </c>
      <c r="C162" s="544">
        <v>918406.67509999999</v>
      </c>
      <c r="D162" s="544">
        <v>36.7363</v>
      </c>
      <c r="E162" s="544">
        <v>15.5831</v>
      </c>
      <c r="F162" s="544">
        <v>0</v>
      </c>
      <c r="G162" s="544">
        <v>32.144199999999998</v>
      </c>
      <c r="H162" s="544">
        <v>0</v>
      </c>
      <c r="I162" s="544">
        <v>23.799499999999998</v>
      </c>
      <c r="J162" s="544">
        <v>108.26309999999999</v>
      </c>
      <c r="K162" s="544">
        <v>76.118899999999996</v>
      </c>
    </row>
    <row r="163" spans="1:11" ht="15.75" hidden="1" customHeight="1" x14ac:dyDescent="0.25">
      <c r="A163" s="542" t="s">
        <v>5905</v>
      </c>
      <c r="B163" s="543" t="s">
        <v>5906</v>
      </c>
      <c r="C163" s="544">
        <v>95184.418699999995</v>
      </c>
      <c r="D163" s="544">
        <v>14.277699999999999</v>
      </c>
      <c r="E163" s="544">
        <v>1.9576</v>
      </c>
      <c r="F163" s="544">
        <v>0</v>
      </c>
      <c r="G163" s="544">
        <v>9.5183999999999997</v>
      </c>
      <c r="H163" s="544">
        <v>0</v>
      </c>
      <c r="I163" s="544">
        <v>0</v>
      </c>
      <c r="J163" s="544">
        <v>25.753699999999998</v>
      </c>
      <c r="K163" s="544">
        <v>16.235299999999999</v>
      </c>
    </row>
    <row r="164" spans="1:11" ht="15.75" hidden="1" customHeight="1" x14ac:dyDescent="0.25">
      <c r="A164" s="542" t="s">
        <v>5907</v>
      </c>
      <c r="B164" s="543" t="s">
        <v>5908</v>
      </c>
      <c r="C164" s="544">
        <v>14517.318799999999</v>
      </c>
      <c r="D164" s="544">
        <v>1.3066</v>
      </c>
      <c r="E164" s="544">
        <v>0.26869999999999999</v>
      </c>
      <c r="F164" s="544">
        <v>0</v>
      </c>
      <c r="G164" s="544">
        <v>0.871</v>
      </c>
      <c r="H164" s="544">
        <v>0</v>
      </c>
      <c r="I164" s="544">
        <v>0</v>
      </c>
      <c r="J164" s="544">
        <v>2.4462999999999999</v>
      </c>
      <c r="K164" s="544">
        <v>1.5752999999999999</v>
      </c>
    </row>
    <row r="165" spans="1:11" ht="15.75" hidden="1" customHeight="1" x14ac:dyDescent="0.25">
      <c r="A165" s="542" t="s">
        <v>5909</v>
      </c>
      <c r="B165" s="543" t="s">
        <v>5910</v>
      </c>
      <c r="C165" s="544">
        <v>2136768.352</v>
      </c>
      <c r="D165" s="544">
        <v>186.96719999999999</v>
      </c>
      <c r="E165" s="544">
        <v>41.199599999999997</v>
      </c>
      <c r="F165" s="544">
        <v>0</v>
      </c>
      <c r="G165" s="544">
        <v>186.96719999999999</v>
      </c>
      <c r="H165" s="544">
        <v>84.589399999999998</v>
      </c>
      <c r="I165" s="544">
        <v>33.497199999999999</v>
      </c>
      <c r="J165" s="544">
        <v>533.22059999999999</v>
      </c>
      <c r="K165" s="544">
        <v>261.66399999999999</v>
      </c>
    </row>
    <row r="166" spans="1:11" ht="15.75" hidden="1" customHeight="1" x14ac:dyDescent="0.25">
      <c r="A166" s="542" t="s">
        <v>5911</v>
      </c>
      <c r="B166" s="543" t="s">
        <v>5912</v>
      </c>
      <c r="C166" s="544">
        <v>77551.861999999994</v>
      </c>
      <c r="D166" s="544">
        <v>4.6531000000000002</v>
      </c>
      <c r="E166" s="544">
        <v>1.4355</v>
      </c>
      <c r="F166" s="544">
        <v>0.58160000000000001</v>
      </c>
      <c r="G166" s="544">
        <v>4.6531000000000002</v>
      </c>
      <c r="H166" s="544">
        <v>25.4999</v>
      </c>
      <c r="I166" s="544">
        <v>26.467300000000002</v>
      </c>
      <c r="J166" s="544">
        <v>63.290500000000002</v>
      </c>
      <c r="K166" s="544">
        <v>33.137500000000003</v>
      </c>
    </row>
    <row r="167" spans="1:11" ht="15.75" hidden="1" customHeight="1" x14ac:dyDescent="0.25">
      <c r="A167" s="542" t="s">
        <v>5913</v>
      </c>
      <c r="B167" s="543" t="s">
        <v>5914</v>
      </c>
      <c r="C167" s="544">
        <v>327038.50640000001</v>
      </c>
      <c r="D167" s="544">
        <v>26.1631</v>
      </c>
      <c r="E167" s="544">
        <v>6.0534999999999997</v>
      </c>
      <c r="F167" s="544">
        <v>0</v>
      </c>
      <c r="G167" s="544">
        <v>26.1631</v>
      </c>
      <c r="H167" s="544">
        <v>74.666399999999996</v>
      </c>
      <c r="I167" s="544">
        <v>0</v>
      </c>
      <c r="J167" s="544">
        <v>133.0461</v>
      </c>
      <c r="K167" s="544">
        <v>32.2166</v>
      </c>
    </row>
    <row r="168" spans="1:11" ht="15.75" hidden="1" customHeight="1" x14ac:dyDescent="0.25">
      <c r="A168" s="542" t="s">
        <v>5915</v>
      </c>
      <c r="B168" s="543" t="s">
        <v>5916</v>
      </c>
      <c r="C168" s="544">
        <v>958377.52419999999</v>
      </c>
      <c r="D168" s="544">
        <v>95.837800000000001</v>
      </c>
      <c r="E168" s="544">
        <v>18.4787</v>
      </c>
      <c r="F168" s="544">
        <v>0</v>
      </c>
      <c r="G168" s="544">
        <v>83.858000000000004</v>
      </c>
      <c r="H168" s="544">
        <v>133.9333</v>
      </c>
      <c r="I168" s="544">
        <v>33.497199999999999</v>
      </c>
      <c r="J168" s="544">
        <v>365.60500000000002</v>
      </c>
      <c r="K168" s="544">
        <v>147.81370000000001</v>
      </c>
    </row>
    <row r="169" spans="1:11" ht="15.75" hidden="1" customHeight="1" x14ac:dyDescent="0.25">
      <c r="A169" s="542" t="s">
        <v>5917</v>
      </c>
      <c r="B169" s="543" t="s">
        <v>5918</v>
      </c>
      <c r="C169" s="544">
        <v>1170817.2660000001</v>
      </c>
      <c r="D169" s="544">
        <v>102.4465</v>
      </c>
      <c r="E169" s="544">
        <v>22.5748</v>
      </c>
      <c r="F169" s="544">
        <v>0</v>
      </c>
      <c r="G169" s="544">
        <v>102.4465</v>
      </c>
      <c r="H169" s="544">
        <v>83.179599999999994</v>
      </c>
      <c r="I169" s="544">
        <v>33.497199999999999</v>
      </c>
      <c r="J169" s="544">
        <v>344.14460000000003</v>
      </c>
      <c r="K169" s="544">
        <v>158.51849999999999</v>
      </c>
    </row>
    <row r="170" spans="1:11" ht="15.75" hidden="1" customHeight="1" x14ac:dyDescent="0.25">
      <c r="A170" s="542" t="s">
        <v>5919</v>
      </c>
      <c r="B170" s="543" t="s">
        <v>5920</v>
      </c>
      <c r="C170" s="544">
        <v>8049798.8169999998</v>
      </c>
      <c r="D170" s="544">
        <v>643.98389999999995</v>
      </c>
      <c r="E170" s="544">
        <v>149.0018</v>
      </c>
      <c r="F170" s="544">
        <v>0</v>
      </c>
      <c r="G170" s="544">
        <v>643.98389999999995</v>
      </c>
      <c r="H170" s="544">
        <v>153.4539</v>
      </c>
      <c r="I170" s="544">
        <v>33.497199999999999</v>
      </c>
      <c r="J170" s="544">
        <v>1623.9206999999999</v>
      </c>
      <c r="K170" s="544">
        <v>826.48289999999997</v>
      </c>
    </row>
    <row r="171" spans="1:11" ht="15.75" hidden="1" customHeight="1" x14ac:dyDescent="0.25">
      <c r="A171" s="542" t="s">
        <v>5921</v>
      </c>
      <c r="B171" s="543" t="s">
        <v>5922</v>
      </c>
      <c r="C171" s="544">
        <v>42028.847699999998</v>
      </c>
      <c r="D171" s="544">
        <v>2.7019000000000002</v>
      </c>
      <c r="E171" s="544">
        <v>0.7409</v>
      </c>
      <c r="F171" s="544">
        <v>0</v>
      </c>
      <c r="G171" s="544">
        <v>1.5009999999999999</v>
      </c>
      <c r="H171" s="544">
        <v>0</v>
      </c>
      <c r="I171" s="544">
        <v>0</v>
      </c>
      <c r="J171" s="544">
        <v>4.9438000000000004</v>
      </c>
      <c r="K171" s="544">
        <v>3.4428000000000001</v>
      </c>
    </row>
    <row r="172" spans="1:11" ht="15.75" hidden="1" customHeight="1" x14ac:dyDescent="0.25">
      <c r="A172" s="542" t="s">
        <v>5923</v>
      </c>
      <c r="B172" s="543" t="s">
        <v>5924</v>
      </c>
      <c r="C172" s="544">
        <v>36920.707699999999</v>
      </c>
      <c r="D172" s="544">
        <v>5.9073000000000002</v>
      </c>
      <c r="E172" s="544">
        <v>0.79730000000000001</v>
      </c>
      <c r="F172" s="544">
        <v>0</v>
      </c>
      <c r="G172" s="544">
        <v>4.4305000000000003</v>
      </c>
      <c r="H172" s="544">
        <v>18.710699999999999</v>
      </c>
      <c r="I172" s="544">
        <v>23.799499999999998</v>
      </c>
      <c r="J172" s="544">
        <v>53.645299999999999</v>
      </c>
      <c r="K172" s="544">
        <v>30.504100000000001</v>
      </c>
    </row>
    <row r="173" spans="1:11" ht="15.75" hidden="1" customHeight="1" x14ac:dyDescent="0.25">
      <c r="A173" s="542" t="s">
        <v>5925</v>
      </c>
      <c r="B173" s="543" t="s">
        <v>5926</v>
      </c>
      <c r="C173" s="544">
        <v>3436.2444999999998</v>
      </c>
      <c r="D173" s="544">
        <v>0.30070000000000002</v>
      </c>
      <c r="E173" s="544">
        <v>6.6299999999999998E-2</v>
      </c>
      <c r="F173" s="544">
        <v>0</v>
      </c>
      <c r="G173" s="544">
        <v>0.21479999999999999</v>
      </c>
      <c r="H173" s="544">
        <v>4.4478</v>
      </c>
      <c r="I173" s="544">
        <v>0</v>
      </c>
      <c r="J173" s="544">
        <v>5.0296000000000003</v>
      </c>
      <c r="K173" s="544">
        <v>0.36699999999999999</v>
      </c>
    </row>
    <row r="174" spans="1:11" ht="15.75" hidden="1" customHeight="1" x14ac:dyDescent="0.25">
      <c r="A174" s="542" t="s">
        <v>5927</v>
      </c>
      <c r="B174" s="543" t="s">
        <v>5928</v>
      </c>
      <c r="C174" s="544">
        <v>199184.7463</v>
      </c>
      <c r="D174" s="544">
        <v>29.877700000000001</v>
      </c>
      <c r="E174" s="544">
        <v>4.0965999999999996</v>
      </c>
      <c r="F174" s="544">
        <v>0</v>
      </c>
      <c r="G174" s="544">
        <v>9.9591999999999992</v>
      </c>
      <c r="H174" s="544">
        <v>4.9344000000000001</v>
      </c>
      <c r="I174" s="544">
        <v>0</v>
      </c>
      <c r="J174" s="544">
        <v>48.867899999999999</v>
      </c>
      <c r="K174" s="544">
        <v>33.974299999999999</v>
      </c>
    </row>
    <row r="175" spans="1:11" ht="15.75" hidden="1" customHeight="1" x14ac:dyDescent="0.25">
      <c r="A175" s="542" t="s">
        <v>5929</v>
      </c>
      <c r="B175" s="543" t="s">
        <v>5930</v>
      </c>
      <c r="C175" s="544">
        <v>6168809.8899999997</v>
      </c>
      <c r="D175" s="544">
        <v>329.00319999999999</v>
      </c>
      <c r="E175" s="544">
        <v>107.8411</v>
      </c>
      <c r="F175" s="544">
        <v>0</v>
      </c>
      <c r="G175" s="544">
        <v>370.12860000000001</v>
      </c>
      <c r="H175" s="544">
        <v>263.74549999999999</v>
      </c>
      <c r="I175" s="544">
        <v>33.497199999999999</v>
      </c>
      <c r="J175" s="544">
        <v>1104.2156</v>
      </c>
      <c r="K175" s="544">
        <v>470.3415</v>
      </c>
    </row>
    <row r="176" spans="1:11" ht="15.75" hidden="1" customHeight="1" x14ac:dyDescent="0.25">
      <c r="A176" s="542" t="s">
        <v>5931</v>
      </c>
      <c r="B176" s="543" t="s">
        <v>5932</v>
      </c>
      <c r="C176" s="544">
        <v>1283456.5919999999</v>
      </c>
      <c r="D176" s="544">
        <v>89.841999999999999</v>
      </c>
      <c r="E176" s="544">
        <v>23.756799999999998</v>
      </c>
      <c r="F176" s="544">
        <v>0</v>
      </c>
      <c r="G176" s="544">
        <v>115.5111</v>
      </c>
      <c r="H176" s="544">
        <v>75.642499999999998</v>
      </c>
      <c r="I176" s="544">
        <v>33.497199999999999</v>
      </c>
      <c r="J176" s="544">
        <v>338.24959999999999</v>
      </c>
      <c r="K176" s="544">
        <v>147.096</v>
      </c>
    </row>
    <row r="177" spans="1:11" ht="15.75" hidden="1" customHeight="1" x14ac:dyDescent="0.25">
      <c r="A177" s="542" t="s">
        <v>5933</v>
      </c>
      <c r="B177" s="543" t="s">
        <v>5934</v>
      </c>
      <c r="C177" s="544">
        <v>3646202.1779999998</v>
      </c>
      <c r="D177" s="544">
        <v>162.05340000000001</v>
      </c>
      <c r="E177" s="544">
        <v>62.491900000000001</v>
      </c>
      <c r="F177" s="544">
        <v>0</v>
      </c>
      <c r="G177" s="544">
        <v>101.2834</v>
      </c>
      <c r="H177" s="544">
        <v>0</v>
      </c>
      <c r="I177" s="544">
        <v>47.598999999999997</v>
      </c>
      <c r="J177" s="544">
        <v>373.42770000000002</v>
      </c>
      <c r="K177" s="544">
        <v>272.14429999999999</v>
      </c>
    </row>
    <row r="178" spans="1:11" ht="15.75" hidden="1" customHeight="1" x14ac:dyDescent="0.25">
      <c r="A178" s="542" t="s">
        <v>5935</v>
      </c>
      <c r="B178" s="543" t="s">
        <v>5936</v>
      </c>
      <c r="C178" s="544">
        <v>472730.1447</v>
      </c>
      <c r="D178" s="544">
        <v>34.832700000000003</v>
      </c>
      <c r="E178" s="544">
        <v>8.827</v>
      </c>
      <c r="F178" s="544">
        <v>0</v>
      </c>
      <c r="G178" s="544">
        <v>34.832700000000003</v>
      </c>
      <c r="H178" s="544">
        <v>40.884900000000002</v>
      </c>
      <c r="I178" s="544">
        <v>33.497199999999999</v>
      </c>
      <c r="J178" s="544">
        <v>152.87450000000001</v>
      </c>
      <c r="K178" s="544">
        <v>77.156899999999993</v>
      </c>
    </row>
    <row r="179" spans="1:11" ht="15.75" hidden="1" customHeight="1" x14ac:dyDescent="0.25">
      <c r="A179" s="542" t="s">
        <v>5937</v>
      </c>
      <c r="B179" s="543" t="s">
        <v>5938</v>
      </c>
      <c r="C179" s="544">
        <v>24413.342400000001</v>
      </c>
      <c r="D179" s="544">
        <v>3.2551000000000001</v>
      </c>
      <c r="E179" s="544">
        <v>0.50209999999999999</v>
      </c>
      <c r="F179" s="544">
        <v>0</v>
      </c>
      <c r="G179" s="544">
        <v>3.2551000000000001</v>
      </c>
      <c r="H179" s="544">
        <v>0</v>
      </c>
      <c r="I179" s="544">
        <v>23.799499999999998</v>
      </c>
      <c r="J179" s="544">
        <v>30.811800000000002</v>
      </c>
      <c r="K179" s="544">
        <v>27.556699999999999</v>
      </c>
    </row>
    <row r="180" spans="1:11" ht="15.75" hidden="1" customHeight="1" x14ac:dyDescent="0.25">
      <c r="A180" s="542" t="s">
        <v>5939</v>
      </c>
      <c r="B180" s="543" t="s">
        <v>5940</v>
      </c>
      <c r="C180" s="544">
        <v>559976.13470000005</v>
      </c>
      <c r="D180" s="544">
        <v>44.798099999999998</v>
      </c>
      <c r="E180" s="544">
        <v>10.3652</v>
      </c>
      <c r="F180" s="544">
        <v>0</v>
      </c>
      <c r="G180" s="544">
        <v>39.198300000000003</v>
      </c>
      <c r="H180" s="544">
        <v>48.801600000000001</v>
      </c>
      <c r="I180" s="544">
        <v>23.799499999999998</v>
      </c>
      <c r="J180" s="544">
        <v>166.96270000000001</v>
      </c>
      <c r="K180" s="544">
        <v>78.962800000000001</v>
      </c>
    </row>
    <row r="181" spans="1:11" ht="15.75" hidden="1" customHeight="1" x14ac:dyDescent="0.25">
      <c r="A181" s="542" t="s">
        <v>5941</v>
      </c>
      <c r="B181" s="543" t="s">
        <v>5942</v>
      </c>
      <c r="C181" s="544">
        <v>5055981.9115000004</v>
      </c>
      <c r="D181" s="544">
        <v>808.95709999999997</v>
      </c>
      <c r="E181" s="544">
        <v>109.18389999999999</v>
      </c>
      <c r="F181" s="544">
        <v>0</v>
      </c>
      <c r="G181" s="544">
        <v>606.71780000000001</v>
      </c>
      <c r="H181" s="544">
        <v>0</v>
      </c>
      <c r="I181" s="544">
        <v>23.799499999999998</v>
      </c>
      <c r="J181" s="544">
        <v>1548.6583000000001</v>
      </c>
      <c r="K181" s="544">
        <v>941.94050000000004</v>
      </c>
    </row>
    <row r="182" spans="1:11" ht="15.75" hidden="1" customHeight="1" x14ac:dyDescent="0.25">
      <c r="A182" s="542" t="s">
        <v>5943</v>
      </c>
      <c r="B182" s="543" t="s">
        <v>5944</v>
      </c>
      <c r="C182" s="544">
        <v>936364.01040000003</v>
      </c>
      <c r="D182" s="544">
        <v>74.909099999999995</v>
      </c>
      <c r="E182" s="544">
        <v>17.332100000000001</v>
      </c>
      <c r="F182" s="544">
        <v>0</v>
      </c>
      <c r="G182" s="544">
        <v>74.909099999999995</v>
      </c>
      <c r="H182" s="544">
        <v>84.155600000000007</v>
      </c>
      <c r="I182" s="544">
        <v>33.497199999999999</v>
      </c>
      <c r="J182" s="544">
        <v>284.80309999999997</v>
      </c>
      <c r="K182" s="544">
        <v>125.7384</v>
      </c>
    </row>
    <row r="183" spans="1:11" ht="15.75" hidden="1" customHeight="1" x14ac:dyDescent="0.25">
      <c r="A183" s="542" t="s">
        <v>5945</v>
      </c>
      <c r="B183" s="543" t="s">
        <v>5946</v>
      </c>
      <c r="C183" s="544">
        <v>85481.317500000005</v>
      </c>
      <c r="D183" s="544">
        <v>11.397500000000001</v>
      </c>
      <c r="E183" s="544">
        <v>1.7581</v>
      </c>
      <c r="F183" s="544">
        <v>0</v>
      </c>
      <c r="G183" s="544">
        <v>11.397500000000001</v>
      </c>
      <c r="H183" s="544">
        <v>0</v>
      </c>
      <c r="I183" s="544">
        <v>0</v>
      </c>
      <c r="J183" s="544">
        <v>24.553100000000001</v>
      </c>
      <c r="K183" s="544">
        <v>13.1556</v>
      </c>
    </row>
    <row r="184" spans="1:11" ht="15.75" hidden="1" customHeight="1" x14ac:dyDescent="0.25">
      <c r="A184" s="542" t="s">
        <v>5947</v>
      </c>
      <c r="B184" s="543" t="s">
        <v>5948</v>
      </c>
      <c r="C184" s="544">
        <v>7090.6</v>
      </c>
      <c r="D184" s="544">
        <v>0.63819999999999999</v>
      </c>
      <c r="E184" s="544">
        <v>0.13120000000000001</v>
      </c>
      <c r="F184" s="544">
        <v>0</v>
      </c>
      <c r="G184" s="544">
        <v>0.35449999999999998</v>
      </c>
      <c r="H184" s="544">
        <v>0</v>
      </c>
      <c r="I184" s="544">
        <v>23.799499999999998</v>
      </c>
      <c r="J184" s="544">
        <v>24.923400000000001</v>
      </c>
      <c r="K184" s="544">
        <v>24.568899999999999</v>
      </c>
    </row>
    <row r="185" spans="1:11" ht="15.75" hidden="1" customHeight="1" x14ac:dyDescent="0.25">
      <c r="A185" s="542" t="s">
        <v>5949</v>
      </c>
      <c r="B185" s="543" t="s">
        <v>5950</v>
      </c>
      <c r="C185" s="544">
        <v>153603.47260000001</v>
      </c>
      <c r="D185" s="544">
        <v>1.7583</v>
      </c>
      <c r="E185" s="544">
        <v>0.88300000000000001</v>
      </c>
      <c r="F185" s="544">
        <v>0</v>
      </c>
      <c r="G185" s="544">
        <v>1.9536</v>
      </c>
      <c r="H185" s="544">
        <v>64.150800000000004</v>
      </c>
      <c r="I185" s="544">
        <v>38.4</v>
      </c>
      <c r="J185" s="544">
        <v>107.14570000000001</v>
      </c>
      <c r="K185" s="544">
        <v>41.0413</v>
      </c>
    </row>
    <row r="186" spans="1:11" ht="15.75" hidden="1" customHeight="1" x14ac:dyDescent="0.25">
      <c r="A186" s="542" t="s">
        <v>5951</v>
      </c>
      <c r="B186" s="543" t="s">
        <v>5952</v>
      </c>
      <c r="C186" s="544">
        <v>15191.621800000001</v>
      </c>
      <c r="D186" s="544">
        <v>2.0255000000000001</v>
      </c>
      <c r="E186" s="544">
        <v>0.31240000000000001</v>
      </c>
      <c r="F186" s="544">
        <v>0</v>
      </c>
      <c r="G186" s="544">
        <v>1.5192000000000001</v>
      </c>
      <c r="H186" s="544">
        <v>0</v>
      </c>
      <c r="I186" s="544">
        <v>0</v>
      </c>
      <c r="J186" s="544">
        <v>3.8571</v>
      </c>
      <c r="K186" s="544">
        <v>2.3378999999999999</v>
      </c>
    </row>
    <row r="187" spans="1:11" ht="15.75" hidden="1" customHeight="1" x14ac:dyDescent="0.25">
      <c r="A187" s="542" t="s">
        <v>5953</v>
      </c>
      <c r="B187" s="543" t="s">
        <v>5954</v>
      </c>
      <c r="C187" s="544">
        <v>107809.3863</v>
      </c>
      <c r="D187" s="544">
        <v>4.9352999999999998</v>
      </c>
      <c r="E187" s="544">
        <v>1.8321000000000001</v>
      </c>
      <c r="F187" s="544">
        <v>0</v>
      </c>
      <c r="G187" s="544">
        <v>2.7418</v>
      </c>
      <c r="H187" s="544">
        <v>0</v>
      </c>
      <c r="I187" s="544">
        <v>33.570500000000003</v>
      </c>
      <c r="J187" s="544">
        <v>43.079700000000003</v>
      </c>
      <c r="K187" s="544">
        <v>40.337899999999998</v>
      </c>
    </row>
    <row r="188" spans="1:11" ht="15.75" hidden="1" customHeight="1" x14ac:dyDescent="0.25">
      <c r="A188" s="542" t="s">
        <v>5955</v>
      </c>
      <c r="B188" s="543" t="s">
        <v>5956</v>
      </c>
      <c r="C188" s="544">
        <v>1704388.1910000001</v>
      </c>
      <c r="D188" s="544">
        <v>119.30719999999999</v>
      </c>
      <c r="E188" s="544">
        <v>31.548200000000001</v>
      </c>
      <c r="F188" s="544">
        <v>0</v>
      </c>
      <c r="G188" s="544">
        <v>170.43879999999999</v>
      </c>
      <c r="H188" s="544">
        <v>96.410300000000007</v>
      </c>
      <c r="I188" s="544">
        <v>33.497199999999999</v>
      </c>
      <c r="J188" s="544">
        <v>451.20170000000002</v>
      </c>
      <c r="K188" s="544">
        <v>184.3526</v>
      </c>
    </row>
    <row r="189" spans="1:11" ht="15.75" hidden="1" customHeight="1" x14ac:dyDescent="0.25">
      <c r="A189" s="542" t="s">
        <v>5957</v>
      </c>
      <c r="B189" s="543" t="s">
        <v>5958</v>
      </c>
      <c r="C189" s="544">
        <v>4816418.3569999998</v>
      </c>
      <c r="D189" s="544">
        <v>293.17329999999998</v>
      </c>
      <c r="E189" s="544">
        <v>87.213800000000006</v>
      </c>
      <c r="F189" s="544">
        <v>0</v>
      </c>
      <c r="G189" s="544">
        <v>418.81900000000002</v>
      </c>
      <c r="H189" s="544">
        <v>196.61619999999999</v>
      </c>
      <c r="I189" s="544">
        <v>33.497199999999999</v>
      </c>
      <c r="J189" s="544">
        <v>1029.3195000000001</v>
      </c>
      <c r="K189" s="544">
        <v>413.8843</v>
      </c>
    </row>
    <row r="190" spans="1:11" ht="15.75" hidden="1" customHeight="1" x14ac:dyDescent="0.25">
      <c r="A190" s="542" t="s">
        <v>5959</v>
      </c>
      <c r="B190" s="543" t="s">
        <v>5960</v>
      </c>
      <c r="C190" s="544">
        <v>75642.218099999998</v>
      </c>
      <c r="D190" s="544">
        <v>6.0514000000000001</v>
      </c>
      <c r="E190" s="544">
        <v>1.4000999999999999</v>
      </c>
      <c r="F190" s="544">
        <v>0</v>
      </c>
      <c r="G190" s="544">
        <v>6.0514000000000001</v>
      </c>
      <c r="H190" s="544">
        <v>0</v>
      </c>
      <c r="I190" s="544">
        <v>0</v>
      </c>
      <c r="J190" s="544">
        <v>13.5029</v>
      </c>
      <c r="K190" s="544">
        <v>7.4515000000000002</v>
      </c>
    </row>
    <row r="191" spans="1:11" ht="15.75" hidden="1" customHeight="1" x14ac:dyDescent="0.25">
      <c r="A191" s="542" t="s">
        <v>5961</v>
      </c>
      <c r="B191" s="543" t="s">
        <v>5962</v>
      </c>
      <c r="C191" s="544">
        <v>77284.839699999997</v>
      </c>
      <c r="D191" s="544">
        <v>8.6944999999999997</v>
      </c>
      <c r="E191" s="544">
        <v>1.4901</v>
      </c>
      <c r="F191" s="544">
        <v>0</v>
      </c>
      <c r="G191" s="544">
        <v>5.7964000000000002</v>
      </c>
      <c r="H191" s="544">
        <v>0</v>
      </c>
      <c r="I191" s="544">
        <v>0</v>
      </c>
      <c r="J191" s="544">
        <v>15.981</v>
      </c>
      <c r="K191" s="544">
        <v>10.1846</v>
      </c>
    </row>
    <row r="192" spans="1:11" ht="15.75" hidden="1" customHeight="1" x14ac:dyDescent="0.25">
      <c r="A192" s="542" t="s">
        <v>5963</v>
      </c>
      <c r="B192" s="543" t="s">
        <v>5964</v>
      </c>
      <c r="C192" s="544">
        <v>1637222.172</v>
      </c>
      <c r="D192" s="544">
        <v>143.2569</v>
      </c>
      <c r="E192" s="544">
        <v>31.567699999999999</v>
      </c>
      <c r="F192" s="544">
        <v>0</v>
      </c>
      <c r="G192" s="544">
        <v>184.1875</v>
      </c>
      <c r="H192" s="544">
        <v>99.934799999999996</v>
      </c>
      <c r="I192" s="544">
        <v>42.84</v>
      </c>
      <c r="J192" s="544">
        <v>501.7869</v>
      </c>
      <c r="K192" s="544">
        <v>217.66460000000001</v>
      </c>
    </row>
    <row r="193" spans="1:11" ht="15.75" hidden="1" customHeight="1" x14ac:dyDescent="0.25">
      <c r="A193" s="542" t="s">
        <v>5965</v>
      </c>
      <c r="B193" s="543" t="s">
        <v>5966</v>
      </c>
      <c r="C193" s="544">
        <v>1152.6203</v>
      </c>
      <c r="D193" s="544">
        <v>0.1537</v>
      </c>
      <c r="E193" s="544">
        <v>2.3699999999999999E-2</v>
      </c>
      <c r="F193" s="544">
        <v>0</v>
      </c>
      <c r="G193" s="544">
        <v>0.1537</v>
      </c>
      <c r="H193" s="544">
        <v>0</v>
      </c>
      <c r="I193" s="544">
        <v>0</v>
      </c>
      <c r="J193" s="544">
        <v>0.33110000000000001</v>
      </c>
      <c r="K193" s="544">
        <v>0.1774</v>
      </c>
    </row>
    <row r="194" spans="1:11" ht="15.75" hidden="1" customHeight="1" x14ac:dyDescent="0.25">
      <c r="A194" s="542" t="s">
        <v>5967</v>
      </c>
      <c r="B194" s="543" t="s">
        <v>5968</v>
      </c>
      <c r="C194" s="544">
        <v>2605.2325999999998</v>
      </c>
      <c r="D194" s="544">
        <v>0.26050000000000001</v>
      </c>
      <c r="E194" s="544">
        <v>5.0200000000000002E-2</v>
      </c>
      <c r="F194" s="544">
        <v>0</v>
      </c>
      <c r="G194" s="544">
        <v>0.22800000000000001</v>
      </c>
      <c r="H194" s="544">
        <v>0</v>
      </c>
      <c r="I194" s="544">
        <v>0</v>
      </c>
      <c r="J194" s="544">
        <v>0.53869999999999996</v>
      </c>
      <c r="K194" s="544">
        <v>0.31069999999999998</v>
      </c>
    </row>
    <row r="195" spans="1:11" ht="15.75" hidden="1" customHeight="1" x14ac:dyDescent="0.25">
      <c r="A195" s="542" t="s">
        <v>5969</v>
      </c>
      <c r="B195" s="543" t="s">
        <v>5970</v>
      </c>
      <c r="C195" s="544">
        <v>4828.4898999999996</v>
      </c>
      <c r="D195" s="544">
        <v>0.43459999999999999</v>
      </c>
      <c r="E195" s="544">
        <v>8.9399999999999993E-2</v>
      </c>
      <c r="F195" s="544">
        <v>0</v>
      </c>
      <c r="G195" s="544">
        <v>0.2414</v>
      </c>
      <c r="H195" s="544">
        <v>0</v>
      </c>
      <c r="I195" s="544">
        <v>0</v>
      </c>
      <c r="J195" s="544">
        <v>0.76539999999999997</v>
      </c>
      <c r="K195" s="544">
        <v>0.52400000000000002</v>
      </c>
    </row>
    <row r="196" spans="1:11" ht="15.75" hidden="1" customHeight="1" x14ac:dyDescent="0.25">
      <c r="A196" s="542" t="s">
        <v>5971</v>
      </c>
      <c r="B196" s="543" t="s">
        <v>5972</v>
      </c>
      <c r="C196" s="544">
        <v>15447.5206</v>
      </c>
      <c r="D196" s="544">
        <v>1.2358</v>
      </c>
      <c r="E196" s="544">
        <v>0.28589999999999999</v>
      </c>
      <c r="F196" s="544">
        <v>0</v>
      </c>
      <c r="G196" s="544">
        <v>0.77239999999999998</v>
      </c>
      <c r="H196" s="544">
        <v>0</v>
      </c>
      <c r="I196" s="544">
        <v>0</v>
      </c>
      <c r="J196" s="544">
        <v>2.2940999999999998</v>
      </c>
      <c r="K196" s="544">
        <v>1.5217000000000001</v>
      </c>
    </row>
    <row r="197" spans="1:11" ht="15.75" hidden="1" customHeight="1" x14ac:dyDescent="0.25">
      <c r="A197" s="542" t="s">
        <v>5973</v>
      </c>
      <c r="B197" s="543" t="s">
        <v>5974</v>
      </c>
      <c r="C197" s="544">
        <v>51052.227700000003</v>
      </c>
      <c r="D197" s="544">
        <v>4.5946999999999996</v>
      </c>
      <c r="E197" s="544">
        <v>0.94499999999999995</v>
      </c>
      <c r="F197" s="544">
        <v>0</v>
      </c>
      <c r="G197" s="544">
        <v>2.5526</v>
      </c>
      <c r="H197" s="544">
        <v>0</v>
      </c>
      <c r="I197" s="544">
        <v>0</v>
      </c>
      <c r="J197" s="544">
        <v>8.0922999999999998</v>
      </c>
      <c r="K197" s="544">
        <v>5.5396999999999998</v>
      </c>
    </row>
    <row r="198" spans="1:11" ht="15.75" hidden="1" customHeight="1" x14ac:dyDescent="0.25">
      <c r="A198" s="542" t="s">
        <v>5975</v>
      </c>
      <c r="B198" s="543" t="s">
        <v>5976</v>
      </c>
      <c r="C198" s="544">
        <v>10912.9606</v>
      </c>
      <c r="D198" s="544">
        <v>2.1825999999999999</v>
      </c>
      <c r="E198" s="544">
        <v>0.2525</v>
      </c>
      <c r="F198" s="544">
        <v>0</v>
      </c>
      <c r="G198" s="544">
        <v>2.1825999999999999</v>
      </c>
      <c r="H198" s="544">
        <v>5.6132</v>
      </c>
      <c r="I198" s="544">
        <v>0</v>
      </c>
      <c r="J198" s="544">
        <v>10.2309</v>
      </c>
      <c r="K198" s="544">
        <v>2.4350999999999998</v>
      </c>
    </row>
    <row r="199" spans="1:11" ht="15.75" hidden="1" customHeight="1" x14ac:dyDescent="0.25">
      <c r="A199" s="542" t="s">
        <v>5977</v>
      </c>
      <c r="B199" s="543" t="s">
        <v>5978</v>
      </c>
      <c r="C199" s="544">
        <v>701021.03330000001</v>
      </c>
      <c r="D199" s="544">
        <v>93.469499999999996</v>
      </c>
      <c r="E199" s="544">
        <v>14.4177</v>
      </c>
      <c r="F199" s="544">
        <v>0</v>
      </c>
      <c r="G199" s="544">
        <v>58.418399999999998</v>
      </c>
      <c r="H199" s="544">
        <v>0</v>
      </c>
      <c r="I199" s="544">
        <v>0</v>
      </c>
      <c r="J199" s="544">
        <v>166.3056</v>
      </c>
      <c r="K199" s="544">
        <v>107.88720000000001</v>
      </c>
    </row>
    <row r="200" spans="1:11" ht="15.75" hidden="1" customHeight="1" x14ac:dyDescent="0.25">
      <c r="A200" s="542" t="s">
        <v>5979</v>
      </c>
      <c r="B200" s="543" t="s">
        <v>5980</v>
      </c>
      <c r="C200" s="544">
        <v>801865.73210000002</v>
      </c>
      <c r="D200" s="544">
        <v>120.2799</v>
      </c>
      <c r="E200" s="544">
        <v>16.491700000000002</v>
      </c>
      <c r="F200" s="544">
        <v>0</v>
      </c>
      <c r="G200" s="544">
        <v>80.186599999999999</v>
      </c>
      <c r="H200" s="544">
        <v>9.7603000000000009</v>
      </c>
      <c r="I200" s="544">
        <v>0</v>
      </c>
      <c r="J200" s="544">
        <v>226.71850000000001</v>
      </c>
      <c r="K200" s="544">
        <v>136.77160000000001</v>
      </c>
    </row>
    <row r="201" spans="1:11" ht="15.75" hidden="1" customHeight="1" x14ac:dyDescent="0.25">
      <c r="A201" s="542" t="s">
        <v>5981</v>
      </c>
      <c r="B201" s="543" t="s">
        <v>5982</v>
      </c>
      <c r="C201" s="544">
        <v>1013304.166</v>
      </c>
      <c r="D201" s="544">
        <v>43.427300000000002</v>
      </c>
      <c r="E201" s="544">
        <v>17.863099999999999</v>
      </c>
      <c r="F201" s="544">
        <v>7.2378999999999998</v>
      </c>
      <c r="G201" s="544">
        <v>65.141000000000005</v>
      </c>
      <c r="H201" s="544">
        <v>180.29480000000001</v>
      </c>
      <c r="I201" s="544">
        <v>28.5336</v>
      </c>
      <c r="J201" s="544">
        <v>342.49770000000001</v>
      </c>
      <c r="K201" s="544">
        <v>97.061899999999994</v>
      </c>
    </row>
    <row r="202" spans="1:11" ht="15.75" hidden="1" customHeight="1" x14ac:dyDescent="0.25">
      <c r="A202" s="542" t="s">
        <v>5983</v>
      </c>
      <c r="B202" s="543" t="s">
        <v>5984</v>
      </c>
      <c r="C202" s="544">
        <v>49510.698400000001</v>
      </c>
      <c r="D202" s="544">
        <v>3.9609000000000001</v>
      </c>
      <c r="E202" s="544">
        <v>0.91639999999999999</v>
      </c>
      <c r="F202" s="544">
        <v>0</v>
      </c>
      <c r="G202" s="544">
        <v>2.4754999999999998</v>
      </c>
      <c r="H202" s="544">
        <v>0</v>
      </c>
      <c r="I202" s="544">
        <v>0</v>
      </c>
      <c r="J202" s="544">
        <v>7.3528000000000002</v>
      </c>
      <c r="K202" s="544">
        <v>4.8773</v>
      </c>
    </row>
    <row r="203" spans="1:11" ht="15.75" hidden="1" customHeight="1" x14ac:dyDescent="0.25">
      <c r="A203" s="542" t="s">
        <v>5985</v>
      </c>
      <c r="B203" s="543" t="s">
        <v>5986</v>
      </c>
      <c r="C203" s="544">
        <v>127470.1303</v>
      </c>
      <c r="D203" s="544">
        <v>10.1976</v>
      </c>
      <c r="E203" s="544">
        <v>2.3595000000000002</v>
      </c>
      <c r="F203" s="544">
        <v>0</v>
      </c>
      <c r="G203" s="544">
        <v>6.3734999999999999</v>
      </c>
      <c r="H203" s="544">
        <v>0</v>
      </c>
      <c r="I203" s="544">
        <v>0</v>
      </c>
      <c r="J203" s="544">
        <v>18.930599999999998</v>
      </c>
      <c r="K203" s="544">
        <v>12.5571</v>
      </c>
    </row>
    <row r="204" spans="1:11" ht="15.75" hidden="1" customHeight="1" x14ac:dyDescent="0.25">
      <c r="A204" s="542" t="s">
        <v>5987</v>
      </c>
      <c r="B204" s="543" t="s">
        <v>5988</v>
      </c>
      <c r="C204" s="544">
        <v>4847576.6037999997</v>
      </c>
      <c r="D204" s="544">
        <v>387.80610000000001</v>
      </c>
      <c r="E204" s="544">
        <v>89.7286</v>
      </c>
      <c r="F204" s="544">
        <v>0</v>
      </c>
      <c r="G204" s="544">
        <v>387.80610000000001</v>
      </c>
      <c r="H204" s="544">
        <v>119.2928</v>
      </c>
      <c r="I204" s="544">
        <v>33.497199999999999</v>
      </c>
      <c r="J204" s="544">
        <v>1018.1308</v>
      </c>
      <c r="K204" s="544">
        <v>511.03190000000001</v>
      </c>
    </row>
    <row r="205" spans="1:11" ht="15.75" hidden="1" customHeight="1" x14ac:dyDescent="0.25">
      <c r="A205" s="542" t="s">
        <v>5989</v>
      </c>
      <c r="B205" s="543" t="s">
        <v>5990</v>
      </c>
      <c r="C205" s="544">
        <v>4937051.1730000004</v>
      </c>
      <c r="D205" s="544">
        <v>300.51620000000003</v>
      </c>
      <c r="E205" s="544">
        <v>89.398200000000003</v>
      </c>
      <c r="F205" s="544">
        <v>0</v>
      </c>
      <c r="G205" s="544">
        <v>429.30880000000002</v>
      </c>
      <c r="H205" s="544">
        <v>196.61619999999999</v>
      </c>
      <c r="I205" s="544">
        <v>33.497199999999999</v>
      </c>
      <c r="J205" s="544">
        <v>1049.3366000000001</v>
      </c>
      <c r="K205" s="544">
        <v>423.41160000000002</v>
      </c>
    </row>
    <row r="206" spans="1:11" ht="15.75" hidden="1" customHeight="1" x14ac:dyDescent="0.25">
      <c r="A206" s="542" t="s">
        <v>5991</v>
      </c>
      <c r="B206" s="543" t="s">
        <v>5992</v>
      </c>
      <c r="C206" s="544">
        <v>4398716.3559999997</v>
      </c>
      <c r="D206" s="544">
        <v>192.44380000000001</v>
      </c>
      <c r="E206" s="544">
        <v>76.331500000000005</v>
      </c>
      <c r="F206" s="544">
        <v>0</v>
      </c>
      <c r="G206" s="544">
        <v>274.91980000000001</v>
      </c>
      <c r="H206" s="544">
        <v>59.6464</v>
      </c>
      <c r="I206" s="544">
        <v>42.84</v>
      </c>
      <c r="J206" s="544">
        <v>646.18150000000003</v>
      </c>
      <c r="K206" s="544">
        <v>311.61529999999999</v>
      </c>
    </row>
    <row r="207" spans="1:11" ht="15.75" hidden="1" customHeight="1" x14ac:dyDescent="0.25">
      <c r="A207" s="542" t="s">
        <v>5993</v>
      </c>
      <c r="B207" s="543" t="s">
        <v>5994</v>
      </c>
      <c r="C207" s="544">
        <v>17058.666799999999</v>
      </c>
      <c r="D207" s="544">
        <v>2.2745000000000002</v>
      </c>
      <c r="E207" s="544">
        <v>0.3508</v>
      </c>
      <c r="F207" s="544">
        <v>0</v>
      </c>
      <c r="G207" s="544">
        <v>2.2745000000000002</v>
      </c>
      <c r="H207" s="544">
        <v>12.536099999999999</v>
      </c>
      <c r="I207" s="544">
        <v>0</v>
      </c>
      <c r="J207" s="544">
        <v>17.4359</v>
      </c>
      <c r="K207" s="544">
        <v>2.6253000000000002</v>
      </c>
    </row>
    <row r="208" spans="1:11" ht="15.75" hidden="1" customHeight="1" x14ac:dyDescent="0.25">
      <c r="A208" s="542" t="s">
        <v>5995</v>
      </c>
      <c r="B208" s="543" t="s">
        <v>5996</v>
      </c>
      <c r="C208" s="544">
        <v>1551.9443000000001</v>
      </c>
      <c r="D208" s="544">
        <v>0.2069</v>
      </c>
      <c r="E208" s="544">
        <v>3.1899999999999998E-2</v>
      </c>
      <c r="F208" s="544">
        <v>0</v>
      </c>
      <c r="G208" s="544">
        <v>0.1293</v>
      </c>
      <c r="H208" s="544">
        <v>0</v>
      </c>
      <c r="I208" s="544">
        <v>0</v>
      </c>
      <c r="J208" s="544">
        <v>0.36809999999999998</v>
      </c>
      <c r="K208" s="544">
        <v>0.23880000000000001</v>
      </c>
    </row>
    <row r="209" spans="1:11" ht="15.75" hidden="1" customHeight="1" x14ac:dyDescent="0.25">
      <c r="A209" s="542" t="s">
        <v>5997</v>
      </c>
      <c r="B209" s="543" t="s">
        <v>5998</v>
      </c>
      <c r="C209" s="544">
        <v>7195446.8600000003</v>
      </c>
      <c r="D209" s="544">
        <v>251.84059999999999</v>
      </c>
      <c r="E209" s="544">
        <v>66.593900000000005</v>
      </c>
      <c r="F209" s="544">
        <v>0</v>
      </c>
      <c r="G209" s="544">
        <v>359.77229999999997</v>
      </c>
      <c r="H209" s="544">
        <v>109.26139999999999</v>
      </c>
      <c r="I209" s="544">
        <v>85.68</v>
      </c>
      <c r="J209" s="544">
        <v>873.14819999999997</v>
      </c>
      <c r="K209" s="544">
        <v>404.11450000000002</v>
      </c>
    </row>
    <row r="210" spans="1:11" ht="15.75" hidden="1" customHeight="1" x14ac:dyDescent="0.25">
      <c r="A210" s="542" t="s">
        <v>5999</v>
      </c>
      <c r="B210" s="543" t="s">
        <v>6000</v>
      </c>
      <c r="C210" s="544">
        <v>6747.7444999999998</v>
      </c>
      <c r="D210" s="544">
        <v>0.89970000000000006</v>
      </c>
      <c r="E210" s="544">
        <v>0.13880000000000001</v>
      </c>
      <c r="F210" s="544">
        <v>0</v>
      </c>
      <c r="G210" s="544">
        <v>0.67479999999999996</v>
      </c>
      <c r="H210" s="544">
        <v>0</v>
      </c>
      <c r="I210" s="544">
        <v>0</v>
      </c>
      <c r="J210" s="544">
        <v>1.7133</v>
      </c>
      <c r="K210" s="544">
        <v>1.0385</v>
      </c>
    </row>
    <row r="211" spans="1:11" ht="15.75" hidden="1" customHeight="1" x14ac:dyDescent="0.25">
      <c r="A211" s="542" t="s">
        <v>6001</v>
      </c>
      <c r="B211" s="543" t="s">
        <v>6002</v>
      </c>
      <c r="C211" s="544">
        <v>2012118.6009</v>
      </c>
      <c r="D211" s="544">
        <v>160.96950000000001</v>
      </c>
      <c r="E211" s="544">
        <v>37.244300000000003</v>
      </c>
      <c r="F211" s="544">
        <v>0</v>
      </c>
      <c r="G211" s="544">
        <v>160.96950000000001</v>
      </c>
      <c r="H211" s="544">
        <v>117.9372</v>
      </c>
      <c r="I211" s="544">
        <v>33.497199999999999</v>
      </c>
      <c r="J211" s="544">
        <v>510.61770000000001</v>
      </c>
      <c r="K211" s="544">
        <v>231.71100000000001</v>
      </c>
    </row>
    <row r="212" spans="1:11" ht="15.75" hidden="1" customHeight="1" x14ac:dyDescent="0.25">
      <c r="A212" s="542" t="s">
        <v>6003</v>
      </c>
      <c r="B212" s="543" t="s">
        <v>6004</v>
      </c>
      <c r="C212" s="544">
        <v>1160242.6370000001</v>
      </c>
      <c r="D212" s="544">
        <v>101.52119999999999</v>
      </c>
      <c r="E212" s="544">
        <v>22.370899999999999</v>
      </c>
      <c r="F212" s="544">
        <v>0</v>
      </c>
      <c r="G212" s="544">
        <v>101.52119999999999</v>
      </c>
      <c r="H212" s="544">
        <v>72.605900000000005</v>
      </c>
      <c r="I212" s="544">
        <v>33.497199999999999</v>
      </c>
      <c r="J212" s="544">
        <v>331.51639999999998</v>
      </c>
      <c r="K212" s="544">
        <v>157.38929999999999</v>
      </c>
    </row>
    <row r="213" spans="1:11" ht="15.75" hidden="1" customHeight="1" x14ac:dyDescent="0.25">
      <c r="A213" s="542" t="s">
        <v>6005</v>
      </c>
      <c r="B213" s="543" t="s">
        <v>6006</v>
      </c>
      <c r="C213" s="544">
        <v>359059.23830000003</v>
      </c>
      <c r="D213" s="544">
        <v>35.905900000000003</v>
      </c>
      <c r="E213" s="544">
        <v>6.9230999999999998</v>
      </c>
      <c r="F213" s="544">
        <v>0</v>
      </c>
      <c r="G213" s="544">
        <v>31.4177</v>
      </c>
      <c r="H213" s="544">
        <v>75.154499999999999</v>
      </c>
      <c r="I213" s="544">
        <v>23.799499999999998</v>
      </c>
      <c r="J213" s="544">
        <v>173.20070000000001</v>
      </c>
      <c r="K213" s="544">
        <v>66.628500000000003</v>
      </c>
    </row>
    <row r="214" spans="1:11" ht="15.75" hidden="1" customHeight="1" x14ac:dyDescent="0.25">
      <c r="A214" s="542" t="s">
        <v>6007</v>
      </c>
      <c r="B214" s="543" t="s">
        <v>6008</v>
      </c>
      <c r="C214" s="544">
        <v>16316.862999999999</v>
      </c>
      <c r="D214" s="544">
        <v>2.1756000000000002</v>
      </c>
      <c r="E214" s="544">
        <v>0.33560000000000001</v>
      </c>
      <c r="F214" s="544">
        <v>0</v>
      </c>
      <c r="G214" s="544">
        <v>1.6316999999999999</v>
      </c>
      <c r="H214" s="544">
        <v>0</v>
      </c>
      <c r="I214" s="544">
        <v>0</v>
      </c>
      <c r="J214" s="544">
        <v>4.1429</v>
      </c>
      <c r="K214" s="544">
        <v>2.5112000000000001</v>
      </c>
    </row>
    <row r="215" spans="1:11" ht="15.75" hidden="1" customHeight="1" x14ac:dyDescent="0.25">
      <c r="A215" s="542" t="s">
        <v>6009</v>
      </c>
      <c r="B215" s="543" t="s">
        <v>6010</v>
      </c>
      <c r="C215" s="544">
        <v>3578083.1150000002</v>
      </c>
      <c r="D215" s="544">
        <v>417.44299999999998</v>
      </c>
      <c r="E215" s="544">
        <v>73.589200000000005</v>
      </c>
      <c r="F215" s="544">
        <v>0</v>
      </c>
      <c r="G215" s="544">
        <v>596.34720000000004</v>
      </c>
      <c r="H215" s="544">
        <v>280.12119999999999</v>
      </c>
      <c r="I215" s="544">
        <v>42.84</v>
      </c>
      <c r="J215" s="544">
        <v>1410.3406</v>
      </c>
      <c r="K215" s="544">
        <v>533.87220000000002</v>
      </c>
    </row>
    <row r="216" spans="1:11" ht="15.75" hidden="1" customHeight="1" x14ac:dyDescent="0.25">
      <c r="A216" s="542" t="s">
        <v>6011</v>
      </c>
      <c r="B216" s="543" t="s">
        <v>6012</v>
      </c>
      <c r="C216" s="544">
        <v>771498.39029999997</v>
      </c>
      <c r="D216" s="544">
        <v>61.6494</v>
      </c>
      <c r="E216" s="544">
        <v>14.6173</v>
      </c>
      <c r="F216" s="544">
        <v>0</v>
      </c>
      <c r="G216" s="544">
        <v>61.6494</v>
      </c>
      <c r="H216" s="544">
        <v>116.41889999999999</v>
      </c>
      <c r="I216" s="544">
        <v>33.497199999999999</v>
      </c>
      <c r="J216" s="544">
        <v>287.8322</v>
      </c>
      <c r="K216" s="544">
        <v>109.76390000000001</v>
      </c>
    </row>
    <row r="217" spans="1:11" ht="15.75" hidden="1" customHeight="1" x14ac:dyDescent="0.25">
      <c r="A217" s="542" t="s">
        <v>6013</v>
      </c>
      <c r="B217" s="543" t="s">
        <v>6014</v>
      </c>
      <c r="C217" s="544">
        <v>91779.384600000005</v>
      </c>
      <c r="D217" s="544">
        <v>13.7669</v>
      </c>
      <c r="E217" s="544">
        <v>1.8875999999999999</v>
      </c>
      <c r="F217" s="544">
        <v>0</v>
      </c>
      <c r="G217" s="544">
        <v>9.1778999999999993</v>
      </c>
      <c r="H217" s="544">
        <v>0</v>
      </c>
      <c r="I217" s="544">
        <v>0</v>
      </c>
      <c r="J217" s="544">
        <v>24.8324</v>
      </c>
      <c r="K217" s="544">
        <v>15.654500000000001</v>
      </c>
    </row>
    <row r="218" spans="1:11" ht="15.75" hidden="1" customHeight="1" x14ac:dyDescent="0.25">
      <c r="A218" s="542" t="s">
        <v>6015</v>
      </c>
      <c r="B218" s="543" t="s">
        <v>6016</v>
      </c>
      <c r="C218" s="544">
        <v>771498.39029999997</v>
      </c>
      <c r="D218" s="544">
        <v>58.320599999999999</v>
      </c>
      <c r="E218" s="544">
        <v>14.470599999999999</v>
      </c>
      <c r="F218" s="544">
        <v>0</v>
      </c>
      <c r="G218" s="544">
        <v>58.320599999999999</v>
      </c>
      <c r="H218" s="544">
        <v>49.018500000000003</v>
      </c>
      <c r="I218" s="544">
        <v>33.497199999999999</v>
      </c>
      <c r="J218" s="544">
        <v>213.6275</v>
      </c>
      <c r="K218" s="544">
        <v>106.2884</v>
      </c>
    </row>
    <row r="219" spans="1:11" ht="15.75" customHeight="1" x14ac:dyDescent="0.25">
      <c r="A219" s="542" t="s">
        <v>6017</v>
      </c>
      <c r="B219" s="543" t="s">
        <v>6018</v>
      </c>
      <c r="C219" s="544">
        <v>2175.5070000000001</v>
      </c>
      <c r="D219" s="544">
        <v>0.97899999999999998</v>
      </c>
      <c r="E219" s="544">
        <v>6.7100000000000007E-2</v>
      </c>
      <c r="F219" s="544">
        <v>0</v>
      </c>
      <c r="G219" s="544">
        <v>0.97899999999999998</v>
      </c>
      <c r="H219" s="544">
        <v>4.3033999999999999</v>
      </c>
      <c r="I219" s="544">
        <v>23.799499999999998</v>
      </c>
      <c r="J219" s="544">
        <v>30.128</v>
      </c>
      <c r="K219" s="544">
        <v>24.845600000000001</v>
      </c>
    </row>
    <row r="220" spans="1:11" ht="15.75" hidden="1" customHeight="1" x14ac:dyDescent="0.25">
      <c r="A220" s="542" t="s">
        <v>6019</v>
      </c>
      <c r="B220" s="543" t="s">
        <v>6020</v>
      </c>
      <c r="C220" s="544">
        <v>5793.0709999999999</v>
      </c>
      <c r="D220" s="544">
        <v>1.0427999999999999</v>
      </c>
      <c r="E220" s="544">
        <v>0.12509999999999999</v>
      </c>
      <c r="F220" s="544">
        <v>0</v>
      </c>
      <c r="G220" s="544">
        <v>0.81100000000000005</v>
      </c>
      <c r="H220" s="544">
        <v>7.6714000000000002</v>
      </c>
      <c r="I220" s="544">
        <v>0</v>
      </c>
      <c r="J220" s="544">
        <v>9.6502999999999997</v>
      </c>
      <c r="K220" s="544">
        <v>1.1678999999999999</v>
      </c>
    </row>
    <row r="221" spans="1:11" ht="15.75" hidden="1" customHeight="1" x14ac:dyDescent="0.25">
      <c r="A221" s="542" t="s">
        <v>6021</v>
      </c>
      <c r="B221" s="543" t="s">
        <v>6022</v>
      </c>
      <c r="C221" s="544">
        <v>11142.2467</v>
      </c>
      <c r="D221" s="544">
        <v>1.4856</v>
      </c>
      <c r="E221" s="544">
        <v>0.22919999999999999</v>
      </c>
      <c r="F221" s="544">
        <v>0</v>
      </c>
      <c r="G221" s="544">
        <v>1.2999000000000001</v>
      </c>
      <c r="H221" s="544">
        <v>7.4843000000000002</v>
      </c>
      <c r="I221" s="544">
        <v>0</v>
      </c>
      <c r="J221" s="544">
        <v>10.499000000000001</v>
      </c>
      <c r="K221" s="544">
        <v>1.7148000000000001</v>
      </c>
    </row>
    <row r="222" spans="1:11" ht="15.75" hidden="1" customHeight="1" x14ac:dyDescent="0.25">
      <c r="A222" s="542" t="s">
        <v>6023</v>
      </c>
      <c r="B222" s="543" t="s">
        <v>6024</v>
      </c>
      <c r="C222" s="544">
        <v>6519011.8499999996</v>
      </c>
      <c r="D222" s="544">
        <v>570.4135</v>
      </c>
      <c r="E222" s="544">
        <v>125.6947</v>
      </c>
      <c r="F222" s="544">
        <v>0</v>
      </c>
      <c r="G222" s="544">
        <v>733.38879999999995</v>
      </c>
      <c r="H222" s="544">
        <v>211.20249999999999</v>
      </c>
      <c r="I222" s="544">
        <v>42.84</v>
      </c>
      <c r="J222" s="544">
        <v>1683.5395000000001</v>
      </c>
      <c r="K222" s="544">
        <v>738.94820000000004</v>
      </c>
    </row>
    <row r="223" spans="1:11" ht="15.75" hidden="1" customHeight="1" x14ac:dyDescent="0.25">
      <c r="A223" s="542" t="s">
        <v>6025</v>
      </c>
      <c r="B223" s="543" t="s">
        <v>6026</v>
      </c>
      <c r="C223" s="544">
        <v>1603131.8208999999</v>
      </c>
      <c r="D223" s="544">
        <v>187.03200000000001</v>
      </c>
      <c r="E223" s="544">
        <v>32.9711</v>
      </c>
      <c r="F223" s="544">
        <v>0</v>
      </c>
      <c r="G223" s="544">
        <v>187.03200000000001</v>
      </c>
      <c r="H223" s="544">
        <v>36.438499999999998</v>
      </c>
      <c r="I223" s="544">
        <v>33.497199999999999</v>
      </c>
      <c r="J223" s="544">
        <v>476.9708</v>
      </c>
      <c r="K223" s="544">
        <v>253.50030000000001</v>
      </c>
    </row>
    <row r="224" spans="1:11" ht="15.75" hidden="1" customHeight="1" x14ac:dyDescent="0.25">
      <c r="A224" s="542" t="s">
        <v>6027</v>
      </c>
      <c r="B224" s="543" t="s">
        <v>6028</v>
      </c>
      <c r="C224" s="544">
        <v>444309.73080000002</v>
      </c>
      <c r="D224" s="544">
        <v>44.430999999999997</v>
      </c>
      <c r="E224" s="544">
        <v>8.5668000000000006</v>
      </c>
      <c r="F224" s="544">
        <v>0</v>
      </c>
      <c r="G224" s="544">
        <v>38.877099999999999</v>
      </c>
      <c r="H224" s="544">
        <v>0</v>
      </c>
      <c r="I224" s="544">
        <v>42.84</v>
      </c>
      <c r="J224" s="544">
        <v>134.7149</v>
      </c>
      <c r="K224" s="544">
        <v>95.837800000000001</v>
      </c>
    </row>
    <row r="225" spans="1:11" ht="15.75" hidden="1" customHeight="1" x14ac:dyDescent="0.25">
      <c r="A225" s="542" t="s">
        <v>6029</v>
      </c>
      <c r="B225" s="543" t="s">
        <v>6030</v>
      </c>
      <c r="C225" s="544">
        <v>20878.4859</v>
      </c>
      <c r="D225" s="544">
        <v>2.7837999999999998</v>
      </c>
      <c r="E225" s="544">
        <v>0.4294</v>
      </c>
      <c r="F225" s="544">
        <v>0</v>
      </c>
      <c r="G225" s="544">
        <v>2.4358</v>
      </c>
      <c r="H225" s="544">
        <v>18.710699999999999</v>
      </c>
      <c r="I225" s="544">
        <v>0</v>
      </c>
      <c r="J225" s="544">
        <v>24.3597</v>
      </c>
      <c r="K225" s="544">
        <v>3.2132000000000001</v>
      </c>
    </row>
    <row r="226" spans="1:11" ht="15.75" hidden="1" customHeight="1" x14ac:dyDescent="0.25">
      <c r="A226" s="542" t="s">
        <v>6031</v>
      </c>
      <c r="B226" s="543" t="s">
        <v>6032</v>
      </c>
      <c r="C226" s="544">
        <v>297067743.10000002</v>
      </c>
      <c r="D226" s="544">
        <v>2678.4094</v>
      </c>
      <c r="E226" s="544">
        <v>1682.8759</v>
      </c>
      <c r="F226" s="544">
        <v>0</v>
      </c>
      <c r="G226" s="544">
        <v>5952.0209000000004</v>
      </c>
      <c r="H226" s="544">
        <v>650.68799999999999</v>
      </c>
      <c r="I226" s="544">
        <v>156.42320000000001</v>
      </c>
      <c r="J226" s="544">
        <v>11120.4174</v>
      </c>
      <c r="K226" s="544">
        <v>4517.7084999999997</v>
      </c>
    </row>
    <row r="227" spans="1:11" ht="15.75" hidden="1" customHeight="1" x14ac:dyDescent="0.25">
      <c r="A227" s="542" t="s">
        <v>6033</v>
      </c>
      <c r="B227" s="543" t="s">
        <v>6034</v>
      </c>
      <c r="C227" s="544">
        <v>322144314.10000002</v>
      </c>
      <c r="D227" s="544">
        <v>2904.5037000000002</v>
      </c>
      <c r="E227" s="544">
        <v>1824.9336000000001</v>
      </c>
      <c r="F227" s="544">
        <v>0</v>
      </c>
      <c r="G227" s="544">
        <v>6454.4526999999998</v>
      </c>
      <c r="H227" s="544">
        <v>780.82560000000001</v>
      </c>
      <c r="I227" s="544">
        <v>183.48589999999999</v>
      </c>
      <c r="J227" s="544">
        <v>12148.201499999999</v>
      </c>
      <c r="K227" s="544">
        <v>4912.9232000000002</v>
      </c>
    </row>
    <row r="228" spans="1:11" ht="15.75" hidden="1" customHeight="1" x14ac:dyDescent="0.25">
      <c r="A228" s="542" t="s">
        <v>6035</v>
      </c>
      <c r="B228" s="543" t="s">
        <v>6036</v>
      </c>
      <c r="C228" s="544">
        <v>422450597.89999998</v>
      </c>
      <c r="D228" s="544">
        <v>3808.8809000000001</v>
      </c>
      <c r="E228" s="544">
        <v>2393.1642999999999</v>
      </c>
      <c r="F228" s="544">
        <v>0</v>
      </c>
      <c r="G228" s="544">
        <v>8464.1797999999999</v>
      </c>
      <c r="H228" s="544">
        <v>1366.4448</v>
      </c>
      <c r="I228" s="544">
        <v>183.48589999999999</v>
      </c>
      <c r="J228" s="544">
        <v>16216.155699999999</v>
      </c>
      <c r="K228" s="544">
        <v>6385.5311000000002</v>
      </c>
    </row>
    <row r="229" spans="1:11" ht="15.75" hidden="1" customHeight="1" x14ac:dyDescent="0.25">
      <c r="A229" s="542" t="s">
        <v>6037</v>
      </c>
      <c r="B229" s="543" t="s">
        <v>6038</v>
      </c>
      <c r="C229" s="544">
        <v>522756881.60000002</v>
      </c>
      <c r="D229" s="544">
        <v>4713.2581</v>
      </c>
      <c r="E229" s="544">
        <v>2961.395</v>
      </c>
      <c r="F229" s="544">
        <v>0</v>
      </c>
      <c r="G229" s="544">
        <v>10473.9069</v>
      </c>
      <c r="H229" s="544">
        <v>1952.0640000000001</v>
      </c>
      <c r="I229" s="544">
        <v>326.12360000000001</v>
      </c>
      <c r="J229" s="544">
        <v>20426.747599999999</v>
      </c>
      <c r="K229" s="544">
        <v>8000.7767000000003</v>
      </c>
    </row>
    <row r="230" spans="1:11" ht="15.75" hidden="1" customHeight="1" x14ac:dyDescent="0.25">
      <c r="A230" s="542" t="s">
        <v>6039</v>
      </c>
      <c r="B230" s="543" t="s">
        <v>6040</v>
      </c>
      <c r="C230" s="544">
        <v>623063165.39999998</v>
      </c>
      <c r="D230" s="544">
        <v>5617.6352999999999</v>
      </c>
      <c r="E230" s="544">
        <v>3529.6257999999998</v>
      </c>
      <c r="F230" s="544">
        <v>0</v>
      </c>
      <c r="G230" s="544">
        <v>12483.634</v>
      </c>
      <c r="H230" s="544">
        <v>2537.6831999999999</v>
      </c>
      <c r="I230" s="544">
        <v>382.47250000000003</v>
      </c>
      <c r="J230" s="544">
        <v>24551.050800000001</v>
      </c>
      <c r="K230" s="544">
        <v>9529.7335999999996</v>
      </c>
    </row>
    <row r="231" spans="1:11" ht="15.75" hidden="1" customHeight="1" x14ac:dyDescent="0.25">
      <c r="A231" s="542" t="s">
        <v>6041</v>
      </c>
      <c r="B231" s="543" t="s">
        <v>6042</v>
      </c>
      <c r="C231" s="544">
        <v>723369449.20000005</v>
      </c>
      <c r="D231" s="544">
        <v>6522.0124999999998</v>
      </c>
      <c r="E231" s="544">
        <v>4097.8564999999999</v>
      </c>
      <c r="F231" s="544">
        <v>0</v>
      </c>
      <c r="G231" s="544">
        <v>14493.3611</v>
      </c>
      <c r="H231" s="544">
        <v>3123.3024</v>
      </c>
      <c r="I231" s="544">
        <v>382.47250000000003</v>
      </c>
      <c r="J231" s="544">
        <v>28619.005000000001</v>
      </c>
      <c r="K231" s="544">
        <v>11002.3415</v>
      </c>
    </row>
    <row r="232" spans="1:11" ht="15.75" hidden="1" customHeight="1" x14ac:dyDescent="0.25">
      <c r="A232" s="542" t="s">
        <v>6043</v>
      </c>
      <c r="B232" s="543" t="s">
        <v>6044</v>
      </c>
      <c r="C232" s="544">
        <v>277117.19050000003</v>
      </c>
      <c r="D232" s="544">
        <v>27.7117</v>
      </c>
      <c r="E232" s="544">
        <v>5.3432000000000004</v>
      </c>
      <c r="F232" s="544">
        <v>0</v>
      </c>
      <c r="G232" s="544">
        <v>24.247800000000002</v>
      </c>
      <c r="H232" s="544">
        <v>0</v>
      </c>
      <c r="I232" s="544">
        <v>42.84</v>
      </c>
      <c r="J232" s="544">
        <v>100.1427</v>
      </c>
      <c r="K232" s="544">
        <v>75.894900000000007</v>
      </c>
    </row>
    <row r="233" spans="1:11" ht="15.75" hidden="1" customHeight="1" x14ac:dyDescent="0.25">
      <c r="A233" s="542" t="s">
        <v>6045</v>
      </c>
      <c r="B233" s="543" t="s">
        <v>6046</v>
      </c>
      <c r="C233" s="544">
        <v>492989.43150000001</v>
      </c>
      <c r="D233" s="544">
        <v>5.6432000000000002</v>
      </c>
      <c r="E233" s="544">
        <v>2.8338000000000001</v>
      </c>
      <c r="F233" s="544">
        <v>0</v>
      </c>
      <c r="G233" s="544">
        <v>6.2702</v>
      </c>
      <c r="H233" s="544">
        <v>277.98680000000002</v>
      </c>
      <c r="I233" s="544">
        <v>38.4</v>
      </c>
      <c r="J233" s="544">
        <v>331.13400000000001</v>
      </c>
      <c r="K233" s="544">
        <v>46.877000000000002</v>
      </c>
    </row>
    <row r="234" spans="1:11" ht="15.75" hidden="1" customHeight="1" x14ac:dyDescent="0.25">
      <c r="A234" s="542" t="s">
        <v>6047</v>
      </c>
      <c r="B234" s="543" t="s">
        <v>6048</v>
      </c>
      <c r="C234" s="544">
        <v>2293344.7349999999</v>
      </c>
      <c r="D234" s="544">
        <v>26.2517</v>
      </c>
      <c r="E234" s="544">
        <v>13.1828</v>
      </c>
      <c r="F234" s="544">
        <v>0</v>
      </c>
      <c r="G234" s="544">
        <v>58.337000000000003</v>
      </c>
      <c r="H234" s="544">
        <v>169.9922</v>
      </c>
      <c r="I234" s="544">
        <v>125.6335</v>
      </c>
      <c r="J234" s="544">
        <v>393.3972</v>
      </c>
      <c r="K234" s="544">
        <v>165.06800000000001</v>
      </c>
    </row>
    <row r="235" spans="1:11" ht="15.75" hidden="1" customHeight="1" x14ac:dyDescent="0.25">
      <c r="A235" s="542" t="s">
        <v>6049</v>
      </c>
      <c r="B235" s="543" t="s">
        <v>6050</v>
      </c>
      <c r="C235" s="544">
        <v>1116330.338</v>
      </c>
      <c r="D235" s="544">
        <v>12.778499999999999</v>
      </c>
      <c r="E235" s="544">
        <v>6.4169999999999998</v>
      </c>
      <c r="F235" s="544">
        <v>0</v>
      </c>
      <c r="G235" s="544">
        <v>28.396699999999999</v>
      </c>
      <c r="H235" s="544">
        <v>553.24749999999995</v>
      </c>
      <c r="I235" s="544">
        <v>125.6335</v>
      </c>
      <c r="J235" s="544">
        <v>726.47320000000002</v>
      </c>
      <c r="K235" s="544">
        <v>144.82900000000001</v>
      </c>
    </row>
    <row r="236" spans="1:11" ht="15.75" hidden="1" customHeight="1" x14ac:dyDescent="0.25">
      <c r="A236" s="542" t="s">
        <v>6051</v>
      </c>
      <c r="B236" s="543" t="s">
        <v>6052</v>
      </c>
      <c r="C236" s="544">
        <v>2344037.8190000001</v>
      </c>
      <c r="D236" s="544">
        <v>125.0154</v>
      </c>
      <c r="E236" s="544">
        <v>40.977699999999999</v>
      </c>
      <c r="F236" s="544">
        <v>0</v>
      </c>
      <c r="G236" s="544">
        <v>93.761499999999998</v>
      </c>
      <c r="H236" s="544">
        <v>0</v>
      </c>
      <c r="I236" s="544">
        <v>42.84</v>
      </c>
      <c r="J236" s="544">
        <v>302.59460000000001</v>
      </c>
      <c r="K236" s="544">
        <v>208.8331</v>
      </c>
    </row>
    <row r="237" spans="1:11" ht="15.75" hidden="1" customHeight="1" x14ac:dyDescent="0.25">
      <c r="A237" s="542" t="s">
        <v>6053</v>
      </c>
      <c r="B237" s="543" t="s">
        <v>6054</v>
      </c>
      <c r="C237" s="544">
        <v>635141.54669999995</v>
      </c>
      <c r="D237" s="544">
        <v>13.610200000000001</v>
      </c>
      <c r="E237" s="544">
        <v>5.3651</v>
      </c>
      <c r="F237" s="544">
        <v>0</v>
      </c>
      <c r="G237" s="544">
        <v>30.244800000000001</v>
      </c>
      <c r="H237" s="544">
        <v>81.335999999999999</v>
      </c>
      <c r="I237" s="544">
        <v>32.2607</v>
      </c>
      <c r="J237" s="544">
        <v>162.8168</v>
      </c>
      <c r="K237" s="544">
        <v>51.235999999999997</v>
      </c>
    </row>
    <row r="238" spans="1:11" ht="15.75" hidden="1" customHeight="1" x14ac:dyDescent="0.25">
      <c r="A238" s="542" t="s">
        <v>6055</v>
      </c>
      <c r="B238" s="543" t="s">
        <v>6056</v>
      </c>
      <c r="C238" s="544">
        <v>116930.90850000001</v>
      </c>
      <c r="D238" s="544">
        <v>9.3544999999999998</v>
      </c>
      <c r="E238" s="544">
        <v>2.1644000000000001</v>
      </c>
      <c r="F238" s="544">
        <v>0</v>
      </c>
      <c r="G238" s="544">
        <v>9.3544999999999998</v>
      </c>
      <c r="H238" s="544">
        <v>17.0534</v>
      </c>
      <c r="I238" s="544">
        <v>0</v>
      </c>
      <c r="J238" s="544">
        <v>37.9268</v>
      </c>
      <c r="K238" s="544">
        <v>11.5189</v>
      </c>
    </row>
    <row r="239" spans="1:11" ht="15.75" hidden="1" customHeight="1" x14ac:dyDescent="0.25">
      <c r="A239" s="542" t="s">
        <v>6057</v>
      </c>
      <c r="B239" s="543" t="s">
        <v>6058</v>
      </c>
      <c r="C239" s="544">
        <v>8501793.9079999998</v>
      </c>
      <c r="D239" s="544">
        <v>453.42899999999997</v>
      </c>
      <c r="E239" s="544">
        <v>148.62549999999999</v>
      </c>
      <c r="F239" s="544">
        <v>0</v>
      </c>
      <c r="G239" s="544">
        <v>340.0718</v>
      </c>
      <c r="H239" s="544">
        <v>0</v>
      </c>
      <c r="I239" s="544">
        <v>42.84</v>
      </c>
      <c r="J239" s="544">
        <v>984.96630000000005</v>
      </c>
      <c r="K239" s="544">
        <v>644.89449999999999</v>
      </c>
    </row>
    <row r="240" spans="1:11" ht="15.75" hidden="1" customHeight="1" x14ac:dyDescent="0.25">
      <c r="A240" s="542" t="s">
        <v>6059</v>
      </c>
      <c r="B240" s="543" t="s">
        <v>6060</v>
      </c>
      <c r="C240" s="544">
        <v>675118.68169999996</v>
      </c>
      <c r="D240" s="544">
        <v>7.7279999999999998</v>
      </c>
      <c r="E240" s="544">
        <v>3.8807999999999998</v>
      </c>
      <c r="F240" s="544">
        <v>0</v>
      </c>
      <c r="G240" s="544">
        <v>12.88</v>
      </c>
      <c r="H240" s="544">
        <v>0</v>
      </c>
      <c r="I240" s="544">
        <v>54.125399999999999</v>
      </c>
      <c r="J240" s="544">
        <v>78.614199999999997</v>
      </c>
      <c r="K240" s="544">
        <v>65.734200000000001</v>
      </c>
    </row>
    <row r="241" spans="1:11" ht="15.75" hidden="1" customHeight="1" x14ac:dyDescent="0.25">
      <c r="A241" s="542" t="s">
        <v>6061</v>
      </c>
      <c r="B241" s="543" t="s">
        <v>6062</v>
      </c>
      <c r="C241" s="544">
        <v>7631792.1090000002</v>
      </c>
      <c r="D241" s="544">
        <v>410.9427</v>
      </c>
      <c r="E241" s="544">
        <v>135.8312</v>
      </c>
      <c r="F241" s="544">
        <v>0</v>
      </c>
      <c r="G241" s="544">
        <v>587.06089999999995</v>
      </c>
      <c r="H241" s="544">
        <v>50.4283</v>
      </c>
      <c r="I241" s="544">
        <v>42.84</v>
      </c>
      <c r="J241" s="544">
        <v>1227.1031</v>
      </c>
      <c r="K241" s="544">
        <v>589.61389999999994</v>
      </c>
    </row>
    <row r="242" spans="1:11" ht="15.75" hidden="1" customHeight="1" x14ac:dyDescent="0.25">
      <c r="A242" s="542" t="s">
        <v>6063</v>
      </c>
      <c r="B242" s="543" t="s">
        <v>6064</v>
      </c>
      <c r="C242" s="544">
        <v>11860.6911</v>
      </c>
      <c r="D242" s="544">
        <v>0.94889999999999997</v>
      </c>
      <c r="E242" s="544">
        <v>0.2195</v>
      </c>
      <c r="F242" s="544">
        <v>0</v>
      </c>
      <c r="G242" s="544">
        <v>0.83020000000000005</v>
      </c>
      <c r="H242" s="544">
        <v>0</v>
      </c>
      <c r="I242" s="544">
        <v>0</v>
      </c>
      <c r="J242" s="544">
        <v>1.9985999999999999</v>
      </c>
      <c r="K242" s="544">
        <v>1.1684000000000001</v>
      </c>
    </row>
    <row r="243" spans="1:11" ht="15.75" hidden="1" customHeight="1" x14ac:dyDescent="0.25">
      <c r="A243" s="542" t="s">
        <v>6065</v>
      </c>
      <c r="B243" s="543" t="s">
        <v>6066</v>
      </c>
      <c r="C243" s="544">
        <v>1553792.281</v>
      </c>
      <c r="D243" s="544">
        <v>155.3792</v>
      </c>
      <c r="E243" s="544">
        <v>29.959099999999999</v>
      </c>
      <c r="F243" s="544">
        <v>0</v>
      </c>
      <c r="G243" s="544">
        <v>135.95679999999999</v>
      </c>
      <c r="H243" s="544">
        <v>0</v>
      </c>
      <c r="I243" s="544">
        <v>33.497199999999999</v>
      </c>
      <c r="J243" s="544">
        <v>354.79230000000001</v>
      </c>
      <c r="K243" s="544">
        <v>218.8355</v>
      </c>
    </row>
    <row r="244" spans="1:11" ht="15.75" hidden="1" customHeight="1" x14ac:dyDescent="0.25">
      <c r="A244" s="542" t="s">
        <v>6067</v>
      </c>
      <c r="B244" s="543" t="s">
        <v>6068</v>
      </c>
      <c r="C244" s="544">
        <v>231673.74040000001</v>
      </c>
      <c r="D244" s="544">
        <v>23.167400000000001</v>
      </c>
      <c r="E244" s="544">
        <v>4.4669999999999996</v>
      </c>
      <c r="F244" s="544">
        <v>0</v>
      </c>
      <c r="G244" s="544">
        <v>20.2715</v>
      </c>
      <c r="H244" s="544">
        <v>0</v>
      </c>
      <c r="I244" s="544">
        <v>33.497199999999999</v>
      </c>
      <c r="J244" s="544">
        <v>81.403099999999995</v>
      </c>
      <c r="K244" s="544">
        <v>61.131599999999999</v>
      </c>
    </row>
    <row r="245" spans="1:11" ht="15.75" hidden="1" customHeight="1" x14ac:dyDescent="0.25">
      <c r="A245" s="542" t="s">
        <v>6069</v>
      </c>
      <c r="B245" s="543" t="s">
        <v>6070</v>
      </c>
      <c r="C245" s="544">
        <v>24157329.539999999</v>
      </c>
      <c r="D245" s="544">
        <v>312.46550000000002</v>
      </c>
      <c r="E245" s="544">
        <v>140.0949</v>
      </c>
      <c r="F245" s="544">
        <v>0</v>
      </c>
      <c r="G245" s="544">
        <v>694.36770000000001</v>
      </c>
      <c r="H245" s="544">
        <v>72.877099999999999</v>
      </c>
      <c r="I245" s="544">
        <v>96.347300000000004</v>
      </c>
      <c r="J245" s="544">
        <v>1316.1524999999999</v>
      </c>
      <c r="K245" s="544">
        <v>548.90769999999998</v>
      </c>
    </row>
    <row r="246" spans="1:11" ht="15.75" hidden="1" customHeight="1" x14ac:dyDescent="0.25">
      <c r="A246" s="542" t="s">
        <v>6071</v>
      </c>
      <c r="B246" s="543" t="s">
        <v>6072</v>
      </c>
      <c r="C246" s="544">
        <v>29635386.710000001</v>
      </c>
      <c r="D246" s="544">
        <v>383.322</v>
      </c>
      <c r="E246" s="544">
        <v>171.86369999999999</v>
      </c>
      <c r="F246" s="544">
        <v>0</v>
      </c>
      <c r="G246" s="544">
        <v>851.82659999999998</v>
      </c>
      <c r="H246" s="544">
        <v>121.3533</v>
      </c>
      <c r="I246" s="544">
        <v>96.347300000000004</v>
      </c>
      <c r="J246" s="544">
        <v>1624.7129</v>
      </c>
      <c r="K246" s="544">
        <v>651.53300000000002</v>
      </c>
    </row>
    <row r="247" spans="1:11" ht="15.75" hidden="1" customHeight="1" x14ac:dyDescent="0.25">
      <c r="A247" s="542" t="s">
        <v>6073</v>
      </c>
      <c r="B247" s="543" t="s">
        <v>6074</v>
      </c>
      <c r="C247" s="544">
        <v>3332037.63</v>
      </c>
      <c r="D247" s="544">
        <v>38.141500000000001</v>
      </c>
      <c r="E247" s="544">
        <v>19.153500000000001</v>
      </c>
      <c r="F247" s="544">
        <v>0</v>
      </c>
      <c r="G247" s="544">
        <v>63.569099999999999</v>
      </c>
      <c r="H247" s="544">
        <v>0</v>
      </c>
      <c r="I247" s="544">
        <v>27.0627</v>
      </c>
      <c r="J247" s="544">
        <v>147.92679999999999</v>
      </c>
      <c r="K247" s="544">
        <v>84.357699999999994</v>
      </c>
    </row>
    <row r="248" spans="1:11" ht="15.75" hidden="1" customHeight="1" x14ac:dyDescent="0.25">
      <c r="A248" s="542" t="s">
        <v>6075</v>
      </c>
      <c r="B248" s="543" t="s">
        <v>6076</v>
      </c>
      <c r="C248" s="544">
        <v>51796.700799999999</v>
      </c>
      <c r="D248" s="544">
        <v>5.1797000000000004</v>
      </c>
      <c r="E248" s="544">
        <v>0.99870000000000003</v>
      </c>
      <c r="F248" s="544">
        <v>0</v>
      </c>
      <c r="G248" s="544">
        <v>5.1797000000000004</v>
      </c>
      <c r="H248" s="544">
        <v>0</v>
      </c>
      <c r="I248" s="544">
        <v>23.799499999999998</v>
      </c>
      <c r="J248" s="544">
        <v>35.157600000000002</v>
      </c>
      <c r="K248" s="544">
        <v>29.977900000000002</v>
      </c>
    </row>
    <row r="249" spans="1:11" ht="15.75" hidden="1" customHeight="1" x14ac:dyDescent="0.25">
      <c r="A249" s="542" t="s">
        <v>6077</v>
      </c>
      <c r="B249" s="543" t="s">
        <v>6078</v>
      </c>
      <c r="C249" s="544">
        <v>101371.6421</v>
      </c>
      <c r="D249" s="544">
        <v>5.7927</v>
      </c>
      <c r="E249" s="544">
        <v>1.7869999999999999</v>
      </c>
      <c r="F249" s="544">
        <v>0</v>
      </c>
      <c r="G249" s="544">
        <v>4.3445</v>
      </c>
      <c r="H249" s="544">
        <v>0</v>
      </c>
      <c r="I249" s="544">
        <v>0</v>
      </c>
      <c r="J249" s="544">
        <v>11.924200000000001</v>
      </c>
      <c r="K249" s="544">
        <v>7.5796999999999999</v>
      </c>
    </row>
    <row r="250" spans="1:11" ht="15.75" hidden="1" customHeight="1" x14ac:dyDescent="0.25">
      <c r="A250" s="542" t="s">
        <v>6079</v>
      </c>
      <c r="B250" s="543" t="s">
        <v>6080</v>
      </c>
      <c r="C250" s="544">
        <v>125215.6885</v>
      </c>
      <c r="D250" s="544">
        <v>7.1551999999999998</v>
      </c>
      <c r="E250" s="544">
        <v>2.2073999999999998</v>
      </c>
      <c r="F250" s="544">
        <v>0</v>
      </c>
      <c r="G250" s="544">
        <v>5.3663999999999996</v>
      </c>
      <c r="H250" s="544">
        <v>0</v>
      </c>
      <c r="I250" s="544">
        <v>0</v>
      </c>
      <c r="J250" s="544">
        <v>14.728999999999999</v>
      </c>
      <c r="K250" s="544">
        <v>9.3626000000000005</v>
      </c>
    </row>
    <row r="251" spans="1:11" ht="15.75" hidden="1" customHeight="1" x14ac:dyDescent="0.25">
      <c r="A251" s="542" t="s">
        <v>6081</v>
      </c>
      <c r="B251" s="543" t="s">
        <v>6082</v>
      </c>
      <c r="C251" s="544">
        <v>1224900868</v>
      </c>
      <c r="D251" s="544">
        <v>11043.898499999999</v>
      </c>
      <c r="E251" s="544">
        <v>6939.0102999999999</v>
      </c>
      <c r="F251" s="544">
        <v>0</v>
      </c>
      <c r="G251" s="544">
        <v>24541.996599999999</v>
      </c>
      <c r="H251" s="544">
        <v>5335.6415999999999</v>
      </c>
      <c r="I251" s="544">
        <v>505.88249999999999</v>
      </c>
      <c r="J251" s="544">
        <v>48366.429499999998</v>
      </c>
      <c r="K251" s="544">
        <v>18488.791300000001</v>
      </c>
    </row>
    <row r="252" spans="1:11" ht="15.75" hidden="1" customHeight="1" x14ac:dyDescent="0.25">
      <c r="A252" s="542" t="s">
        <v>6083</v>
      </c>
      <c r="B252" s="543" t="s">
        <v>6084</v>
      </c>
      <c r="C252" s="544">
        <v>1726432287</v>
      </c>
      <c r="D252" s="544">
        <v>15565.7845</v>
      </c>
      <c r="E252" s="544">
        <v>9780.1640000000007</v>
      </c>
      <c r="F252" s="544">
        <v>0</v>
      </c>
      <c r="G252" s="544">
        <v>34590.6322</v>
      </c>
      <c r="H252" s="544">
        <v>7678.1184000000003</v>
      </c>
      <c r="I252" s="544">
        <v>533.40129999999999</v>
      </c>
      <c r="J252" s="544">
        <v>68148.100399999996</v>
      </c>
      <c r="K252" s="544">
        <v>25879.3498</v>
      </c>
    </row>
    <row r="253" spans="1:11" ht="15.75" hidden="1" customHeight="1" x14ac:dyDescent="0.25">
      <c r="A253" s="542" t="s">
        <v>6085</v>
      </c>
      <c r="B253" s="543" t="s">
        <v>6086</v>
      </c>
      <c r="C253" s="544">
        <v>2227963706</v>
      </c>
      <c r="D253" s="544">
        <v>20087.6705</v>
      </c>
      <c r="E253" s="544">
        <v>12621.3177</v>
      </c>
      <c r="F253" s="544">
        <v>0</v>
      </c>
      <c r="G253" s="544">
        <v>44639.267699999997</v>
      </c>
      <c r="H253" s="544">
        <v>10085.664000000001</v>
      </c>
      <c r="I253" s="544">
        <v>560.46400000000006</v>
      </c>
      <c r="J253" s="544">
        <v>87994.383900000001</v>
      </c>
      <c r="K253" s="544">
        <v>33269.4522</v>
      </c>
    </row>
    <row r="254" spans="1:11" ht="15.75" hidden="1" customHeight="1" x14ac:dyDescent="0.25">
      <c r="A254" s="542" t="s">
        <v>6087</v>
      </c>
      <c r="B254" s="543" t="s">
        <v>6088</v>
      </c>
      <c r="C254" s="544">
        <v>2499833.42</v>
      </c>
      <c r="D254" s="544">
        <v>28.615300000000001</v>
      </c>
      <c r="E254" s="544">
        <v>11.692</v>
      </c>
      <c r="F254" s="544">
        <v>0</v>
      </c>
      <c r="G254" s="544">
        <v>63.589599999999997</v>
      </c>
      <c r="H254" s="544">
        <v>205.02090000000001</v>
      </c>
      <c r="I254" s="544">
        <v>56.3489</v>
      </c>
      <c r="J254" s="544">
        <v>365.26670000000001</v>
      </c>
      <c r="K254" s="544">
        <v>96.656199999999998</v>
      </c>
    </row>
    <row r="255" spans="1:11" ht="15.75" hidden="1" customHeight="1" x14ac:dyDescent="0.25">
      <c r="A255" s="542" t="s">
        <v>6089</v>
      </c>
      <c r="B255" s="543" t="s">
        <v>6090</v>
      </c>
      <c r="C255" s="544">
        <v>14182.1266</v>
      </c>
      <c r="D255" s="544">
        <v>1.891</v>
      </c>
      <c r="E255" s="544">
        <v>0.29170000000000001</v>
      </c>
      <c r="F255" s="544">
        <v>0</v>
      </c>
      <c r="G255" s="544">
        <v>1.4181999999999999</v>
      </c>
      <c r="H255" s="544">
        <v>0</v>
      </c>
      <c r="I255" s="544">
        <v>0</v>
      </c>
      <c r="J255" s="544">
        <v>3.6009000000000002</v>
      </c>
      <c r="K255" s="544">
        <v>2.1827000000000001</v>
      </c>
    </row>
    <row r="256" spans="1:11" ht="15.75" hidden="1" customHeight="1" x14ac:dyDescent="0.25">
      <c r="A256" s="542" t="s">
        <v>6091</v>
      </c>
      <c r="B256" s="543" t="s">
        <v>6092</v>
      </c>
      <c r="C256" s="544">
        <v>356345.6335</v>
      </c>
      <c r="D256" s="544">
        <v>28.5077</v>
      </c>
      <c r="E256" s="544">
        <v>6.5960000000000001</v>
      </c>
      <c r="F256" s="544">
        <v>0</v>
      </c>
      <c r="G256" s="544">
        <v>28.5077</v>
      </c>
      <c r="H256" s="544">
        <v>75.127399999999994</v>
      </c>
      <c r="I256" s="544">
        <v>0</v>
      </c>
      <c r="J256" s="544">
        <v>138.7388</v>
      </c>
      <c r="K256" s="544">
        <v>35.103700000000003</v>
      </c>
    </row>
    <row r="257" spans="1:11" ht="15.75" hidden="1" customHeight="1" x14ac:dyDescent="0.25">
      <c r="A257" s="542" t="s">
        <v>6093</v>
      </c>
      <c r="B257" s="543" t="s">
        <v>6094</v>
      </c>
      <c r="C257" s="544">
        <v>6253.1711999999998</v>
      </c>
      <c r="D257" s="544">
        <v>0.62529999999999997</v>
      </c>
      <c r="E257" s="544">
        <v>0.1206</v>
      </c>
      <c r="F257" s="544">
        <v>0</v>
      </c>
      <c r="G257" s="544">
        <v>0.54720000000000002</v>
      </c>
      <c r="H257" s="544">
        <v>0</v>
      </c>
      <c r="I257" s="544">
        <v>0</v>
      </c>
      <c r="J257" s="544">
        <v>1.2930999999999999</v>
      </c>
      <c r="K257" s="544">
        <v>0.74590000000000001</v>
      </c>
    </row>
    <row r="258" spans="1:11" ht="15.75" hidden="1" customHeight="1" x14ac:dyDescent="0.25">
      <c r="A258" s="542" t="s">
        <v>6095</v>
      </c>
      <c r="B258" s="543" t="s">
        <v>6096</v>
      </c>
      <c r="C258" s="544">
        <v>303194.97340000002</v>
      </c>
      <c r="D258" s="544">
        <v>34.6509</v>
      </c>
      <c r="E258" s="544">
        <v>6.0129999999999999</v>
      </c>
      <c r="F258" s="544">
        <v>0</v>
      </c>
      <c r="G258" s="544">
        <v>30.319500000000001</v>
      </c>
      <c r="H258" s="544">
        <v>0</v>
      </c>
      <c r="I258" s="544">
        <v>42.84</v>
      </c>
      <c r="J258" s="544">
        <v>113.82340000000001</v>
      </c>
      <c r="K258" s="544">
        <v>83.503900000000002</v>
      </c>
    </row>
    <row r="259" spans="1:11" ht="15.75" hidden="1" customHeight="1" x14ac:dyDescent="0.25">
      <c r="A259" s="542" t="s">
        <v>6097</v>
      </c>
      <c r="B259" s="543" t="s">
        <v>6098</v>
      </c>
      <c r="C259" s="544">
        <v>45503.148999999998</v>
      </c>
      <c r="D259" s="544">
        <v>6.0670999999999999</v>
      </c>
      <c r="E259" s="544">
        <v>0.93579999999999997</v>
      </c>
      <c r="F259" s="544">
        <v>0</v>
      </c>
      <c r="G259" s="544">
        <v>4.5503</v>
      </c>
      <c r="H259" s="544">
        <v>0</v>
      </c>
      <c r="I259" s="544">
        <v>0</v>
      </c>
      <c r="J259" s="544">
        <v>11.5532</v>
      </c>
      <c r="K259" s="544">
        <v>7.0029000000000003</v>
      </c>
    </row>
    <row r="260" spans="1:11" ht="15.75" hidden="1" customHeight="1" x14ac:dyDescent="0.25">
      <c r="A260" s="542" t="s">
        <v>6099</v>
      </c>
      <c r="B260" s="543" t="s">
        <v>6100</v>
      </c>
      <c r="C260" s="544">
        <v>52720.213199999998</v>
      </c>
      <c r="D260" s="544">
        <v>7.0293999999999999</v>
      </c>
      <c r="E260" s="544">
        <v>1.0843</v>
      </c>
      <c r="F260" s="544">
        <v>0</v>
      </c>
      <c r="G260" s="544">
        <v>5.2720000000000002</v>
      </c>
      <c r="H260" s="544">
        <v>0</v>
      </c>
      <c r="I260" s="544">
        <v>0</v>
      </c>
      <c r="J260" s="544">
        <v>13.3857</v>
      </c>
      <c r="K260" s="544">
        <v>8.1136999999999997</v>
      </c>
    </row>
    <row r="261" spans="1:11" ht="15.75" hidden="1" customHeight="1" x14ac:dyDescent="0.25">
      <c r="A261" s="542" t="s">
        <v>6101</v>
      </c>
      <c r="B261" s="543" t="s">
        <v>6102</v>
      </c>
      <c r="C261" s="544">
        <v>58346.419099999999</v>
      </c>
      <c r="D261" s="544">
        <v>7.7794999999999996</v>
      </c>
      <c r="E261" s="544">
        <v>1.2</v>
      </c>
      <c r="F261" s="544">
        <v>0</v>
      </c>
      <c r="G261" s="544">
        <v>5.8346</v>
      </c>
      <c r="H261" s="544">
        <v>0</v>
      </c>
      <c r="I261" s="544">
        <v>0</v>
      </c>
      <c r="J261" s="544">
        <v>14.8141</v>
      </c>
      <c r="K261" s="544">
        <v>8.9794999999999998</v>
      </c>
    </row>
    <row r="262" spans="1:11" ht="15.75" hidden="1" customHeight="1" x14ac:dyDescent="0.25">
      <c r="A262" s="542" t="s">
        <v>6103</v>
      </c>
      <c r="B262" s="543" t="s">
        <v>6104</v>
      </c>
      <c r="C262" s="544">
        <v>9112530.6239999998</v>
      </c>
      <c r="D262" s="544">
        <v>104.31010000000001</v>
      </c>
      <c r="E262" s="544">
        <v>52.381300000000003</v>
      </c>
      <c r="F262" s="544">
        <v>0</v>
      </c>
      <c r="G262" s="544">
        <v>231.80019999999999</v>
      </c>
      <c r="H262" s="544">
        <v>239.12780000000001</v>
      </c>
      <c r="I262" s="544">
        <v>59.323399999999999</v>
      </c>
      <c r="J262" s="544">
        <v>686.94280000000003</v>
      </c>
      <c r="K262" s="544">
        <v>216.01480000000001</v>
      </c>
    </row>
    <row r="263" spans="1:11" ht="15.75" hidden="1" customHeight="1" x14ac:dyDescent="0.25">
      <c r="A263" s="542" t="s">
        <v>6105</v>
      </c>
      <c r="B263" s="543" t="s">
        <v>6106</v>
      </c>
      <c r="C263" s="544">
        <v>15263122.4</v>
      </c>
      <c r="D263" s="544">
        <v>174.71520000000001</v>
      </c>
      <c r="E263" s="544">
        <v>87.736599999999996</v>
      </c>
      <c r="F263" s="544">
        <v>0</v>
      </c>
      <c r="G263" s="544">
        <v>388.2561</v>
      </c>
      <c r="H263" s="544">
        <v>392.85289999999998</v>
      </c>
      <c r="I263" s="544">
        <v>59.323399999999999</v>
      </c>
      <c r="J263" s="544">
        <v>1102.8842</v>
      </c>
      <c r="K263" s="544">
        <v>321.77519999999998</v>
      </c>
    </row>
    <row r="264" spans="1:11" ht="15.75" hidden="1" customHeight="1" x14ac:dyDescent="0.25">
      <c r="A264" s="542" t="s">
        <v>6107</v>
      </c>
      <c r="B264" s="543" t="s">
        <v>6108</v>
      </c>
      <c r="C264" s="544">
        <v>28539218.199999999</v>
      </c>
      <c r="D264" s="544">
        <v>326.68520000000001</v>
      </c>
      <c r="E264" s="544">
        <v>164.0513</v>
      </c>
      <c r="F264" s="544">
        <v>0</v>
      </c>
      <c r="G264" s="544">
        <v>725.96709999999996</v>
      </c>
      <c r="H264" s="544">
        <v>606.76660000000004</v>
      </c>
      <c r="I264" s="544">
        <v>86.386099999999999</v>
      </c>
      <c r="J264" s="544">
        <v>1909.8562999999999</v>
      </c>
      <c r="K264" s="544">
        <v>577.12260000000003</v>
      </c>
    </row>
    <row r="265" spans="1:11" ht="15.75" hidden="1" customHeight="1" x14ac:dyDescent="0.25">
      <c r="A265" s="542" t="s">
        <v>6109</v>
      </c>
      <c r="B265" s="543" t="s">
        <v>6110</v>
      </c>
      <c r="C265" s="544">
        <v>43570348.899999999</v>
      </c>
      <c r="D265" s="544">
        <v>498.7448</v>
      </c>
      <c r="E265" s="544">
        <v>250.45439999999999</v>
      </c>
      <c r="F265" s="544">
        <v>0</v>
      </c>
      <c r="G265" s="544">
        <v>1108.3218999999999</v>
      </c>
      <c r="H265" s="544">
        <v>1098.0360000000001</v>
      </c>
      <c r="I265" s="544">
        <v>86.386099999999999</v>
      </c>
      <c r="J265" s="544">
        <v>3041.9432000000002</v>
      </c>
      <c r="K265" s="544">
        <v>835.58529999999996</v>
      </c>
    </row>
    <row r="266" spans="1:11" ht="15.75" hidden="1" customHeight="1" x14ac:dyDescent="0.25">
      <c r="A266" s="542" t="s">
        <v>6111</v>
      </c>
      <c r="B266" s="543" t="s">
        <v>6112</v>
      </c>
      <c r="C266" s="544">
        <v>3989698.037</v>
      </c>
      <c r="D266" s="544">
        <v>45.669600000000003</v>
      </c>
      <c r="E266" s="544">
        <v>18.6602</v>
      </c>
      <c r="F266" s="544">
        <v>0</v>
      </c>
      <c r="G266" s="544">
        <v>101.488</v>
      </c>
      <c r="H266" s="544">
        <v>230.7773</v>
      </c>
      <c r="I266" s="544">
        <v>125.6335</v>
      </c>
      <c r="J266" s="544">
        <v>522.22860000000003</v>
      </c>
      <c r="K266" s="544">
        <v>189.9633</v>
      </c>
    </row>
    <row r="267" spans="1:11" ht="15.75" hidden="1" customHeight="1" x14ac:dyDescent="0.25">
      <c r="A267" s="542" t="s">
        <v>6113</v>
      </c>
      <c r="B267" s="543" t="s">
        <v>6114</v>
      </c>
      <c r="C267" s="544">
        <v>105502.337</v>
      </c>
      <c r="D267" s="544">
        <v>8.4402000000000008</v>
      </c>
      <c r="E267" s="544">
        <v>1.9528000000000001</v>
      </c>
      <c r="F267" s="544">
        <v>0</v>
      </c>
      <c r="G267" s="544">
        <v>8.4402000000000008</v>
      </c>
      <c r="H267" s="544">
        <v>12.9053</v>
      </c>
      <c r="I267" s="544">
        <v>0</v>
      </c>
      <c r="J267" s="544">
        <v>31.738499999999998</v>
      </c>
      <c r="K267" s="544">
        <v>10.393000000000001</v>
      </c>
    </row>
    <row r="268" spans="1:11" ht="15.75" hidden="1" customHeight="1" x14ac:dyDescent="0.25">
      <c r="A268" s="542" t="s">
        <v>6115</v>
      </c>
      <c r="B268" s="543" t="s">
        <v>6116</v>
      </c>
      <c r="C268" s="544">
        <v>159704.59229999999</v>
      </c>
      <c r="D268" s="544">
        <v>12.776400000000001</v>
      </c>
      <c r="E268" s="544">
        <v>2.9561000000000002</v>
      </c>
      <c r="F268" s="544">
        <v>0</v>
      </c>
      <c r="G268" s="544">
        <v>12.776400000000001</v>
      </c>
      <c r="H268" s="544">
        <v>30.419699999999999</v>
      </c>
      <c r="I268" s="544">
        <v>0</v>
      </c>
      <c r="J268" s="544">
        <v>58.928600000000003</v>
      </c>
      <c r="K268" s="544">
        <v>15.7325</v>
      </c>
    </row>
    <row r="269" spans="1:11" ht="15.75" hidden="1" customHeight="1" x14ac:dyDescent="0.25">
      <c r="A269" s="542" t="s">
        <v>6117</v>
      </c>
      <c r="B269" s="543" t="s">
        <v>6118</v>
      </c>
      <c r="C269" s="544">
        <v>1810472.392</v>
      </c>
      <c r="D269" s="544">
        <v>144.83779999999999</v>
      </c>
      <c r="E269" s="544">
        <v>33.511800000000001</v>
      </c>
      <c r="F269" s="544">
        <v>0</v>
      </c>
      <c r="G269" s="544">
        <v>144.83779999999999</v>
      </c>
      <c r="H269" s="544">
        <v>30.365400000000001</v>
      </c>
      <c r="I269" s="544">
        <v>33.497199999999999</v>
      </c>
      <c r="J269" s="544">
        <v>387.05</v>
      </c>
      <c r="K269" s="544">
        <v>211.8468</v>
      </c>
    </row>
    <row r="270" spans="1:11" ht="15.75" hidden="1" customHeight="1" x14ac:dyDescent="0.25">
      <c r="A270" s="542" t="s">
        <v>6119</v>
      </c>
      <c r="B270" s="543" t="s">
        <v>6120</v>
      </c>
      <c r="C270" s="544">
        <v>2824.1597999999999</v>
      </c>
      <c r="D270" s="544">
        <v>0.25419999999999998</v>
      </c>
      <c r="E270" s="544">
        <v>5.2299999999999999E-2</v>
      </c>
      <c r="F270" s="544">
        <v>0</v>
      </c>
      <c r="G270" s="544">
        <v>0.14119999999999999</v>
      </c>
      <c r="H270" s="544">
        <v>0</v>
      </c>
      <c r="I270" s="544">
        <v>0</v>
      </c>
      <c r="J270" s="544">
        <v>0.44769999999999999</v>
      </c>
      <c r="K270" s="544">
        <v>0.30649999999999999</v>
      </c>
    </row>
    <row r="271" spans="1:11" ht="15.75" hidden="1" customHeight="1" x14ac:dyDescent="0.25">
      <c r="A271" s="542" t="s">
        <v>6121</v>
      </c>
      <c r="B271" s="543" t="s">
        <v>6122</v>
      </c>
      <c r="C271" s="544">
        <v>139146.8285</v>
      </c>
      <c r="D271" s="544">
        <v>11.1317</v>
      </c>
      <c r="E271" s="544">
        <v>2.5756000000000001</v>
      </c>
      <c r="F271" s="544">
        <v>0</v>
      </c>
      <c r="G271" s="544">
        <v>11.1317</v>
      </c>
      <c r="H271" s="544">
        <v>24.8888</v>
      </c>
      <c r="I271" s="544">
        <v>0</v>
      </c>
      <c r="J271" s="544">
        <v>49.727800000000002</v>
      </c>
      <c r="K271" s="544">
        <v>13.7073</v>
      </c>
    </row>
    <row r="272" spans="1:11" ht="15.75" hidden="1" customHeight="1" x14ac:dyDescent="0.25">
      <c r="A272" s="542" t="s">
        <v>6123</v>
      </c>
      <c r="B272" s="543" t="s">
        <v>6124</v>
      </c>
      <c r="C272" s="544">
        <v>12367.317999999999</v>
      </c>
      <c r="D272" s="544">
        <v>2.4735</v>
      </c>
      <c r="E272" s="544">
        <v>0.28610000000000002</v>
      </c>
      <c r="F272" s="544">
        <v>0</v>
      </c>
      <c r="G272" s="544">
        <v>2.4735</v>
      </c>
      <c r="H272" s="544">
        <v>7.6714000000000002</v>
      </c>
      <c r="I272" s="544">
        <v>0</v>
      </c>
      <c r="J272" s="544">
        <v>12.904500000000001</v>
      </c>
      <c r="K272" s="544">
        <v>2.7595999999999998</v>
      </c>
    </row>
    <row r="273" spans="1:11" ht="15.75" hidden="1" customHeight="1" x14ac:dyDescent="0.25">
      <c r="A273" s="542" t="s">
        <v>6125</v>
      </c>
      <c r="B273" s="543" t="s">
        <v>6126</v>
      </c>
      <c r="C273" s="544">
        <v>784979.01379999996</v>
      </c>
      <c r="D273" s="544">
        <v>62.798299999999998</v>
      </c>
      <c r="E273" s="544">
        <v>14.53</v>
      </c>
      <c r="F273" s="544">
        <v>0</v>
      </c>
      <c r="G273" s="544">
        <v>62.798299999999998</v>
      </c>
      <c r="H273" s="544">
        <v>196.3451</v>
      </c>
      <c r="I273" s="544">
        <v>0</v>
      </c>
      <c r="J273" s="544">
        <v>336.4717</v>
      </c>
      <c r="K273" s="544">
        <v>77.328299999999999</v>
      </c>
    </row>
    <row r="274" spans="1:11" ht="15.75" hidden="1" customHeight="1" x14ac:dyDescent="0.25">
      <c r="A274" s="542" t="s">
        <v>6127</v>
      </c>
      <c r="B274" s="543" t="s">
        <v>6128</v>
      </c>
      <c r="C274" s="544">
        <v>177366.8952</v>
      </c>
      <c r="D274" s="544">
        <v>14.189399999999999</v>
      </c>
      <c r="E274" s="544">
        <v>3.2831000000000001</v>
      </c>
      <c r="F274" s="544">
        <v>0</v>
      </c>
      <c r="G274" s="544">
        <v>14.189399999999999</v>
      </c>
      <c r="H274" s="544">
        <v>33.185099999999998</v>
      </c>
      <c r="I274" s="544">
        <v>0</v>
      </c>
      <c r="J274" s="544">
        <v>64.846999999999994</v>
      </c>
      <c r="K274" s="544">
        <v>17.4725</v>
      </c>
    </row>
    <row r="275" spans="1:11" ht="15.75" hidden="1" customHeight="1" x14ac:dyDescent="0.25">
      <c r="A275" s="542" t="s">
        <v>6129</v>
      </c>
      <c r="B275" s="543" t="s">
        <v>6130</v>
      </c>
      <c r="C275" s="544">
        <v>4039894.4479999999</v>
      </c>
      <c r="D275" s="544">
        <v>188.5284</v>
      </c>
      <c r="E275" s="544">
        <v>70.624099999999999</v>
      </c>
      <c r="F275" s="544">
        <v>0</v>
      </c>
      <c r="G275" s="544">
        <v>269.3263</v>
      </c>
      <c r="H275" s="544">
        <v>50.4283</v>
      </c>
      <c r="I275" s="544">
        <v>42.84</v>
      </c>
      <c r="J275" s="544">
        <v>621.74710000000005</v>
      </c>
      <c r="K275" s="544">
        <v>301.99250000000001</v>
      </c>
    </row>
    <row r="276" spans="1:11" ht="15.75" hidden="1" customHeight="1" x14ac:dyDescent="0.25">
      <c r="A276" s="542" t="s">
        <v>6131</v>
      </c>
      <c r="B276" s="543" t="s">
        <v>6132</v>
      </c>
      <c r="C276" s="544">
        <v>893953.15839999996</v>
      </c>
      <c r="D276" s="544">
        <v>71.516300000000001</v>
      </c>
      <c r="E276" s="544">
        <v>16.5471</v>
      </c>
      <c r="F276" s="544">
        <v>0</v>
      </c>
      <c r="G276" s="544">
        <v>71.516300000000001</v>
      </c>
      <c r="H276" s="544">
        <v>305.2106</v>
      </c>
      <c r="I276" s="544">
        <v>0</v>
      </c>
      <c r="J276" s="544">
        <v>464.7903</v>
      </c>
      <c r="K276" s="544">
        <v>88.063400000000001</v>
      </c>
    </row>
    <row r="277" spans="1:11" ht="15.75" hidden="1" customHeight="1" x14ac:dyDescent="0.25">
      <c r="A277" s="542" t="s">
        <v>6133</v>
      </c>
      <c r="B277" s="543" t="s">
        <v>6134</v>
      </c>
      <c r="C277" s="544">
        <v>5884605.0939999996</v>
      </c>
      <c r="D277" s="544">
        <v>316.86340000000001</v>
      </c>
      <c r="E277" s="544">
        <v>104.7347</v>
      </c>
      <c r="F277" s="544">
        <v>0</v>
      </c>
      <c r="G277" s="544">
        <v>452.6619</v>
      </c>
      <c r="H277" s="544">
        <v>50.4283</v>
      </c>
      <c r="I277" s="544">
        <v>42.84</v>
      </c>
      <c r="J277" s="544">
        <v>967.52829999999994</v>
      </c>
      <c r="K277" s="544">
        <v>464.43810000000002</v>
      </c>
    </row>
    <row r="278" spans="1:11" ht="15.75" hidden="1" customHeight="1" x14ac:dyDescent="0.25">
      <c r="A278" s="542" t="s">
        <v>6135</v>
      </c>
      <c r="B278" s="543" t="s">
        <v>6136</v>
      </c>
      <c r="C278" s="544">
        <v>5884605.0939999996</v>
      </c>
      <c r="D278" s="544">
        <v>316.86340000000001</v>
      </c>
      <c r="E278" s="544">
        <v>104.7347</v>
      </c>
      <c r="F278" s="544">
        <v>0</v>
      </c>
      <c r="G278" s="544">
        <v>452.6619</v>
      </c>
      <c r="H278" s="544">
        <v>50.4283</v>
      </c>
      <c r="I278" s="544">
        <v>42.84</v>
      </c>
      <c r="J278" s="544">
        <v>967.52829999999994</v>
      </c>
      <c r="K278" s="544">
        <v>464.43810000000002</v>
      </c>
    </row>
    <row r="279" spans="1:11" ht="15.75" hidden="1" customHeight="1" x14ac:dyDescent="0.25">
      <c r="A279" s="542" t="s">
        <v>6137</v>
      </c>
      <c r="B279" s="543" t="s">
        <v>6138</v>
      </c>
      <c r="C279" s="544">
        <v>5867631.5060000001</v>
      </c>
      <c r="D279" s="544">
        <v>315.94940000000003</v>
      </c>
      <c r="E279" s="544">
        <v>104.43259999999999</v>
      </c>
      <c r="F279" s="544">
        <v>0</v>
      </c>
      <c r="G279" s="544">
        <v>451.35629999999998</v>
      </c>
      <c r="H279" s="544">
        <v>50.4283</v>
      </c>
      <c r="I279" s="544">
        <v>42.84</v>
      </c>
      <c r="J279" s="544">
        <v>965.00660000000005</v>
      </c>
      <c r="K279" s="544">
        <v>463.22199999999998</v>
      </c>
    </row>
    <row r="280" spans="1:11" ht="15.75" hidden="1" customHeight="1" x14ac:dyDescent="0.25">
      <c r="A280" s="542" t="s">
        <v>6139</v>
      </c>
      <c r="B280" s="543" t="s">
        <v>6140</v>
      </c>
      <c r="C280" s="544">
        <v>5867631.5060000001</v>
      </c>
      <c r="D280" s="544">
        <v>315.94940000000003</v>
      </c>
      <c r="E280" s="544">
        <v>104.43259999999999</v>
      </c>
      <c r="F280" s="544">
        <v>0</v>
      </c>
      <c r="G280" s="544">
        <v>451.35629999999998</v>
      </c>
      <c r="H280" s="544">
        <v>50.4283</v>
      </c>
      <c r="I280" s="544">
        <v>42.84</v>
      </c>
      <c r="J280" s="544">
        <v>965.00660000000005</v>
      </c>
      <c r="K280" s="544">
        <v>463.22199999999998</v>
      </c>
    </row>
    <row r="281" spans="1:11" ht="15.75" hidden="1" customHeight="1" x14ac:dyDescent="0.25">
      <c r="A281" s="542" t="s">
        <v>6141</v>
      </c>
      <c r="B281" s="543" t="s">
        <v>6142</v>
      </c>
      <c r="C281" s="544">
        <v>3713626.4950000001</v>
      </c>
      <c r="D281" s="544">
        <v>144.4188</v>
      </c>
      <c r="E281" s="544">
        <v>63.647399999999998</v>
      </c>
      <c r="F281" s="544">
        <v>0</v>
      </c>
      <c r="G281" s="544">
        <v>206.3126</v>
      </c>
      <c r="H281" s="544">
        <v>50.4283</v>
      </c>
      <c r="I281" s="544">
        <v>42.84</v>
      </c>
      <c r="J281" s="544">
        <v>507.64710000000002</v>
      </c>
      <c r="K281" s="544">
        <v>250.90620000000001</v>
      </c>
    </row>
    <row r="282" spans="1:11" ht="15.75" hidden="1" customHeight="1" x14ac:dyDescent="0.25">
      <c r="A282" s="542" t="s">
        <v>6143</v>
      </c>
      <c r="B282" s="543" t="s">
        <v>6144</v>
      </c>
      <c r="C282" s="544">
        <v>164256.62609999999</v>
      </c>
      <c r="D282" s="544">
        <v>13.140499999999999</v>
      </c>
      <c r="E282" s="544">
        <v>3.0404</v>
      </c>
      <c r="F282" s="544">
        <v>0</v>
      </c>
      <c r="G282" s="544">
        <v>13.140499999999999</v>
      </c>
      <c r="H282" s="544">
        <v>33.185099999999998</v>
      </c>
      <c r="I282" s="544">
        <v>0</v>
      </c>
      <c r="J282" s="544">
        <v>62.506500000000003</v>
      </c>
      <c r="K282" s="544">
        <v>16.180900000000001</v>
      </c>
    </row>
    <row r="283" spans="1:11" ht="15.75" hidden="1" customHeight="1" x14ac:dyDescent="0.25">
      <c r="A283" s="542" t="s">
        <v>6145</v>
      </c>
      <c r="B283" s="543" t="s">
        <v>6146</v>
      </c>
      <c r="C283" s="544">
        <v>2952.6666</v>
      </c>
      <c r="D283" s="544">
        <v>0.39369999999999999</v>
      </c>
      <c r="E283" s="544">
        <v>6.0699999999999997E-2</v>
      </c>
      <c r="F283" s="544">
        <v>0</v>
      </c>
      <c r="G283" s="544">
        <v>0.39369999999999999</v>
      </c>
      <c r="H283" s="544">
        <v>0</v>
      </c>
      <c r="I283" s="544">
        <v>0</v>
      </c>
      <c r="J283" s="544">
        <v>0.84809999999999997</v>
      </c>
      <c r="K283" s="544">
        <v>0.45440000000000003</v>
      </c>
    </row>
    <row r="284" spans="1:11" ht="15.75" hidden="1" customHeight="1" x14ac:dyDescent="0.25">
      <c r="A284" s="542" t="s">
        <v>6147</v>
      </c>
      <c r="B284" s="543" t="s">
        <v>6148</v>
      </c>
      <c r="C284" s="544">
        <v>6416056.7230000002</v>
      </c>
      <c r="D284" s="544">
        <v>224.56200000000001</v>
      </c>
      <c r="E284" s="544">
        <v>108.8644</v>
      </c>
      <c r="F284" s="544">
        <v>0</v>
      </c>
      <c r="G284" s="544">
        <v>320.80279999999999</v>
      </c>
      <c r="H284" s="544">
        <v>57.477400000000003</v>
      </c>
      <c r="I284" s="544">
        <v>42.84</v>
      </c>
      <c r="J284" s="544">
        <v>754.54660000000001</v>
      </c>
      <c r="K284" s="544">
        <v>376.26639999999998</v>
      </c>
    </row>
    <row r="285" spans="1:11" ht="15.75" hidden="1" customHeight="1" x14ac:dyDescent="0.25">
      <c r="A285" s="542" t="s">
        <v>6149</v>
      </c>
      <c r="B285" s="543" t="s">
        <v>6150</v>
      </c>
      <c r="C285" s="544">
        <v>13476.439899999999</v>
      </c>
      <c r="D285" s="544">
        <v>1.7968999999999999</v>
      </c>
      <c r="E285" s="544">
        <v>0.2772</v>
      </c>
      <c r="F285" s="544">
        <v>0</v>
      </c>
      <c r="G285" s="544">
        <v>1.3475999999999999</v>
      </c>
      <c r="H285" s="544">
        <v>0</v>
      </c>
      <c r="I285" s="544">
        <v>0</v>
      </c>
      <c r="J285" s="544">
        <v>3.4217</v>
      </c>
      <c r="K285" s="544">
        <v>2.0741000000000001</v>
      </c>
    </row>
    <row r="286" spans="1:11" ht="15.75" hidden="1" customHeight="1" x14ac:dyDescent="0.25">
      <c r="A286" s="542" t="s">
        <v>6151</v>
      </c>
      <c r="B286" s="543" t="s">
        <v>6152</v>
      </c>
      <c r="C286" s="544">
        <v>540766.76839999994</v>
      </c>
      <c r="D286" s="544">
        <v>43.261299999999999</v>
      </c>
      <c r="E286" s="544">
        <v>10.009600000000001</v>
      </c>
      <c r="F286" s="544">
        <v>0</v>
      </c>
      <c r="G286" s="544">
        <v>43.261299999999999</v>
      </c>
      <c r="H286" s="544">
        <v>145.7655</v>
      </c>
      <c r="I286" s="544">
        <v>0</v>
      </c>
      <c r="J286" s="544">
        <v>242.29769999999999</v>
      </c>
      <c r="K286" s="544">
        <v>53.270899999999997</v>
      </c>
    </row>
    <row r="287" spans="1:11" ht="15.75" hidden="1" customHeight="1" x14ac:dyDescent="0.25">
      <c r="A287" s="542" t="s">
        <v>6153</v>
      </c>
      <c r="B287" s="543" t="s">
        <v>6154</v>
      </c>
      <c r="C287" s="544">
        <v>2096410.9</v>
      </c>
      <c r="D287" s="544">
        <v>95.97</v>
      </c>
      <c r="E287" s="544">
        <v>35.626800000000003</v>
      </c>
      <c r="F287" s="544">
        <v>0</v>
      </c>
      <c r="G287" s="544">
        <v>106.63330000000001</v>
      </c>
      <c r="H287" s="544">
        <v>0</v>
      </c>
      <c r="I287" s="544">
        <v>67.141000000000005</v>
      </c>
      <c r="J287" s="544">
        <v>305.37110000000001</v>
      </c>
      <c r="K287" s="544">
        <v>198.73779999999999</v>
      </c>
    </row>
    <row r="288" spans="1:11" ht="15.75" hidden="1" customHeight="1" x14ac:dyDescent="0.25">
      <c r="A288" s="542" t="s">
        <v>6155</v>
      </c>
      <c r="B288" s="543" t="s">
        <v>6156</v>
      </c>
      <c r="C288" s="544">
        <v>430427.89980000001</v>
      </c>
      <c r="D288" s="544">
        <v>19.7042</v>
      </c>
      <c r="E288" s="544">
        <v>7.3148</v>
      </c>
      <c r="F288" s="544">
        <v>0</v>
      </c>
      <c r="G288" s="544">
        <v>21.893599999999999</v>
      </c>
      <c r="H288" s="544">
        <v>0</v>
      </c>
      <c r="I288" s="544">
        <v>67.141000000000005</v>
      </c>
      <c r="J288" s="544">
        <v>116.0536</v>
      </c>
      <c r="K288" s="544">
        <v>94.16</v>
      </c>
    </row>
    <row r="289" spans="1:11" ht="15.75" hidden="1" customHeight="1" x14ac:dyDescent="0.25">
      <c r="A289" s="542" t="s">
        <v>6157</v>
      </c>
      <c r="B289" s="543" t="s">
        <v>6158</v>
      </c>
      <c r="C289" s="544">
        <v>7627.0410000000002</v>
      </c>
      <c r="D289" s="544">
        <v>1.0168999999999999</v>
      </c>
      <c r="E289" s="544">
        <v>0.15690000000000001</v>
      </c>
      <c r="F289" s="544">
        <v>0</v>
      </c>
      <c r="G289" s="544">
        <v>1.0168999999999999</v>
      </c>
      <c r="H289" s="544">
        <v>0</v>
      </c>
      <c r="I289" s="544">
        <v>0</v>
      </c>
      <c r="J289" s="544">
        <v>2.1907000000000001</v>
      </c>
      <c r="K289" s="544">
        <v>1.1738</v>
      </c>
    </row>
    <row r="290" spans="1:11" ht="15.75" hidden="1" customHeight="1" x14ac:dyDescent="0.25">
      <c r="A290" s="542" t="s">
        <v>6159</v>
      </c>
      <c r="B290" s="543" t="s">
        <v>6160</v>
      </c>
      <c r="C290" s="544">
        <v>626094.98739999998</v>
      </c>
      <c r="D290" s="544">
        <v>7.1668000000000003</v>
      </c>
      <c r="E290" s="544">
        <v>3.5990000000000002</v>
      </c>
      <c r="F290" s="544">
        <v>0</v>
      </c>
      <c r="G290" s="544">
        <v>7.9631999999999996</v>
      </c>
      <c r="H290" s="544">
        <v>192.45240000000001</v>
      </c>
      <c r="I290" s="544">
        <v>38.4</v>
      </c>
      <c r="J290" s="544">
        <v>249.5814</v>
      </c>
      <c r="K290" s="544">
        <v>49.165799999999997</v>
      </c>
    </row>
    <row r="291" spans="1:11" ht="15.75" hidden="1" customHeight="1" x14ac:dyDescent="0.25">
      <c r="A291" s="542" t="s">
        <v>6161</v>
      </c>
      <c r="B291" s="543" t="s">
        <v>6162</v>
      </c>
      <c r="C291" s="544">
        <v>19301.700099999998</v>
      </c>
      <c r="D291" s="544">
        <v>2.5735999999999999</v>
      </c>
      <c r="E291" s="544">
        <v>0.39700000000000002</v>
      </c>
      <c r="F291" s="544">
        <v>0</v>
      </c>
      <c r="G291" s="544">
        <v>2.5735999999999999</v>
      </c>
      <c r="H291" s="544">
        <v>0</v>
      </c>
      <c r="I291" s="544">
        <v>23.799499999999998</v>
      </c>
      <c r="J291" s="544">
        <v>29.343699999999998</v>
      </c>
      <c r="K291" s="544">
        <v>26.770099999999999</v>
      </c>
    </row>
    <row r="292" spans="1:11" ht="15.75" hidden="1" customHeight="1" x14ac:dyDescent="0.25">
      <c r="A292" s="542" t="s">
        <v>6163</v>
      </c>
      <c r="B292" s="543" t="s">
        <v>6164</v>
      </c>
      <c r="C292" s="544">
        <v>6731551.0360000003</v>
      </c>
      <c r="D292" s="544">
        <v>785.34760000000006</v>
      </c>
      <c r="E292" s="544">
        <v>138.44560000000001</v>
      </c>
      <c r="F292" s="544">
        <v>0</v>
      </c>
      <c r="G292" s="544">
        <v>1121.9251999999999</v>
      </c>
      <c r="H292" s="544">
        <v>444.09460000000001</v>
      </c>
      <c r="I292" s="544">
        <v>42.84</v>
      </c>
      <c r="J292" s="544">
        <v>2532.6529999999998</v>
      </c>
      <c r="K292" s="544">
        <v>966.63319999999999</v>
      </c>
    </row>
    <row r="293" spans="1:11" ht="15.75" hidden="1" customHeight="1" x14ac:dyDescent="0.25">
      <c r="A293" s="542" t="s">
        <v>6165</v>
      </c>
      <c r="B293" s="543" t="s">
        <v>6166</v>
      </c>
      <c r="C293" s="544">
        <v>921230.57250000001</v>
      </c>
      <c r="D293" s="544">
        <v>92.123099999999994</v>
      </c>
      <c r="E293" s="544">
        <v>17.762499999999999</v>
      </c>
      <c r="F293" s="544">
        <v>0</v>
      </c>
      <c r="G293" s="544">
        <v>92.123099999999994</v>
      </c>
      <c r="H293" s="544">
        <v>120.0519</v>
      </c>
      <c r="I293" s="544">
        <v>33.497199999999999</v>
      </c>
      <c r="J293" s="544">
        <v>355.55779999999999</v>
      </c>
      <c r="K293" s="544">
        <v>143.3828</v>
      </c>
    </row>
    <row r="294" spans="1:11" ht="15.75" hidden="1" customHeight="1" x14ac:dyDescent="0.25">
      <c r="A294" s="542" t="s">
        <v>6167</v>
      </c>
      <c r="B294" s="543" t="s">
        <v>6168</v>
      </c>
      <c r="C294" s="544">
        <v>309404.58539999998</v>
      </c>
      <c r="D294" s="544">
        <v>30.9405</v>
      </c>
      <c r="E294" s="544">
        <v>5.9657</v>
      </c>
      <c r="F294" s="544">
        <v>0</v>
      </c>
      <c r="G294" s="544">
        <v>30.9405</v>
      </c>
      <c r="H294" s="544">
        <v>26.352900000000002</v>
      </c>
      <c r="I294" s="544">
        <v>33.497199999999999</v>
      </c>
      <c r="J294" s="544">
        <v>127.6968</v>
      </c>
      <c r="K294" s="544">
        <v>70.403400000000005</v>
      </c>
    </row>
    <row r="295" spans="1:11" ht="15.75" hidden="1" customHeight="1" x14ac:dyDescent="0.25">
      <c r="A295" s="542" t="s">
        <v>6169</v>
      </c>
      <c r="B295" s="543" t="s">
        <v>6170</v>
      </c>
      <c r="C295" s="544">
        <v>5041.2062999999998</v>
      </c>
      <c r="D295" s="544">
        <v>0.67220000000000002</v>
      </c>
      <c r="E295" s="544">
        <v>0.1037</v>
      </c>
      <c r="F295" s="544">
        <v>0</v>
      </c>
      <c r="G295" s="544">
        <v>0.67220000000000002</v>
      </c>
      <c r="H295" s="544">
        <v>0</v>
      </c>
      <c r="I295" s="544">
        <v>0</v>
      </c>
      <c r="J295" s="544">
        <v>1.4480999999999999</v>
      </c>
      <c r="K295" s="544">
        <v>0.77590000000000003</v>
      </c>
    </row>
    <row r="296" spans="1:11" ht="15.75" hidden="1" customHeight="1" x14ac:dyDescent="0.25">
      <c r="A296" s="542" t="s">
        <v>6171</v>
      </c>
      <c r="B296" s="543" t="s">
        <v>6172</v>
      </c>
      <c r="C296" s="544">
        <v>275532.24780000001</v>
      </c>
      <c r="D296" s="544">
        <v>16.5319</v>
      </c>
      <c r="E296" s="544">
        <v>5.1001000000000003</v>
      </c>
      <c r="F296" s="544">
        <v>2.0665</v>
      </c>
      <c r="G296" s="544">
        <v>16.5319</v>
      </c>
      <c r="H296" s="544">
        <v>39.854599999999998</v>
      </c>
      <c r="I296" s="544">
        <v>26.467300000000002</v>
      </c>
      <c r="J296" s="544">
        <v>106.5523</v>
      </c>
      <c r="K296" s="544">
        <v>50.165799999999997</v>
      </c>
    </row>
    <row r="297" spans="1:11" ht="15.75" hidden="1" customHeight="1" x14ac:dyDescent="0.25">
      <c r="A297" s="542" t="s">
        <v>6173</v>
      </c>
      <c r="B297" s="543" t="s">
        <v>6174</v>
      </c>
      <c r="C297" s="544">
        <v>783464.91810000001</v>
      </c>
      <c r="D297" s="544">
        <v>62.677199999999999</v>
      </c>
      <c r="E297" s="544">
        <v>14.501899999999999</v>
      </c>
      <c r="F297" s="544">
        <v>0</v>
      </c>
      <c r="G297" s="544">
        <v>62.677199999999999</v>
      </c>
      <c r="H297" s="544">
        <v>71.141900000000007</v>
      </c>
      <c r="I297" s="544">
        <v>33.497199999999999</v>
      </c>
      <c r="J297" s="544">
        <v>244.49539999999999</v>
      </c>
      <c r="K297" s="544">
        <v>110.6763</v>
      </c>
    </row>
    <row r="298" spans="1:11" ht="15.75" hidden="1" customHeight="1" x14ac:dyDescent="0.25">
      <c r="A298" s="542" t="s">
        <v>6175</v>
      </c>
      <c r="B298" s="543" t="s">
        <v>6176</v>
      </c>
      <c r="C298" s="544">
        <v>9056376.1909999996</v>
      </c>
      <c r="D298" s="544">
        <v>792.43290000000002</v>
      </c>
      <c r="E298" s="544">
        <v>174.6183</v>
      </c>
      <c r="F298" s="544">
        <v>0</v>
      </c>
      <c r="G298" s="544">
        <v>1018.8423</v>
      </c>
      <c r="H298" s="544">
        <v>0</v>
      </c>
      <c r="I298" s="544">
        <v>42.84</v>
      </c>
      <c r="J298" s="544">
        <v>2028.7335</v>
      </c>
      <c r="K298" s="544">
        <v>1009.8912</v>
      </c>
    </row>
    <row r="299" spans="1:11" ht="15.75" hidden="1" customHeight="1" x14ac:dyDescent="0.25">
      <c r="A299" s="542" t="s">
        <v>6177</v>
      </c>
      <c r="B299" s="543" t="s">
        <v>6178</v>
      </c>
      <c r="C299" s="544">
        <v>394839.24229999998</v>
      </c>
      <c r="D299" s="544">
        <v>35.096800000000002</v>
      </c>
      <c r="E299" s="544">
        <v>7.4438000000000004</v>
      </c>
      <c r="F299" s="544">
        <v>0</v>
      </c>
      <c r="G299" s="544">
        <v>21.935500000000001</v>
      </c>
      <c r="H299" s="544">
        <v>0</v>
      </c>
      <c r="I299" s="544">
        <v>23.799499999999998</v>
      </c>
      <c r="J299" s="544">
        <v>88.275599999999997</v>
      </c>
      <c r="K299" s="544">
        <v>66.340100000000007</v>
      </c>
    </row>
    <row r="300" spans="1:11" ht="15.75" hidden="1" customHeight="1" x14ac:dyDescent="0.25">
      <c r="A300" s="542" t="s">
        <v>6179</v>
      </c>
      <c r="B300" s="543" t="s">
        <v>6180</v>
      </c>
      <c r="C300" s="544">
        <v>119141.16710000001</v>
      </c>
      <c r="D300" s="544">
        <v>17.871200000000002</v>
      </c>
      <c r="E300" s="544">
        <v>2.4502999999999999</v>
      </c>
      <c r="F300" s="544">
        <v>0</v>
      </c>
      <c r="G300" s="544">
        <v>5.9570999999999996</v>
      </c>
      <c r="H300" s="544">
        <v>0</v>
      </c>
      <c r="I300" s="544">
        <v>23.799499999999998</v>
      </c>
      <c r="J300" s="544">
        <v>50.078099999999999</v>
      </c>
      <c r="K300" s="544">
        <v>44.121000000000002</v>
      </c>
    </row>
    <row r="301" spans="1:11" ht="15.75" hidden="1" customHeight="1" x14ac:dyDescent="0.25">
      <c r="A301" s="542" t="s">
        <v>6181</v>
      </c>
      <c r="B301" s="543" t="s">
        <v>6182</v>
      </c>
      <c r="C301" s="544">
        <v>34301.819499999998</v>
      </c>
      <c r="D301" s="544">
        <v>5.4882999999999997</v>
      </c>
      <c r="E301" s="544">
        <v>0.74070000000000003</v>
      </c>
      <c r="F301" s="544">
        <v>0</v>
      </c>
      <c r="G301" s="544">
        <v>4.8022999999999998</v>
      </c>
      <c r="H301" s="544">
        <v>0</v>
      </c>
      <c r="I301" s="544">
        <v>23.799499999999998</v>
      </c>
      <c r="J301" s="544">
        <v>34.830800000000004</v>
      </c>
      <c r="K301" s="544">
        <v>30.028500000000001</v>
      </c>
    </row>
    <row r="302" spans="1:11" ht="15.75" hidden="1" customHeight="1" x14ac:dyDescent="0.25">
      <c r="A302" s="542" t="s">
        <v>6183</v>
      </c>
      <c r="B302" s="543" t="s">
        <v>6184</v>
      </c>
      <c r="C302" s="544">
        <v>420579.07089999999</v>
      </c>
      <c r="D302" s="544">
        <v>36.800699999999999</v>
      </c>
      <c r="E302" s="544">
        <v>8.1092999999999993</v>
      </c>
      <c r="F302" s="544">
        <v>0</v>
      </c>
      <c r="G302" s="544">
        <v>36.800699999999999</v>
      </c>
      <c r="H302" s="544">
        <v>61.6798</v>
      </c>
      <c r="I302" s="544">
        <v>33.497199999999999</v>
      </c>
      <c r="J302" s="544">
        <v>176.8877</v>
      </c>
      <c r="K302" s="544">
        <v>78.407200000000003</v>
      </c>
    </row>
    <row r="303" spans="1:11" ht="15.75" customHeight="1" x14ac:dyDescent="0.25">
      <c r="A303" s="542" t="s">
        <v>6185</v>
      </c>
      <c r="B303" s="543" t="s">
        <v>6186</v>
      </c>
      <c r="C303" s="544">
        <v>420019.92700000003</v>
      </c>
      <c r="D303" s="544">
        <v>47.252200000000002</v>
      </c>
      <c r="E303" s="544">
        <v>8.0984999999999996</v>
      </c>
      <c r="F303" s="544">
        <v>0</v>
      </c>
      <c r="G303" s="544">
        <v>52.502499999999998</v>
      </c>
      <c r="H303" s="544">
        <v>78.847099999999998</v>
      </c>
      <c r="I303" s="544">
        <v>23.799499999999998</v>
      </c>
      <c r="J303" s="544">
        <v>210.49979999999999</v>
      </c>
      <c r="K303" s="544">
        <v>79.150199999999998</v>
      </c>
    </row>
    <row r="304" spans="1:11" ht="15.75" hidden="1" customHeight="1" x14ac:dyDescent="0.25">
      <c r="A304" s="542" t="s">
        <v>6187</v>
      </c>
      <c r="B304" s="543" t="s">
        <v>6188</v>
      </c>
      <c r="C304" s="544">
        <v>3578495.2990000001</v>
      </c>
      <c r="D304" s="544">
        <v>417.49110000000002</v>
      </c>
      <c r="E304" s="544">
        <v>73.597700000000003</v>
      </c>
      <c r="F304" s="544">
        <v>0</v>
      </c>
      <c r="G304" s="544">
        <v>596.41589999999997</v>
      </c>
      <c r="H304" s="544">
        <v>151.285</v>
      </c>
      <c r="I304" s="544">
        <v>42.84</v>
      </c>
      <c r="J304" s="544">
        <v>1281.6297</v>
      </c>
      <c r="K304" s="544">
        <v>533.92880000000002</v>
      </c>
    </row>
    <row r="305" spans="1:11" ht="15.75" hidden="1" customHeight="1" x14ac:dyDescent="0.25">
      <c r="A305" s="542" t="s">
        <v>6189</v>
      </c>
      <c r="B305" s="543" t="s">
        <v>6190</v>
      </c>
      <c r="C305" s="544">
        <v>28867.224699999999</v>
      </c>
      <c r="D305" s="544">
        <v>2.5981000000000001</v>
      </c>
      <c r="E305" s="544">
        <v>0.5343</v>
      </c>
      <c r="F305" s="544">
        <v>0</v>
      </c>
      <c r="G305" s="544">
        <v>2.5981000000000001</v>
      </c>
      <c r="H305" s="544">
        <v>0</v>
      </c>
      <c r="I305" s="544">
        <v>23.799499999999998</v>
      </c>
      <c r="J305" s="544">
        <v>29.53</v>
      </c>
      <c r="K305" s="544">
        <v>26.931899999999999</v>
      </c>
    </row>
    <row r="306" spans="1:11" ht="15.75" hidden="1" customHeight="1" x14ac:dyDescent="0.25">
      <c r="A306" s="542" t="s">
        <v>6191</v>
      </c>
      <c r="B306" s="543" t="s">
        <v>6192</v>
      </c>
      <c r="C306" s="544">
        <v>14182.1266</v>
      </c>
      <c r="D306" s="544">
        <v>1.891</v>
      </c>
      <c r="E306" s="544">
        <v>0.29170000000000001</v>
      </c>
      <c r="F306" s="544">
        <v>0</v>
      </c>
      <c r="G306" s="544">
        <v>1.4181999999999999</v>
      </c>
      <c r="H306" s="544">
        <v>0</v>
      </c>
      <c r="I306" s="544">
        <v>0</v>
      </c>
      <c r="J306" s="544">
        <v>3.6009000000000002</v>
      </c>
      <c r="K306" s="544">
        <v>2.1827000000000001</v>
      </c>
    </row>
    <row r="307" spans="1:11" ht="15.75" hidden="1" customHeight="1" x14ac:dyDescent="0.25">
      <c r="A307" s="542" t="s">
        <v>6193</v>
      </c>
      <c r="B307" s="543" t="s">
        <v>6194</v>
      </c>
      <c r="C307" s="544">
        <v>225729.55040000001</v>
      </c>
      <c r="D307" s="544">
        <v>9.6740999999999993</v>
      </c>
      <c r="E307" s="544">
        <v>3.8134999999999999</v>
      </c>
      <c r="F307" s="544">
        <v>0</v>
      </c>
      <c r="G307" s="544">
        <v>16.1235</v>
      </c>
      <c r="H307" s="544">
        <v>0</v>
      </c>
      <c r="I307" s="544">
        <v>27.0627</v>
      </c>
      <c r="J307" s="544">
        <v>56.6738</v>
      </c>
      <c r="K307" s="544">
        <v>40.5503</v>
      </c>
    </row>
    <row r="308" spans="1:11" ht="15.75" hidden="1" customHeight="1" x14ac:dyDescent="0.25">
      <c r="A308" s="542" t="s">
        <v>6195</v>
      </c>
      <c r="B308" s="543" t="s">
        <v>6196</v>
      </c>
      <c r="C308" s="544">
        <v>17692.139500000001</v>
      </c>
      <c r="D308" s="544">
        <v>2.8307000000000002</v>
      </c>
      <c r="E308" s="544">
        <v>0.3821</v>
      </c>
      <c r="F308" s="544">
        <v>0</v>
      </c>
      <c r="G308" s="544">
        <v>2.4769000000000001</v>
      </c>
      <c r="H308" s="544">
        <v>0</v>
      </c>
      <c r="I308" s="544">
        <v>23.799499999999998</v>
      </c>
      <c r="J308" s="544">
        <v>29.4892</v>
      </c>
      <c r="K308" s="544">
        <v>27.0123</v>
      </c>
    </row>
    <row r="309" spans="1:11" ht="15.75" hidden="1" customHeight="1" x14ac:dyDescent="0.25">
      <c r="A309" s="542" t="s">
        <v>6197</v>
      </c>
      <c r="B309" s="543" t="s">
        <v>6198</v>
      </c>
      <c r="C309" s="544">
        <v>21332.755799999999</v>
      </c>
      <c r="D309" s="544">
        <v>2.8443999999999998</v>
      </c>
      <c r="E309" s="544">
        <v>0.43869999999999998</v>
      </c>
      <c r="F309" s="544">
        <v>0</v>
      </c>
      <c r="G309" s="544">
        <v>2.8443999999999998</v>
      </c>
      <c r="H309" s="544">
        <v>0</v>
      </c>
      <c r="I309" s="544">
        <v>23.799499999999998</v>
      </c>
      <c r="J309" s="544">
        <v>29.927</v>
      </c>
      <c r="K309" s="544">
        <v>27.082599999999999</v>
      </c>
    </row>
    <row r="310" spans="1:11" ht="15.75" hidden="1" customHeight="1" x14ac:dyDescent="0.25">
      <c r="A310" s="542" t="s">
        <v>6199</v>
      </c>
      <c r="B310" s="543" t="s">
        <v>6200</v>
      </c>
      <c r="C310" s="544">
        <v>14149.6191</v>
      </c>
      <c r="D310" s="544">
        <v>1.1319999999999999</v>
      </c>
      <c r="E310" s="544">
        <v>0.26190000000000002</v>
      </c>
      <c r="F310" s="544">
        <v>0</v>
      </c>
      <c r="G310" s="544">
        <v>1.1319999999999999</v>
      </c>
      <c r="H310" s="544">
        <v>0</v>
      </c>
      <c r="I310" s="544">
        <v>23.799499999999998</v>
      </c>
      <c r="J310" s="544">
        <v>26.325399999999998</v>
      </c>
      <c r="K310" s="544">
        <v>25.1934</v>
      </c>
    </row>
    <row r="311" spans="1:11" ht="15.75" hidden="1" customHeight="1" x14ac:dyDescent="0.25">
      <c r="A311" s="542" t="s">
        <v>6201</v>
      </c>
      <c r="B311" s="543" t="s">
        <v>6202</v>
      </c>
      <c r="C311" s="544">
        <v>49622.0867</v>
      </c>
      <c r="D311" s="544">
        <v>4.9622000000000002</v>
      </c>
      <c r="E311" s="544">
        <v>0.95679999999999998</v>
      </c>
      <c r="F311" s="544">
        <v>0</v>
      </c>
      <c r="G311" s="544">
        <v>4.3418999999999999</v>
      </c>
      <c r="H311" s="544">
        <v>8.1335999999999995</v>
      </c>
      <c r="I311" s="544">
        <v>23.799499999999998</v>
      </c>
      <c r="J311" s="544">
        <v>42.194000000000003</v>
      </c>
      <c r="K311" s="544">
        <v>29.718499999999999</v>
      </c>
    </row>
    <row r="312" spans="1:11" ht="15.75" hidden="1" customHeight="1" x14ac:dyDescent="0.25">
      <c r="A312" s="542" t="s">
        <v>6203</v>
      </c>
      <c r="B312" s="543" t="s">
        <v>6204</v>
      </c>
      <c r="C312" s="544">
        <v>37052710.630000003</v>
      </c>
      <c r="D312" s="544">
        <v>1482.1084000000001</v>
      </c>
      <c r="E312" s="544">
        <v>628.69190000000003</v>
      </c>
      <c r="F312" s="544">
        <v>0</v>
      </c>
      <c r="G312" s="544">
        <v>1482.1084000000001</v>
      </c>
      <c r="H312" s="544">
        <v>164.6241</v>
      </c>
      <c r="I312" s="544">
        <v>85.68</v>
      </c>
      <c r="J312" s="544">
        <v>3843.2127999999998</v>
      </c>
      <c r="K312" s="544">
        <v>2196.4803000000002</v>
      </c>
    </row>
    <row r="313" spans="1:11" ht="15.75" hidden="1" customHeight="1" x14ac:dyDescent="0.25">
      <c r="A313" s="542" t="s">
        <v>6205</v>
      </c>
      <c r="B313" s="543" t="s">
        <v>6206</v>
      </c>
      <c r="C313" s="544">
        <v>16236123.1</v>
      </c>
      <c r="D313" s="544">
        <v>649.44489999999996</v>
      </c>
      <c r="E313" s="544">
        <v>275.4864</v>
      </c>
      <c r="F313" s="544">
        <v>0</v>
      </c>
      <c r="G313" s="544">
        <v>649.44489999999996</v>
      </c>
      <c r="H313" s="544">
        <v>195.2064</v>
      </c>
      <c r="I313" s="544">
        <v>85.68</v>
      </c>
      <c r="J313" s="544">
        <v>1855.2626</v>
      </c>
      <c r="K313" s="544">
        <v>1010.6113</v>
      </c>
    </row>
    <row r="314" spans="1:11" ht="15.75" hidden="1" customHeight="1" x14ac:dyDescent="0.25">
      <c r="A314" s="542" t="s">
        <v>6207</v>
      </c>
      <c r="B314" s="543" t="s">
        <v>6208</v>
      </c>
      <c r="C314" s="544">
        <v>3399250.9240000001</v>
      </c>
      <c r="D314" s="544">
        <v>453.23349999999999</v>
      </c>
      <c r="E314" s="544">
        <v>69.911299999999997</v>
      </c>
      <c r="F314" s="544">
        <v>0</v>
      </c>
      <c r="G314" s="544">
        <v>339.92509999999999</v>
      </c>
      <c r="H314" s="544">
        <v>317.21039999999999</v>
      </c>
      <c r="I314" s="544">
        <v>33.497199999999999</v>
      </c>
      <c r="J314" s="544">
        <v>1213.7774999999999</v>
      </c>
      <c r="K314" s="544">
        <v>556.64200000000005</v>
      </c>
    </row>
    <row r="315" spans="1:11" ht="15.75" hidden="1" customHeight="1" x14ac:dyDescent="0.25">
      <c r="A315" s="542" t="s">
        <v>6209</v>
      </c>
      <c r="B315" s="543" t="s">
        <v>6210</v>
      </c>
      <c r="C315" s="544">
        <v>15922.3598</v>
      </c>
      <c r="D315" s="544">
        <v>0.90980000000000005</v>
      </c>
      <c r="E315" s="544">
        <v>0.28070000000000001</v>
      </c>
      <c r="F315" s="544">
        <v>0</v>
      </c>
      <c r="G315" s="544">
        <v>0.90980000000000005</v>
      </c>
      <c r="H315" s="544">
        <v>0</v>
      </c>
      <c r="I315" s="544">
        <v>42.84</v>
      </c>
      <c r="J315" s="544">
        <v>44.940300000000001</v>
      </c>
      <c r="K315" s="544">
        <v>44.030500000000004</v>
      </c>
    </row>
    <row r="316" spans="1:11" ht="15.75" hidden="1" customHeight="1" x14ac:dyDescent="0.25">
      <c r="A316" s="542" t="s">
        <v>6211</v>
      </c>
      <c r="B316" s="543" t="s">
        <v>6212</v>
      </c>
      <c r="C316" s="544">
        <v>1104.3204000000001</v>
      </c>
      <c r="D316" s="544">
        <v>9.9400000000000002E-2</v>
      </c>
      <c r="E316" s="544">
        <v>2.0400000000000001E-2</v>
      </c>
      <c r="F316" s="544">
        <v>0</v>
      </c>
      <c r="G316" s="544">
        <v>5.5199999999999999E-2</v>
      </c>
      <c r="H316" s="544">
        <v>0</v>
      </c>
      <c r="I316" s="544">
        <v>0</v>
      </c>
      <c r="J316" s="544">
        <v>0.17499999999999999</v>
      </c>
      <c r="K316" s="544">
        <v>0.1198</v>
      </c>
    </row>
    <row r="317" spans="1:11" ht="15.75" hidden="1" customHeight="1" x14ac:dyDescent="0.25">
      <c r="A317" s="542" t="s">
        <v>6213</v>
      </c>
      <c r="B317" s="543" t="s">
        <v>6214</v>
      </c>
      <c r="C317" s="544">
        <v>10089483.885</v>
      </c>
      <c r="D317" s="544">
        <v>403.57940000000002</v>
      </c>
      <c r="E317" s="544">
        <v>171.19329999999999</v>
      </c>
      <c r="F317" s="544">
        <v>0</v>
      </c>
      <c r="G317" s="544">
        <v>302.68450000000001</v>
      </c>
      <c r="H317" s="544">
        <v>57.911200000000001</v>
      </c>
      <c r="I317" s="544">
        <v>85.68</v>
      </c>
      <c r="J317" s="544">
        <v>1021.0484</v>
      </c>
      <c r="K317" s="544">
        <v>660.45270000000005</v>
      </c>
    </row>
    <row r="318" spans="1:11" ht="15.75" hidden="1" customHeight="1" x14ac:dyDescent="0.25">
      <c r="A318" s="542" t="s">
        <v>6215</v>
      </c>
      <c r="B318" s="543" t="s">
        <v>6216</v>
      </c>
      <c r="C318" s="544">
        <v>8445.26</v>
      </c>
      <c r="D318" s="544">
        <v>0.75070000000000003</v>
      </c>
      <c r="E318" s="544">
        <v>0.15920000000000001</v>
      </c>
      <c r="F318" s="544">
        <v>0</v>
      </c>
      <c r="G318" s="544">
        <v>0.46920000000000001</v>
      </c>
      <c r="H318" s="544">
        <v>0</v>
      </c>
      <c r="I318" s="544">
        <v>0</v>
      </c>
      <c r="J318" s="544">
        <v>1.3791</v>
      </c>
      <c r="K318" s="544">
        <v>0.90990000000000004</v>
      </c>
    </row>
    <row r="319" spans="1:11" ht="15.75" hidden="1" customHeight="1" x14ac:dyDescent="0.25">
      <c r="A319" s="542" t="s">
        <v>6217</v>
      </c>
      <c r="B319" s="543" t="s">
        <v>6218</v>
      </c>
      <c r="C319" s="544">
        <v>12583.8068</v>
      </c>
      <c r="D319" s="544">
        <v>0.71909999999999996</v>
      </c>
      <c r="E319" s="544">
        <v>0.2218</v>
      </c>
      <c r="F319" s="544">
        <v>0</v>
      </c>
      <c r="G319" s="544">
        <v>0.71909999999999996</v>
      </c>
      <c r="H319" s="544">
        <v>0</v>
      </c>
      <c r="I319" s="544">
        <v>42.84</v>
      </c>
      <c r="J319" s="544">
        <v>44.5</v>
      </c>
      <c r="K319" s="544">
        <v>43.780900000000003</v>
      </c>
    </row>
    <row r="320" spans="1:11" ht="15.75" hidden="1" customHeight="1" x14ac:dyDescent="0.25">
      <c r="A320" s="542" t="s">
        <v>6219</v>
      </c>
      <c r="B320" s="543" t="s">
        <v>6220</v>
      </c>
      <c r="C320" s="544">
        <v>26194.7968</v>
      </c>
      <c r="D320" s="544">
        <v>1.4967999999999999</v>
      </c>
      <c r="E320" s="544">
        <v>0.46179999999999999</v>
      </c>
      <c r="F320" s="544">
        <v>0</v>
      </c>
      <c r="G320" s="544">
        <v>1.4967999999999999</v>
      </c>
      <c r="H320" s="544">
        <v>0</v>
      </c>
      <c r="I320" s="544">
        <v>42.84</v>
      </c>
      <c r="J320" s="544">
        <v>46.295400000000001</v>
      </c>
      <c r="K320" s="544">
        <v>44.7986</v>
      </c>
    </row>
    <row r="321" spans="1:11" ht="15.75" hidden="1" customHeight="1" x14ac:dyDescent="0.25">
      <c r="A321" s="542" t="s">
        <v>6221</v>
      </c>
      <c r="B321" s="543" t="s">
        <v>6222</v>
      </c>
      <c r="C321" s="544">
        <v>41774.800799999997</v>
      </c>
      <c r="D321" s="544">
        <v>2.3871000000000002</v>
      </c>
      <c r="E321" s="544">
        <v>0.73640000000000005</v>
      </c>
      <c r="F321" s="544">
        <v>0</v>
      </c>
      <c r="G321" s="544">
        <v>2.3871000000000002</v>
      </c>
      <c r="H321" s="544">
        <v>0</v>
      </c>
      <c r="I321" s="544">
        <v>42.84</v>
      </c>
      <c r="J321" s="544">
        <v>48.3506</v>
      </c>
      <c r="K321" s="544">
        <v>45.963500000000003</v>
      </c>
    </row>
    <row r="322" spans="1:11" ht="15.75" hidden="1" customHeight="1" x14ac:dyDescent="0.25">
      <c r="A322" s="542" t="s">
        <v>6223</v>
      </c>
      <c r="B322" s="543" t="s">
        <v>6224</v>
      </c>
      <c r="C322" s="544">
        <v>49307.963199999998</v>
      </c>
      <c r="D322" s="544">
        <v>2.8176000000000001</v>
      </c>
      <c r="E322" s="544">
        <v>0.86919999999999997</v>
      </c>
      <c r="F322" s="544">
        <v>0</v>
      </c>
      <c r="G322" s="544">
        <v>2.8176000000000001</v>
      </c>
      <c r="H322" s="544">
        <v>0</v>
      </c>
      <c r="I322" s="544">
        <v>42.84</v>
      </c>
      <c r="J322" s="544">
        <v>49.3444</v>
      </c>
      <c r="K322" s="544">
        <v>46.526800000000001</v>
      </c>
    </row>
    <row r="323" spans="1:11" ht="15.75" hidden="1" customHeight="1" x14ac:dyDescent="0.25">
      <c r="A323" s="542" t="s">
        <v>6225</v>
      </c>
      <c r="B323" s="543" t="s">
        <v>6226</v>
      </c>
      <c r="C323" s="544">
        <v>52732.1158</v>
      </c>
      <c r="D323" s="544">
        <v>3.0133000000000001</v>
      </c>
      <c r="E323" s="544">
        <v>0.92959999999999998</v>
      </c>
      <c r="F323" s="544">
        <v>0</v>
      </c>
      <c r="G323" s="544">
        <v>3.0133000000000001</v>
      </c>
      <c r="H323" s="544">
        <v>0</v>
      </c>
      <c r="I323" s="544">
        <v>42.84</v>
      </c>
      <c r="J323" s="544">
        <v>49.796199999999999</v>
      </c>
      <c r="K323" s="544">
        <v>46.782899999999998</v>
      </c>
    </row>
    <row r="324" spans="1:11" ht="15.75" hidden="1" customHeight="1" x14ac:dyDescent="0.25">
      <c r="A324" s="542" t="s">
        <v>6227</v>
      </c>
      <c r="B324" s="543" t="s">
        <v>6228</v>
      </c>
      <c r="C324" s="544">
        <v>56327.498500000002</v>
      </c>
      <c r="D324" s="544">
        <v>3.2187000000000001</v>
      </c>
      <c r="E324" s="544">
        <v>0.99299999999999999</v>
      </c>
      <c r="F324" s="544">
        <v>0</v>
      </c>
      <c r="G324" s="544">
        <v>3.2187000000000001</v>
      </c>
      <c r="H324" s="544">
        <v>0</v>
      </c>
      <c r="I324" s="544">
        <v>42.84</v>
      </c>
      <c r="J324" s="544">
        <v>50.270400000000002</v>
      </c>
      <c r="K324" s="544">
        <v>47.051699999999997</v>
      </c>
    </row>
    <row r="325" spans="1:11" ht="15.75" hidden="1" customHeight="1" x14ac:dyDescent="0.25">
      <c r="A325" s="542" t="s">
        <v>6229</v>
      </c>
      <c r="B325" s="543" t="s">
        <v>6230</v>
      </c>
      <c r="C325" s="544">
        <v>129207.7424</v>
      </c>
      <c r="D325" s="544">
        <v>17.227699999999999</v>
      </c>
      <c r="E325" s="544">
        <v>2.6574</v>
      </c>
      <c r="F325" s="544">
        <v>0</v>
      </c>
      <c r="G325" s="544">
        <v>12.9208</v>
      </c>
      <c r="H325" s="544">
        <v>10.573700000000001</v>
      </c>
      <c r="I325" s="544">
        <v>33.497199999999999</v>
      </c>
      <c r="J325" s="544">
        <v>76.876800000000003</v>
      </c>
      <c r="K325" s="544">
        <v>53.382300000000001</v>
      </c>
    </row>
    <row r="326" spans="1:11" ht="15.75" hidden="1" customHeight="1" x14ac:dyDescent="0.25">
      <c r="A326" s="542" t="s">
        <v>6231</v>
      </c>
      <c r="B326" s="543" t="s">
        <v>6232</v>
      </c>
      <c r="C326" s="544">
        <v>733205.02150000003</v>
      </c>
      <c r="D326" s="544">
        <v>41.897399999999998</v>
      </c>
      <c r="E326" s="544">
        <v>12.9254</v>
      </c>
      <c r="F326" s="544">
        <v>0</v>
      </c>
      <c r="G326" s="544">
        <v>36.660299999999999</v>
      </c>
      <c r="H326" s="544">
        <v>4.8151000000000002</v>
      </c>
      <c r="I326" s="544">
        <v>0</v>
      </c>
      <c r="J326" s="544">
        <v>96.298199999999994</v>
      </c>
      <c r="K326" s="544">
        <v>54.822800000000001</v>
      </c>
    </row>
    <row r="327" spans="1:11" ht="15.75" hidden="1" customHeight="1" x14ac:dyDescent="0.25">
      <c r="A327" s="542" t="s">
        <v>6233</v>
      </c>
      <c r="B327" s="543" t="s">
        <v>6234</v>
      </c>
      <c r="C327" s="544">
        <v>52889.865899999997</v>
      </c>
      <c r="D327" s="544">
        <v>4.2312000000000003</v>
      </c>
      <c r="E327" s="544">
        <v>0.97899999999999998</v>
      </c>
      <c r="F327" s="544">
        <v>0</v>
      </c>
      <c r="G327" s="544">
        <v>4.2312000000000003</v>
      </c>
      <c r="H327" s="544">
        <v>4.6402000000000001</v>
      </c>
      <c r="I327" s="544">
        <v>0</v>
      </c>
      <c r="J327" s="544">
        <v>14.0816</v>
      </c>
      <c r="K327" s="544">
        <v>5.2102000000000004</v>
      </c>
    </row>
    <row r="328" spans="1:11" ht="15.75" hidden="1" customHeight="1" x14ac:dyDescent="0.25">
      <c r="A328" s="542" t="s">
        <v>6235</v>
      </c>
      <c r="B328" s="543" t="s">
        <v>6236</v>
      </c>
      <c r="C328" s="544">
        <v>133299.70259999999</v>
      </c>
      <c r="D328" s="544">
        <v>10.1562</v>
      </c>
      <c r="E328" s="544">
        <v>2.4478</v>
      </c>
      <c r="F328" s="544">
        <v>0</v>
      </c>
      <c r="G328" s="544">
        <v>10.1562</v>
      </c>
      <c r="H328" s="544">
        <v>0</v>
      </c>
      <c r="I328" s="544">
        <v>0</v>
      </c>
      <c r="J328" s="544">
        <v>22.760200000000001</v>
      </c>
      <c r="K328" s="544">
        <v>12.603999999999999</v>
      </c>
    </row>
    <row r="329" spans="1:11" ht="15.75" hidden="1" customHeight="1" x14ac:dyDescent="0.25">
      <c r="A329" s="542" t="s">
        <v>6237</v>
      </c>
      <c r="B329" s="543" t="s">
        <v>6238</v>
      </c>
      <c r="C329" s="544">
        <v>86880.873800000001</v>
      </c>
      <c r="D329" s="544">
        <v>12.1633</v>
      </c>
      <c r="E329" s="544">
        <v>1.8762000000000001</v>
      </c>
      <c r="F329" s="544">
        <v>0</v>
      </c>
      <c r="G329" s="544">
        <v>8.6881000000000004</v>
      </c>
      <c r="H329" s="544">
        <v>4.1912000000000003</v>
      </c>
      <c r="I329" s="544">
        <v>0</v>
      </c>
      <c r="J329" s="544">
        <v>26.918800000000001</v>
      </c>
      <c r="K329" s="544">
        <v>14.0395</v>
      </c>
    </row>
    <row r="330" spans="1:11" ht="15.75" hidden="1" customHeight="1" x14ac:dyDescent="0.25">
      <c r="A330" s="542" t="s">
        <v>6239</v>
      </c>
      <c r="B330" s="543" t="s">
        <v>6240</v>
      </c>
      <c r="C330" s="544">
        <v>82783.022800000006</v>
      </c>
      <c r="D330" s="544">
        <v>6.6226000000000003</v>
      </c>
      <c r="E330" s="544">
        <v>1.5323</v>
      </c>
      <c r="F330" s="544">
        <v>0</v>
      </c>
      <c r="G330" s="544">
        <v>6.6226000000000003</v>
      </c>
      <c r="H330" s="544">
        <v>2.2452999999999999</v>
      </c>
      <c r="I330" s="544">
        <v>0</v>
      </c>
      <c r="J330" s="544">
        <v>17.0228</v>
      </c>
      <c r="K330" s="544">
        <v>8.1548999999999996</v>
      </c>
    </row>
    <row r="331" spans="1:11" ht="15.75" hidden="1" customHeight="1" x14ac:dyDescent="0.25">
      <c r="A331" s="542" t="s">
        <v>6241</v>
      </c>
      <c r="B331" s="543" t="s">
        <v>6242</v>
      </c>
      <c r="C331" s="544">
        <v>84262.239700000006</v>
      </c>
      <c r="D331" s="544">
        <v>6.7409999999999997</v>
      </c>
      <c r="E331" s="544">
        <v>1.5597000000000001</v>
      </c>
      <c r="F331" s="544">
        <v>0</v>
      </c>
      <c r="G331" s="544">
        <v>6.7409999999999997</v>
      </c>
      <c r="H331" s="544">
        <v>10.0289</v>
      </c>
      <c r="I331" s="544">
        <v>0</v>
      </c>
      <c r="J331" s="544">
        <v>25.070599999999999</v>
      </c>
      <c r="K331" s="544">
        <v>8.3007000000000009</v>
      </c>
    </row>
    <row r="332" spans="1:11" ht="15.75" hidden="1" customHeight="1" x14ac:dyDescent="0.25">
      <c r="A332" s="542" t="s">
        <v>6243</v>
      </c>
      <c r="B332" s="543" t="s">
        <v>6244</v>
      </c>
      <c r="C332" s="544">
        <v>86246.885699999999</v>
      </c>
      <c r="D332" s="544">
        <v>6.8997999999999999</v>
      </c>
      <c r="E332" s="544">
        <v>1.5964</v>
      </c>
      <c r="F332" s="544">
        <v>0</v>
      </c>
      <c r="G332" s="544">
        <v>6.8997999999999999</v>
      </c>
      <c r="H332" s="544">
        <v>10.0289</v>
      </c>
      <c r="I332" s="544">
        <v>0</v>
      </c>
      <c r="J332" s="544">
        <v>25.424900000000001</v>
      </c>
      <c r="K332" s="544">
        <v>8.4962</v>
      </c>
    </row>
    <row r="333" spans="1:11" ht="15.75" hidden="1" customHeight="1" x14ac:dyDescent="0.25">
      <c r="A333" s="542" t="s">
        <v>6245</v>
      </c>
      <c r="B333" s="543" t="s">
        <v>6246</v>
      </c>
      <c r="C333" s="544">
        <v>143509.87669999999</v>
      </c>
      <c r="D333" s="544">
        <v>16.4011</v>
      </c>
      <c r="E333" s="544">
        <v>2.8460999999999999</v>
      </c>
      <c r="F333" s="544">
        <v>0</v>
      </c>
      <c r="G333" s="544">
        <v>14.351000000000001</v>
      </c>
      <c r="H333" s="544">
        <v>0</v>
      </c>
      <c r="I333" s="544">
        <v>23.799499999999998</v>
      </c>
      <c r="J333" s="544">
        <v>57.3977</v>
      </c>
      <c r="K333" s="544">
        <v>43.046700000000001</v>
      </c>
    </row>
    <row r="334" spans="1:11" ht="15.75" hidden="1" customHeight="1" x14ac:dyDescent="0.25">
      <c r="A334" s="542" t="s">
        <v>6247</v>
      </c>
      <c r="B334" s="543" t="s">
        <v>6248</v>
      </c>
      <c r="C334" s="544">
        <v>33901.240599999997</v>
      </c>
      <c r="D334" s="544">
        <v>2.7121</v>
      </c>
      <c r="E334" s="544">
        <v>0.62749999999999995</v>
      </c>
      <c r="F334" s="544">
        <v>0</v>
      </c>
      <c r="G334" s="544">
        <v>2.7121</v>
      </c>
      <c r="H334" s="544">
        <v>7.4843000000000002</v>
      </c>
      <c r="I334" s="544">
        <v>0</v>
      </c>
      <c r="J334" s="544">
        <v>13.536</v>
      </c>
      <c r="K334" s="544">
        <v>3.3395999999999999</v>
      </c>
    </row>
    <row r="335" spans="1:11" ht="15.75" hidden="1" customHeight="1" x14ac:dyDescent="0.25">
      <c r="A335" s="542" t="s">
        <v>6249</v>
      </c>
      <c r="B335" s="543" t="s">
        <v>6250</v>
      </c>
      <c r="C335" s="544">
        <v>44674.456599999998</v>
      </c>
      <c r="D335" s="544">
        <v>3.5739999999999998</v>
      </c>
      <c r="E335" s="544">
        <v>0.82689999999999997</v>
      </c>
      <c r="F335" s="544">
        <v>0</v>
      </c>
      <c r="G335" s="544">
        <v>3.5739999999999998</v>
      </c>
      <c r="H335" s="544">
        <v>1.7962</v>
      </c>
      <c r="I335" s="544">
        <v>0</v>
      </c>
      <c r="J335" s="544">
        <v>9.7711000000000006</v>
      </c>
      <c r="K335" s="544">
        <v>4.4009</v>
      </c>
    </row>
    <row r="336" spans="1:11" ht="15.75" hidden="1" customHeight="1" x14ac:dyDescent="0.25">
      <c r="A336" s="542" t="s">
        <v>6251</v>
      </c>
      <c r="B336" s="543" t="s">
        <v>6252</v>
      </c>
      <c r="C336" s="544">
        <v>4170.6895000000004</v>
      </c>
      <c r="D336" s="544">
        <v>0.55610000000000004</v>
      </c>
      <c r="E336" s="544">
        <v>8.5800000000000001E-2</v>
      </c>
      <c r="F336" s="544">
        <v>0</v>
      </c>
      <c r="G336" s="544">
        <v>0.55610000000000004</v>
      </c>
      <c r="H336" s="544">
        <v>0</v>
      </c>
      <c r="I336" s="544">
        <v>0</v>
      </c>
      <c r="J336" s="544">
        <v>1.198</v>
      </c>
      <c r="K336" s="544">
        <v>0.64190000000000003</v>
      </c>
    </row>
    <row r="337" spans="1:11" ht="15.75" hidden="1" customHeight="1" x14ac:dyDescent="0.25">
      <c r="A337" s="542" t="s">
        <v>6253</v>
      </c>
      <c r="B337" s="543" t="s">
        <v>6254</v>
      </c>
      <c r="C337" s="544">
        <v>89262.212799999994</v>
      </c>
      <c r="D337" s="544">
        <v>7.141</v>
      </c>
      <c r="E337" s="544">
        <v>1.6521999999999999</v>
      </c>
      <c r="F337" s="544">
        <v>0</v>
      </c>
      <c r="G337" s="544">
        <v>7.141</v>
      </c>
      <c r="H337" s="544">
        <v>7.7835999999999999</v>
      </c>
      <c r="I337" s="544">
        <v>0</v>
      </c>
      <c r="J337" s="544">
        <v>23.7178</v>
      </c>
      <c r="K337" s="544">
        <v>8.7932000000000006</v>
      </c>
    </row>
    <row r="338" spans="1:11" ht="15.75" hidden="1" customHeight="1" x14ac:dyDescent="0.25">
      <c r="A338" s="542" t="s">
        <v>6255</v>
      </c>
      <c r="B338" s="543" t="s">
        <v>6256</v>
      </c>
      <c r="C338" s="544">
        <v>637271.25939999998</v>
      </c>
      <c r="D338" s="544">
        <v>63.7271</v>
      </c>
      <c r="E338" s="544">
        <v>12.2874</v>
      </c>
      <c r="F338" s="544">
        <v>0</v>
      </c>
      <c r="G338" s="544">
        <v>55.761200000000002</v>
      </c>
      <c r="H338" s="544">
        <v>75.154499999999999</v>
      </c>
      <c r="I338" s="544">
        <v>23.799499999999998</v>
      </c>
      <c r="J338" s="544">
        <v>230.72970000000001</v>
      </c>
      <c r="K338" s="544">
        <v>99.813999999999993</v>
      </c>
    </row>
    <row r="339" spans="1:11" ht="15.75" hidden="1" customHeight="1" x14ac:dyDescent="0.25">
      <c r="A339" s="542" t="s">
        <v>6257</v>
      </c>
      <c r="B339" s="543" t="s">
        <v>6258</v>
      </c>
      <c r="C339" s="544">
        <v>382921.19459999999</v>
      </c>
      <c r="D339" s="544">
        <v>38.292099999999998</v>
      </c>
      <c r="E339" s="544">
        <v>7.3832000000000004</v>
      </c>
      <c r="F339" s="544">
        <v>0</v>
      </c>
      <c r="G339" s="544">
        <v>33.505600000000001</v>
      </c>
      <c r="H339" s="544">
        <v>75.154499999999999</v>
      </c>
      <c r="I339" s="544">
        <v>23.799499999999998</v>
      </c>
      <c r="J339" s="544">
        <v>178.13489999999999</v>
      </c>
      <c r="K339" s="544">
        <v>69.474800000000002</v>
      </c>
    </row>
    <row r="340" spans="1:11" ht="15.75" hidden="1" customHeight="1" x14ac:dyDescent="0.25">
      <c r="A340" s="542" t="s">
        <v>6259</v>
      </c>
      <c r="B340" s="543" t="s">
        <v>6260</v>
      </c>
      <c r="C340" s="544">
        <v>26162.98</v>
      </c>
      <c r="D340" s="544">
        <v>2.093</v>
      </c>
      <c r="E340" s="544">
        <v>0.48430000000000001</v>
      </c>
      <c r="F340" s="544">
        <v>0</v>
      </c>
      <c r="G340" s="544">
        <v>1.3081</v>
      </c>
      <c r="H340" s="544">
        <v>0</v>
      </c>
      <c r="I340" s="544">
        <v>23.799499999999998</v>
      </c>
      <c r="J340" s="544">
        <v>27.684899999999999</v>
      </c>
      <c r="K340" s="544">
        <v>26.376799999999999</v>
      </c>
    </row>
    <row r="341" spans="1:11" ht="15.75" hidden="1" customHeight="1" x14ac:dyDescent="0.25">
      <c r="A341" s="542" t="s">
        <v>6261</v>
      </c>
      <c r="B341" s="543" t="s">
        <v>6262</v>
      </c>
      <c r="C341" s="544">
        <v>27471.119600000002</v>
      </c>
      <c r="D341" s="544">
        <v>2.1977000000000002</v>
      </c>
      <c r="E341" s="544">
        <v>0.50849999999999995</v>
      </c>
      <c r="F341" s="544">
        <v>0</v>
      </c>
      <c r="G341" s="544">
        <v>1.3735999999999999</v>
      </c>
      <c r="H341" s="544">
        <v>0</v>
      </c>
      <c r="I341" s="544">
        <v>23.799499999999998</v>
      </c>
      <c r="J341" s="544">
        <v>27.879300000000001</v>
      </c>
      <c r="K341" s="544">
        <v>26.505700000000001</v>
      </c>
    </row>
    <row r="342" spans="1:11" ht="15.75" hidden="1" customHeight="1" x14ac:dyDescent="0.25">
      <c r="A342" s="542" t="s">
        <v>6263</v>
      </c>
      <c r="B342" s="543" t="s">
        <v>6264</v>
      </c>
      <c r="C342" s="544">
        <v>6026.5223999999998</v>
      </c>
      <c r="D342" s="544">
        <v>0.34439999999999998</v>
      </c>
      <c r="E342" s="544">
        <v>0.1062</v>
      </c>
      <c r="F342" s="544">
        <v>0</v>
      </c>
      <c r="G342" s="544">
        <v>0.34439999999999998</v>
      </c>
      <c r="H342" s="544">
        <v>0</v>
      </c>
      <c r="I342" s="544">
        <v>23.799499999999998</v>
      </c>
      <c r="J342" s="544">
        <v>24.5945</v>
      </c>
      <c r="K342" s="544">
        <v>24.2501</v>
      </c>
    </row>
    <row r="343" spans="1:11" ht="15.75" hidden="1" customHeight="1" x14ac:dyDescent="0.25">
      <c r="A343" s="542" t="s">
        <v>6265</v>
      </c>
      <c r="B343" s="543" t="s">
        <v>6266</v>
      </c>
      <c r="C343" s="544">
        <v>8657.1383000000005</v>
      </c>
      <c r="D343" s="544">
        <v>0.77910000000000001</v>
      </c>
      <c r="E343" s="544">
        <v>0.16020000000000001</v>
      </c>
      <c r="F343" s="544">
        <v>0</v>
      </c>
      <c r="G343" s="544">
        <v>0.77910000000000001</v>
      </c>
      <c r="H343" s="544">
        <v>0</v>
      </c>
      <c r="I343" s="544">
        <v>23.799499999999998</v>
      </c>
      <c r="J343" s="544">
        <v>25.517900000000001</v>
      </c>
      <c r="K343" s="544">
        <v>24.738800000000001</v>
      </c>
    </row>
    <row r="344" spans="1:11" ht="15.75" hidden="1" customHeight="1" x14ac:dyDescent="0.25">
      <c r="A344" s="542" t="s">
        <v>6267</v>
      </c>
      <c r="B344" s="543" t="s">
        <v>6268</v>
      </c>
      <c r="C344" s="544">
        <v>44794.369500000001</v>
      </c>
      <c r="D344" s="544">
        <v>4.4794</v>
      </c>
      <c r="E344" s="544">
        <v>0.86370000000000002</v>
      </c>
      <c r="F344" s="544">
        <v>0</v>
      </c>
      <c r="G344" s="544">
        <v>3.9195000000000002</v>
      </c>
      <c r="H344" s="544">
        <v>0</v>
      </c>
      <c r="I344" s="544">
        <v>0</v>
      </c>
      <c r="J344" s="544">
        <v>9.2626000000000008</v>
      </c>
      <c r="K344" s="544">
        <v>5.3430999999999997</v>
      </c>
    </row>
    <row r="345" spans="1:11" ht="15.75" hidden="1" customHeight="1" x14ac:dyDescent="0.25">
      <c r="A345" s="542" t="s">
        <v>6269</v>
      </c>
      <c r="B345" s="543" t="s">
        <v>6270</v>
      </c>
      <c r="C345" s="544">
        <v>85048.955300000001</v>
      </c>
      <c r="D345" s="544">
        <v>5.9534000000000002</v>
      </c>
      <c r="E345" s="544">
        <v>1.5743</v>
      </c>
      <c r="F345" s="544">
        <v>0</v>
      </c>
      <c r="G345" s="544">
        <v>4.2523999999999997</v>
      </c>
      <c r="H345" s="544">
        <v>18.544599999999999</v>
      </c>
      <c r="I345" s="544">
        <v>0</v>
      </c>
      <c r="J345" s="544">
        <v>30.3247</v>
      </c>
      <c r="K345" s="544">
        <v>7.5277000000000003</v>
      </c>
    </row>
    <row r="346" spans="1:11" ht="15.75" hidden="1" customHeight="1" x14ac:dyDescent="0.25">
      <c r="A346" s="542" t="s">
        <v>6271</v>
      </c>
      <c r="B346" s="543" t="s">
        <v>6272</v>
      </c>
      <c r="C346" s="544">
        <v>117343.4863</v>
      </c>
      <c r="D346" s="544">
        <v>8.2140000000000004</v>
      </c>
      <c r="E346" s="544">
        <v>2.1720000000000002</v>
      </c>
      <c r="F346" s="544">
        <v>0</v>
      </c>
      <c r="G346" s="544">
        <v>5.8672000000000004</v>
      </c>
      <c r="H346" s="544">
        <v>55.633800000000001</v>
      </c>
      <c r="I346" s="544">
        <v>0</v>
      </c>
      <c r="J346" s="544">
        <v>71.887</v>
      </c>
      <c r="K346" s="544">
        <v>10.385999999999999</v>
      </c>
    </row>
    <row r="347" spans="1:11" ht="15.75" hidden="1" customHeight="1" x14ac:dyDescent="0.25">
      <c r="A347" s="542" t="s">
        <v>6273</v>
      </c>
      <c r="B347" s="543" t="s">
        <v>6274</v>
      </c>
      <c r="C347" s="544">
        <v>1815772.2083999999</v>
      </c>
      <c r="D347" s="544">
        <v>145.26179999999999</v>
      </c>
      <c r="E347" s="544">
        <v>33.609900000000003</v>
      </c>
      <c r="F347" s="544">
        <v>0</v>
      </c>
      <c r="G347" s="544">
        <v>145.26179999999999</v>
      </c>
      <c r="H347" s="544">
        <v>154.5384</v>
      </c>
      <c r="I347" s="544">
        <v>23.799499999999998</v>
      </c>
      <c r="J347" s="544">
        <v>502.47140000000002</v>
      </c>
      <c r="K347" s="544">
        <v>202.6712</v>
      </c>
    </row>
    <row r="348" spans="1:11" ht="15.75" hidden="1" customHeight="1" x14ac:dyDescent="0.25">
      <c r="A348" s="542" t="s">
        <v>6275</v>
      </c>
      <c r="B348" s="543" t="s">
        <v>6276</v>
      </c>
      <c r="C348" s="544">
        <v>1103721.8441999999</v>
      </c>
      <c r="D348" s="544">
        <v>44.148899999999998</v>
      </c>
      <c r="E348" s="544">
        <v>18.727399999999999</v>
      </c>
      <c r="F348" s="544">
        <v>0</v>
      </c>
      <c r="G348" s="544">
        <v>38.630299999999998</v>
      </c>
      <c r="H348" s="544">
        <v>0</v>
      </c>
      <c r="I348" s="544">
        <v>23.799499999999998</v>
      </c>
      <c r="J348" s="544">
        <v>125.3061</v>
      </c>
      <c r="K348" s="544">
        <v>86.675799999999995</v>
      </c>
    </row>
    <row r="349" spans="1:11" ht="15.75" hidden="1" customHeight="1" x14ac:dyDescent="0.25">
      <c r="A349" s="542" t="s">
        <v>6277</v>
      </c>
      <c r="B349" s="543" t="s">
        <v>6278</v>
      </c>
      <c r="C349" s="544">
        <v>1171350.497</v>
      </c>
      <c r="D349" s="544">
        <v>117.13500000000001</v>
      </c>
      <c r="E349" s="544">
        <v>22.585100000000001</v>
      </c>
      <c r="F349" s="544">
        <v>0</v>
      </c>
      <c r="G349" s="544">
        <v>131.77690000000001</v>
      </c>
      <c r="H349" s="544">
        <v>99.934799999999996</v>
      </c>
      <c r="I349" s="544">
        <v>42.84</v>
      </c>
      <c r="J349" s="544">
        <v>414.27179999999998</v>
      </c>
      <c r="K349" s="544">
        <v>182.56010000000001</v>
      </c>
    </row>
    <row r="350" spans="1:11" ht="15.75" hidden="1" customHeight="1" x14ac:dyDescent="0.25">
      <c r="A350" s="542" t="s">
        <v>6279</v>
      </c>
      <c r="B350" s="543" t="s">
        <v>6280</v>
      </c>
      <c r="C350" s="544">
        <v>7391.53</v>
      </c>
      <c r="D350" s="544">
        <v>0.73919999999999997</v>
      </c>
      <c r="E350" s="544">
        <v>0.1394</v>
      </c>
      <c r="F350" s="544">
        <v>0</v>
      </c>
      <c r="G350" s="544">
        <v>0.41060000000000002</v>
      </c>
      <c r="H350" s="544">
        <v>0</v>
      </c>
      <c r="I350" s="544">
        <v>0</v>
      </c>
      <c r="J350" s="544">
        <v>1.2891999999999999</v>
      </c>
      <c r="K350" s="544">
        <v>0.87860000000000005</v>
      </c>
    </row>
    <row r="351" spans="1:11" ht="15.75" hidden="1" customHeight="1" x14ac:dyDescent="0.25">
      <c r="A351" s="542" t="s">
        <v>6281</v>
      </c>
      <c r="B351" s="543" t="s">
        <v>6282</v>
      </c>
      <c r="C351" s="544">
        <v>20696.533599999999</v>
      </c>
      <c r="D351" s="544">
        <v>2.7595000000000001</v>
      </c>
      <c r="E351" s="544">
        <v>0.42570000000000002</v>
      </c>
      <c r="F351" s="544">
        <v>0</v>
      </c>
      <c r="G351" s="544">
        <v>2.7595000000000001</v>
      </c>
      <c r="H351" s="544">
        <v>0</v>
      </c>
      <c r="I351" s="544">
        <v>0</v>
      </c>
      <c r="J351" s="544">
        <v>5.9447000000000001</v>
      </c>
      <c r="K351" s="544">
        <v>3.1852</v>
      </c>
    </row>
    <row r="352" spans="1:11" ht="15.75" hidden="1" customHeight="1" x14ac:dyDescent="0.25">
      <c r="A352" s="542" t="s">
        <v>6283</v>
      </c>
      <c r="B352" s="543" t="s">
        <v>6284</v>
      </c>
      <c r="C352" s="544">
        <v>5074.5115999999998</v>
      </c>
      <c r="D352" s="544">
        <v>0.4511</v>
      </c>
      <c r="E352" s="544">
        <v>9.5699999999999993E-2</v>
      </c>
      <c r="F352" s="544">
        <v>0</v>
      </c>
      <c r="G352" s="544">
        <v>0.33829999999999999</v>
      </c>
      <c r="H352" s="544">
        <v>0</v>
      </c>
      <c r="I352" s="544">
        <v>0</v>
      </c>
      <c r="J352" s="544">
        <v>0.8851</v>
      </c>
      <c r="K352" s="544">
        <v>0.54679999999999995</v>
      </c>
    </row>
    <row r="353" spans="1:11" ht="15.75" hidden="1" customHeight="1" x14ac:dyDescent="0.25">
      <c r="A353" s="542" t="s">
        <v>6285</v>
      </c>
      <c r="B353" s="543" t="s">
        <v>6286</v>
      </c>
      <c r="C353" s="544">
        <v>1053275.416</v>
      </c>
      <c r="D353" s="544">
        <v>105.3275</v>
      </c>
      <c r="E353" s="544">
        <v>20.308499999999999</v>
      </c>
      <c r="F353" s="544">
        <v>0</v>
      </c>
      <c r="G353" s="544">
        <v>105.3275</v>
      </c>
      <c r="H353" s="544">
        <v>59.917499999999997</v>
      </c>
      <c r="I353" s="544">
        <v>33.497199999999999</v>
      </c>
      <c r="J353" s="544">
        <v>324.37819999999999</v>
      </c>
      <c r="K353" s="544">
        <v>159.13319999999999</v>
      </c>
    </row>
    <row r="354" spans="1:11" ht="15.75" hidden="1" customHeight="1" x14ac:dyDescent="0.25">
      <c r="A354" s="542" t="s">
        <v>6287</v>
      </c>
      <c r="B354" s="543" t="s">
        <v>6288</v>
      </c>
      <c r="C354" s="544">
        <v>97039.999899999995</v>
      </c>
      <c r="D354" s="544">
        <v>6.7927999999999997</v>
      </c>
      <c r="E354" s="544">
        <v>1.7962</v>
      </c>
      <c r="F354" s="544">
        <v>0</v>
      </c>
      <c r="G354" s="544">
        <v>4.8520000000000003</v>
      </c>
      <c r="H354" s="544">
        <v>32.968200000000003</v>
      </c>
      <c r="I354" s="544">
        <v>0</v>
      </c>
      <c r="J354" s="544">
        <v>46.409199999999998</v>
      </c>
      <c r="K354" s="544">
        <v>8.5890000000000004</v>
      </c>
    </row>
    <row r="355" spans="1:11" ht="15.75" hidden="1" customHeight="1" x14ac:dyDescent="0.25">
      <c r="A355" s="542" t="s">
        <v>6289</v>
      </c>
      <c r="B355" s="543" t="s">
        <v>6290</v>
      </c>
      <c r="C355" s="544">
        <v>7457.4327000000003</v>
      </c>
      <c r="D355" s="544">
        <v>0.65249999999999997</v>
      </c>
      <c r="E355" s="544">
        <v>0.14380000000000001</v>
      </c>
      <c r="F355" s="544">
        <v>0</v>
      </c>
      <c r="G355" s="544">
        <v>0.46610000000000001</v>
      </c>
      <c r="H355" s="544">
        <v>10.0075</v>
      </c>
      <c r="I355" s="544">
        <v>0</v>
      </c>
      <c r="J355" s="544">
        <v>11.2699</v>
      </c>
      <c r="K355" s="544">
        <v>0.79630000000000001</v>
      </c>
    </row>
    <row r="356" spans="1:11" ht="15.75" hidden="1" customHeight="1" x14ac:dyDescent="0.25">
      <c r="A356" s="542" t="s">
        <v>6291</v>
      </c>
      <c r="B356" s="543" t="s">
        <v>6292</v>
      </c>
      <c r="C356" s="544">
        <v>428637.1875</v>
      </c>
      <c r="D356" s="544">
        <v>30.0046</v>
      </c>
      <c r="E356" s="544">
        <v>7.9340999999999999</v>
      </c>
      <c r="F356" s="544">
        <v>0</v>
      </c>
      <c r="G356" s="544">
        <v>21.431899999999999</v>
      </c>
      <c r="H356" s="544">
        <v>468.76650000000001</v>
      </c>
      <c r="I356" s="544">
        <v>0</v>
      </c>
      <c r="J356" s="544">
        <v>528.13710000000003</v>
      </c>
      <c r="K356" s="544">
        <v>37.938699999999997</v>
      </c>
    </row>
    <row r="357" spans="1:11" ht="15.75" hidden="1" customHeight="1" x14ac:dyDescent="0.25">
      <c r="A357" s="542" t="s">
        <v>6293</v>
      </c>
      <c r="B357" s="543" t="s">
        <v>6294</v>
      </c>
      <c r="C357" s="544">
        <v>683034.30420000001</v>
      </c>
      <c r="D357" s="544">
        <v>46.348799999999997</v>
      </c>
      <c r="E357" s="544">
        <v>12.040900000000001</v>
      </c>
      <c r="F357" s="544">
        <v>0</v>
      </c>
      <c r="G357" s="544">
        <v>39.030500000000004</v>
      </c>
      <c r="H357" s="544">
        <v>0</v>
      </c>
      <c r="I357" s="544">
        <v>23.799499999999998</v>
      </c>
      <c r="J357" s="544">
        <v>121.2197</v>
      </c>
      <c r="K357" s="544">
        <v>82.1892</v>
      </c>
    </row>
    <row r="358" spans="1:11" ht="15.75" hidden="1" customHeight="1" x14ac:dyDescent="0.25">
      <c r="A358" s="542" t="s">
        <v>6295</v>
      </c>
      <c r="B358" s="543" t="s">
        <v>6296</v>
      </c>
      <c r="C358" s="544">
        <v>13160.0252</v>
      </c>
      <c r="D358" s="544">
        <v>1.0528</v>
      </c>
      <c r="E358" s="544">
        <v>0.24360000000000001</v>
      </c>
      <c r="F358" s="544">
        <v>0</v>
      </c>
      <c r="G358" s="544">
        <v>1.0528</v>
      </c>
      <c r="H358" s="544">
        <v>9.7669999999999995</v>
      </c>
      <c r="I358" s="544">
        <v>0</v>
      </c>
      <c r="J358" s="544">
        <v>12.116199999999999</v>
      </c>
      <c r="K358" s="544">
        <v>1.2964</v>
      </c>
    </row>
    <row r="359" spans="1:11" ht="15.75" hidden="1" customHeight="1" x14ac:dyDescent="0.25">
      <c r="A359" s="542" t="s">
        <v>6297</v>
      </c>
      <c r="B359" s="543" t="s">
        <v>6298</v>
      </c>
      <c r="C359" s="544">
        <v>585392.80530000001</v>
      </c>
      <c r="D359" s="544">
        <v>46.831400000000002</v>
      </c>
      <c r="E359" s="544">
        <v>10.835599999999999</v>
      </c>
      <c r="F359" s="544">
        <v>0</v>
      </c>
      <c r="G359" s="544">
        <v>46.831400000000002</v>
      </c>
      <c r="H359" s="544">
        <v>196.6216</v>
      </c>
      <c r="I359" s="544">
        <v>0</v>
      </c>
      <c r="J359" s="544">
        <v>301.12</v>
      </c>
      <c r="K359" s="544">
        <v>57.667000000000002</v>
      </c>
    </row>
    <row r="360" spans="1:11" ht="15.75" hidden="1" customHeight="1" x14ac:dyDescent="0.25">
      <c r="A360" s="542" t="s">
        <v>6299</v>
      </c>
      <c r="B360" s="543" t="s">
        <v>6300</v>
      </c>
      <c r="C360" s="544">
        <v>269291.39510000002</v>
      </c>
      <c r="D360" s="544">
        <v>35.905500000000004</v>
      </c>
      <c r="E360" s="544">
        <v>5.5384000000000002</v>
      </c>
      <c r="F360" s="544">
        <v>0</v>
      </c>
      <c r="G360" s="544">
        <v>35.905500000000004</v>
      </c>
      <c r="H360" s="544">
        <v>5.7694000000000001</v>
      </c>
      <c r="I360" s="544">
        <v>23.799499999999998</v>
      </c>
      <c r="J360" s="544">
        <v>106.9183</v>
      </c>
      <c r="K360" s="544">
        <v>65.243399999999994</v>
      </c>
    </row>
    <row r="361" spans="1:11" ht="15.75" hidden="1" customHeight="1" x14ac:dyDescent="0.25">
      <c r="A361" s="542" t="s">
        <v>6301</v>
      </c>
      <c r="B361" s="543" t="s">
        <v>6302</v>
      </c>
      <c r="C361" s="544">
        <v>472730.1447</v>
      </c>
      <c r="D361" s="544">
        <v>34.832700000000003</v>
      </c>
      <c r="E361" s="544">
        <v>8.827</v>
      </c>
      <c r="F361" s="544">
        <v>0</v>
      </c>
      <c r="G361" s="544">
        <v>34.832700000000003</v>
      </c>
      <c r="H361" s="544">
        <v>40.884900000000002</v>
      </c>
      <c r="I361" s="544">
        <v>33.497199999999999</v>
      </c>
      <c r="J361" s="544">
        <v>152.87450000000001</v>
      </c>
      <c r="K361" s="544">
        <v>77.156899999999993</v>
      </c>
    </row>
    <row r="362" spans="1:11" ht="15.75" hidden="1" customHeight="1" x14ac:dyDescent="0.25">
      <c r="A362" s="542" t="s">
        <v>6303</v>
      </c>
      <c r="B362" s="543" t="s">
        <v>6304</v>
      </c>
      <c r="C362" s="544">
        <v>472730.1447</v>
      </c>
      <c r="D362" s="544">
        <v>34.832700000000003</v>
      </c>
      <c r="E362" s="544">
        <v>8.827</v>
      </c>
      <c r="F362" s="544">
        <v>0</v>
      </c>
      <c r="G362" s="544">
        <v>34.832700000000003</v>
      </c>
      <c r="H362" s="544">
        <v>40.884900000000002</v>
      </c>
      <c r="I362" s="544">
        <v>33.497199999999999</v>
      </c>
      <c r="J362" s="544">
        <v>152.87450000000001</v>
      </c>
      <c r="K362" s="544">
        <v>77.156899999999993</v>
      </c>
    </row>
    <row r="363" spans="1:11" ht="15.75" hidden="1" customHeight="1" x14ac:dyDescent="0.25">
      <c r="A363" s="542" t="s">
        <v>6305</v>
      </c>
      <c r="B363" s="543" t="s">
        <v>6306</v>
      </c>
      <c r="C363" s="544">
        <v>472730.1447</v>
      </c>
      <c r="D363" s="544">
        <v>34.832700000000003</v>
      </c>
      <c r="E363" s="544">
        <v>8.827</v>
      </c>
      <c r="F363" s="544">
        <v>0</v>
      </c>
      <c r="G363" s="544">
        <v>34.832700000000003</v>
      </c>
      <c r="H363" s="544">
        <v>40.884900000000002</v>
      </c>
      <c r="I363" s="544">
        <v>33.497199999999999</v>
      </c>
      <c r="J363" s="544">
        <v>152.87450000000001</v>
      </c>
      <c r="K363" s="544">
        <v>77.156899999999993</v>
      </c>
    </row>
    <row r="364" spans="1:11" ht="15.75" hidden="1" customHeight="1" x14ac:dyDescent="0.25">
      <c r="A364" s="542" t="s">
        <v>6307</v>
      </c>
      <c r="B364" s="543" t="s">
        <v>6308</v>
      </c>
      <c r="C364" s="544">
        <v>472730.1447</v>
      </c>
      <c r="D364" s="544">
        <v>34.832700000000003</v>
      </c>
      <c r="E364" s="544">
        <v>8.827</v>
      </c>
      <c r="F364" s="544">
        <v>0</v>
      </c>
      <c r="G364" s="544">
        <v>34.832700000000003</v>
      </c>
      <c r="H364" s="544">
        <v>40.884900000000002</v>
      </c>
      <c r="I364" s="544">
        <v>33.497199999999999</v>
      </c>
      <c r="J364" s="544">
        <v>152.87450000000001</v>
      </c>
      <c r="K364" s="544">
        <v>77.156899999999993</v>
      </c>
    </row>
    <row r="365" spans="1:11" ht="15.75" hidden="1" customHeight="1" x14ac:dyDescent="0.25">
      <c r="A365" s="542" t="s">
        <v>6309</v>
      </c>
      <c r="B365" s="543" t="s">
        <v>6310</v>
      </c>
      <c r="C365" s="544">
        <v>472730.1447</v>
      </c>
      <c r="D365" s="544">
        <v>34.832700000000003</v>
      </c>
      <c r="E365" s="544">
        <v>8.827</v>
      </c>
      <c r="F365" s="544">
        <v>0</v>
      </c>
      <c r="G365" s="544">
        <v>34.832700000000003</v>
      </c>
      <c r="H365" s="544">
        <v>40.884900000000002</v>
      </c>
      <c r="I365" s="544">
        <v>33.497199999999999</v>
      </c>
      <c r="J365" s="544">
        <v>152.87450000000001</v>
      </c>
      <c r="K365" s="544">
        <v>77.156899999999993</v>
      </c>
    </row>
    <row r="366" spans="1:11" ht="15.75" hidden="1" customHeight="1" x14ac:dyDescent="0.25">
      <c r="A366" s="542" t="s">
        <v>6311</v>
      </c>
      <c r="B366" s="543" t="s">
        <v>6312</v>
      </c>
      <c r="C366" s="544">
        <v>2054956.453</v>
      </c>
      <c r="D366" s="544">
        <v>234.85220000000001</v>
      </c>
      <c r="E366" s="544">
        <v>40.754199999999997</v>
      </c>
      <c r="F366" s="544">
        <v>0</v>
      </c>
      <c r="G366" s="544">
        <v>293.5652</v>
      </c>
      <c r="H366" s="544">
        <v>72.605900000000005</v>
      </c>
      <c r="I366" s="544">
        <v>33.497199999999999</v>
      </c>
      <c r="J366" s="544">
        <v>675.27470000000005</v>
      </c>
      <c r="K366" s="544">
        <v>309.10359999999997</v>
      </c>
    </row>
    <row r="367" spans="1:11" ht="15.75" hidden="1" customHeight="1" x14ac:dyDescent="0.25">
      <c r="A367" s="542" t="s">
        <v>6313</v>
      </c>
      <c r="B367" s="543" t="s">
        <v>6314</v>
      </c>
      <c r="C367" s="544">
        <v>191413.68849999999</v>
      </c>
      <c r="D367" s="544">
        <v>13.398999999999999</v>
      </c>
      <c r="E367" s="544">
        <v>3.5430999999999999</v>
      </c>
      <c r="F367" s="544">
        <v>0</v>
      </c>
      <c r="G367" s="544">
        <v>9.5707000000000004</v>
      </c>
      <c r="H367" s="544">
        <v>143.2056</v>
      </c>
      <c r="I367" s="544">
        <v>0</v>
      </c>
      <c r="J367" s="544">
        <v>169.7184</v>
      </c>
      <c r="K367" s="544">
        <v>16.9421</v>
      </c>
    </row>
    <row r="368" spans="1:11" ht="15.75" hidden="1" customHeight="1" x14ac:dyDescent="0.25">
      <c r="A368" s="542" t="s">
        <v>6315</v>
      </c>
      <c r="B368" s="543" t="s">
        <v>6316</v>
      </c>
      <c r="C368" s="544">
        <v>5796398.3461999996</v>
      </c>
      <c r="D368" s="544">
        <v>405.74790000000002</v>
      </c>
      <c r="E368" s="544">
        <v>107.29130000000001</v>
      </c>
      <c r="F368" s="544">
        <v>0</v>
      </c>
      <c r="G368" s="544">
        <v>521.67589999999996</v>
      </c>
      <c r="H368" s="544">
        <v>60.188600000000001</v>
      </c>
      <c r="I368" s="544">
        <v>33.497199999999999</v>
      </c>
      <c r="J368" s="544">
        <v>1128.4009000000001</v>
      </c>
      <c r="K368" s="544">
        <v>546.53639999999996</v>
      </c>
    </row>
    <row r="369" spans="1:11" ht="15.75" hidden="1" customHeight="1" x14ac:dyDescent="0.25">
      <c r="A369" s="542" t="s">
        <v>6317</v>
      </c>
      <c r="B369" s="543" t="s">
        <v>6318</v>
      </c>
      <c r="C369" s="544">
        <v>254643.97709999999</v>
      </c>
      <c r="D369" s="544">
        <v>17.825099999999999</v>
      </c>
      <c r="E369" s="544">
        <v>4.7134999999999998</v>
      </c>
      <c r="F369" s="544">
        <v>0</v>
      </c>
      <c r="G369" s="544">
        <v>12.732200000000001</v>
      </c>
      <c r="H369" s="544">
        <v>278.16910000000001</v>
      </c>
      <c r="I369" s="544">
        <v>0</v>
      </c>
      <c r="J369" s="544">
        <v>313.43990000000002</v>
      </c>
      <c r="K369" s="544">
        <v>22.538599999999999</v>
      </c>
    </row>
    <row r="370" spans="1:11" ht="15.75" hidden="1" customHeight="1" x14ac:dyDescent="0.25">
      <c r="A370" s="542" t="s">
        <v>6319</v>
      </c>
      <c r="B370" s="543" t="s">
        <v>6320</v>
      </c>
      <c r="C370" s="544">
        <v>120442.57709999999</v>
      </c>
      <c r="D370" s="544">
        <v>8.4309999999999992</v>
      </c>
      <c r="E370" s="544">
        <v>2.2294</v>
      </c>
      <c r="F370" s="544">
        <v>0</v>
      </c>
      <c r="G370" s="544">
        <v>6.0221</v>
      </c>
      <c r="H370" s="544">
        <v>92.722999999999999</v>
      </c>
      <c r="I370" s="544">
        <v>0</v>
      </c>
      <c r="J370" s="544">
        <v>109.4055</v>
      </c>
      <c r="K370" s="544">
        <v>10.660399999999999</v>
      </c>
    </row>
    <row r="371" spans="1:11" ht="15.75" hidden="1" customHeight="1" x14ac:dyDescent="0.25">
      <c r="A371" s="542" t="s">
        <v>6321</v>
      </c>
      <c r="B371" s="543" t="s">
        <v>6322</v>
      </c>
      <c r="C371" s="544">
        <v>265865.89230000001</v>
      </c>
      <c r="D371" s="544">
        <v>42.538499999999999</v>
      </c>
      <c r="E371" s="544">
        <v>5.7413999999999996</v>
      </c>
      <c r="F371" s="544">
        <v>0</v>
      </c>
      <c r="G371" s="544">
        <v>42.538499999999999</v>
      </c>
      <c r="H371" s="544">
        <v>7.2118000000000002</v>
      </c>
      <c r="I371" s="544">
        <v>23.799499999999998</v>
      </c>
      <c r="J371" s="544">
        <v>121.8297</v>
      </c>
      <c r="K371" s="544">
        <v>72.079400000000007</v>
      </c>
    </row>
    <row r="372" spans="1:11" ht="15.75" hidden="1" customHeight="1" x14ac:dyDescent="0.25">
      <c r="A372" s="542" t="s">
        <v>6323</v>
      </c>
      <c r="B372" s="543" t="s">
        <v>6324</v>
      </c>
      <c r="C372" s="544">
        <v>660899.82660000003</v>
      </c>
      <c r="D372" s="544">
        <v>105.744</v>
      </c>
      <c r="E372" s="544">
        <v>14.2721</v>
      </c>
      <c r="F372" s="544">
        <v>0</v>
      </c>
      <c r="G372" s="544">
        <v>105.744</v>
      </c>
      <c r="H372" s="544">
        <v>0</v>
      </c>
      <c r="I372" s="544">
        <v>23.799499999999998</v>
      </c>
      <c r="J372" s="544">
        <v>249.55959999999999</v>
      </c>
      <c r="K372" s="544">
        <v>143.81559999999999</v>
      </c>
    </row>
    <row r="373" spans="1:11" ht="15.75" hidden="1" customHeight="1" x14ac:dyDescent="0.25">
      <c r="A373" s="542" t="s">
        <v>6325</v>
      </c>
      <c r="B373" s="543" t="s">
        <v>6326</v>
      </c>
      <c r="C373" s="544">
        <v>62133.619400000003</v>
      </c>
      <c r="D373" s="544">
        <v>8.2844999999999995</v>
      </c>
      <c r="E373" s="544">
        <v>1.2779</v>
      </c>
      <c r="F373" s="544">
        <v>0</v>
      </c>
      <c r="G373" s="544">
        <v>8.2844999999999995</v>
      </c>
      <c r="H373" s="544">
        <v>0</v>
      </c>
      <c r="I373" s="544">
        <v>23.799499999999998</v>
      </c>
      <c r="J373" s="544">
        <v>41.6464</v>
      </c>
      <c r="K373" s="544">
        <v>33.361899999999999</v>
      </c>
    </row>
    <row r="374" spans="1:11" ht="15.75" hidden="1" customHeight="1" x14ac:dyDescent="0.25">
      <c r="A374" s="542" t="s">
        <v>6327</v>
      </c>
      <c r="B374" s="543" t="s">
        <v>6328</v>
      </c>
      <c r="C374" s="544">
        <v>656204.12320000003</v>
      </c>
      <c r="D374" s="544">
        <v>65.620400000000004</v>
      </c>
      <c r="E374" s="544">
        <v>12.6524</v>
      </c>
      <c r="F374" s="544">
        <v>0</v>
      </c>
      <c r="G374" s="544">
        <v>65.620400000000004</v>
      </c>
      <c r="H374" s="544">
        <v>19.520600000000002</v>
      </c>
      <c r="I374" s="544">
        <v>23.799499999999998</v>
      </c>
      <c r="J374" s="544">
        <v>187.2133</v>
      </c>
      <c r="K374" s="544">
        <v>102.0723</v>
      </c>
    </row>
    <row r="375" spans="1:11" ht="15.75" hidden="1" customHeight="1" x14ac:dyDescent="0.25">
      <c r="A375" s="542" t="s">
        <v>6329</v>
      </c>
      <c r="B375" s="543" t="s">
        <v>6330</v>
      </c>
      <c r="C375" s="544">
        <v>2450481.7769999998</v>
      </c>
      <c r="D375" s="544">
        <v>122.5241</v>
      </c>
      <c r="E375" s="544">
        <v>43.198500000000003</v>
      </c>
      <c r="F375" s="544">
        <v>17.503399999999999</v>
      </c>
      <c r="G375" s="544">
        <v>157.53100000000001</v>
      </c>
      <c r="H375" s="544">
        <v>50.4283</v>
      </c>
      <c r="I375" s="544">
        <v>32.764899999999997</v>
      </c>
      <c r="J375" s="544">
        <v>423.9502</v>
      </c>
      <c r="K375" s="544">
        <v>215.99090000000001</v>
      </c>
    </row>
    <row r="376" spans="1:11" ht="15.75" hidden="1" customHeight="1" x14ac:dyDescent="0.25">
      <c r="A376" s="542" t="s">
        <v>6331</v>
      </c>
      <c r="B376" s="543" t="s">
        <v>6332</v>
      </c>
      <c r="C376" s="544">
        <v>23815.983700000001</v>
      </c>
      <c r="D376" s="544">
        <v>3.8106</v>
      </c>
      <c r="E376" s="544">
        <v>0.51429999999999998</v>
      </c>
      <c r="F376" s="544">
        <v>0</v>
      </c>
      <c r="G376" s="544">
        <v>3.8106</v>
      </c>
      <c r="H376" s="544">
        <v>3.8119000000000001</v>
      </c>
      <c r="I376" s="544">
        <v>23.799499999999998</v>
      </c>
      <c r="J376" s="544">
        <v>35.746899999999997</v>
      </c>
      <c r="K376" s="544">
        <v>28.124400000000001</v>
      </c>
    </row>
    <row r="377" spans="1:11" ht="15.75" hidden="1" customHeight="1" x14ac:dyDescent="0.25">
      <c r="A377" s="542" t="s">
        <v>6333</v>
      </c>
      <c r="B377" s="543" t="s">
        <v>6334</v>
      </c>
      <c r="C377" s="544">
        <v>1378.2678000000001</v>
      </c>
      <c r="D377" s="544">
        <v>0.24809999999999999</v>
      </c>
      <c r="E377" s="544">
        <v>2.98E-2</v>
      </c>
      <c r="F377" s="544">
        <v>0</v>
      </c>
      <c r="G377" s="544">
        <v>0.13780000000000001</v>
      </c>
      <c r="H377" s="544">
        <v>0</v>
      </c>
      <c r="I377" s="544">
        <v>0</v>
      </c>
      <c r="J377" s="544">
        <v>0.41570000000000001</v>
      </c>
      <c r="K377" s="544">
        <v>0.27789999999999998</v>
      </c>
    </row>
    <row r="378" spans="1:11" ht="15.75" hidden="1" customHeight="1" x14ac:dyDescent="0.25">
      <c r="A378" s="542" t="s">
        <v>6335</v>
      </c>
      <c r="B378" s="543" t="s">
        <v>6336</v>
      </c>
      <c r="C378" s="544">
        <v>382311.31280000001</v>
      </c>
      <c r="D378" s="544">
        <v>43.692700000000002</v>
      </c>
      <c r="E378" s="544">
        <v>7.5820999999999996</v>
      </c>
      <c r="F378" s="544">
        <v>0</v>
      </c>
      <c r="G378" s="544">
        <v>43.692700000000002</v>
      </c>
      <c r="H378" s="544">
        <v>15.1448</v>
      </c>
      <c r="I378" s="544">
        <v>42.84</v>
      </c>
      <c r="J378" s="544">
        <v>152.95230000000001</v>
      </c>
      <c r="K378" s="544">
        <v>94.114800000000002</v>
      </c>
    </row>
    <row r="379" spans="1:11" ht="15.75" hidden="1" customHeight="1" x14ac:dyDescent="0.25">
      <c r="A379" s="542" t="s">
        <v>6337</v>
      </c>
      <c r="B379" s="543" t="s">
        <v>6338</v>
      </c>
      <c r="C379" s="544">
        <v>48912.3105</v>
      </c>
      <c r="D379" s="544">
        <v>4.8912000000000004</v>
      </c>
      <c r="E379" s="544">
        <v>0.94310000000000005</v>
      </c>
      <c r="F379" s="544">
        <v>0</v>
      </c>
      <c r="G379" s="544">
        <v>4.2797999999999998</v>
      </c>
      <c r="H379" s="544">
        <v>0</v>
      </c>
      <c r="I379" s="544">
        <v>0</v>
      </c>
      <c r="J379" s="544">
        <v>10.114100000000001</v>
      </c>
      <c r="K379" s="544">
        <v>5.8342999999999998</v>
      </c>
    </row>
    <row r="380" spans="1:11" ht="15.75" hidden="1" customHeight="1" x14ac:dyDescent="0.25">
      <c r="A380" s="542" t="s">
        <v>6339</v>
      </c>
      <c r="B380" s="543" t="s">
        <v>6340</v>
      </c>
      <c r="C380" s="544">
        <v>5523249.5083999997</v>
      </c>
      <c r="D380" s="544">
        <v>631.22850000000005</v>
      </c>
      <c r="E380" s="544">
        <v>109.53789999999999</v>
      </c>
      <c r="F380" s="544">
        <v>0</v>
      </c>
      <c r="G380" s="544">
        <v>631.22850000000005</v>
      </c>
      <c r="H380" s="544">
        <v>72.117900000000006</v>
      </c>
      <c r="I380" s="544">
        <v>42.84</v>
      </c>
      <c r="J380" s="544">
        <v>1486.9528</v>
      </c>
      <c r="K380" s="544">
        <v>783.60640000000001</v>
      </c>
    </row>
    <row r="381" spans="1:11" ht="15.75" hidden="1" customHeight="1" x14ac:dyDescent="0.25">
      <c r="A381" s="542" t="s">
        <v>6341</v>
      </c>
      <c r="B381" s="543" t="s">
        <v>6342</v>
      </c>
      <c r="C381" s="544">
        <v>2323284.176</v>
      </c>
      <c r="D381" s="544">
        <v>185.86269999999999</v>
      </c>
      <c r="E381" s="544">
        <v>43.003999999999998</v>
      </c>
      <c r="F381" s="544">
        <v>0</v>
      </c>
      <c r="G381" s="544">
        <v>185.86269999999999</v>
      </c>
      <c r="H381" s="544">
        <v>48.801600000000001</v>
      </c>
      <c r="I381" s="544">
        <v>33.497199999999999</v>
      </c>
      <c r="J381" s="544">
        <v>497.02820000000003</v>
      </c>
      <c r="K381" s="544">
        <v>262.3639</v>
      </c>
    </row>
    <row r="382" spans="1:11" ht="15.75" hidden="1" customHeight="1" x14ac:dyDescent="0.25">
      <c r="A382" s="542" t="s">
        <v>6343</v>
      </c>
      <c r="B382" s="543" t="s">
        <v>6344</v>
      </c>
      <c r="C382" s="544">
        <v>14100621.48</v>
      </c>
      <c r="D382" s="544">
        <v>805.74980000000005</v>
      </c>
      <c r="E382" s="544">
        <v>248.57380000000001</v>
      </c>
      <c r="F382" s="544">
        <v>0</v>
      </c>
      <c r="G382" s="544">
        <v>1007.1872</v>
      </c>
      <c r="H382" s="544">
        <v>176.4991</v>
      </c>
      <c r="I382" s="544">
        <v>42.84</v>
      </c>
      <c r="J382" s="544">
        <v>2280.8499000000002</v>
      </c>
      <c r="K382" s="544">
        <v>1097.1636000000001</v>
      </c>
    </row>
    <row r="383" spans="1:11" ht="15.75" hidden="1" customHeight="1" x14ac:dyDescent="0.25">
      <c r="A383" s="542" t="s">
        <v>6345</v>
      </c>
      <c r="B383" s="543" t="s">
        <v>6346</v>
      </c>
      <c r="C383" s="544">
        <v>2496067.16</v>
      </c>
      <c r="D383" s="544">
        <v>199.68539999999999</v>
      </c>
      <c r="E383" s="544">
        <v>46.202199999999998</v>
      </c>
      <c r="F383" s="544">
        <v>0</v>
      </c>
      <c r="G383" s="544">
        <v>199.68539999999999</v>
      </c>
      <c r="H383" s="544">
        <v>100.0433</v>
      </c>
      <c r="I383" s="544">
        <v>33.497199999999999</v>
      </c>
      <c r="J383" s="544">
        <v>579.11350000000004</v>
      </c>
      <c r="K383" s="544">
        <v>279.38479999999998</v>
      </c>
    </row>
    <row r="384" spans="1:11" ht="15.75" hidden="1" customHeight="1" x14ac:dyDescent="0.25">
      <c r="A384" s="545" t="s">
        <v>6347</v>
      </c>
      <c r="B384" s="546" t="s">
        <v>6348</v>
      </c>
      <c r="C384" s="746"/>
      <c r="D384" s="746"/>
      <c r="E384" s="746"/>
      <c r="F384" s="746"/>
      <c r="G384" s="746"/>
      <c r="H384" s="746"/>
      <c r="I384" s="746"/>
      <c r="J384" s="547">
        <v>685.95730000000003</v>
      </c>
      <c r="K384" s="547">
        <v>170.5573</v>
      </c>
    </row>
    <row r="385" spans="1:11" ht="15.75" hidden="1" customHeight="1" x14ac:dyDescent="0.25">
      <c r="A385" s="548" t="s">
        <v>6349</v>
      </c>
      <c r="B385" s="549" t="s">
        <v>6350</v>
      </c>
      <c r="C385" s="550">
        <v>1090634.105</v>
      </c>
      <c r="D385" s="550">
        <v>65.438000000000002</v>
      </c>
      <c r="E385" s="550">
        <v>20.1876</v>
      </c>
      <c r="F385" s="550">
        <v>8.1798000000000002</v>
      </c>
      <c r="G385" s="550">
        <v>98.1571</v>
      </c>
      <c r="H385" s="550">
        <v>379.13420000000002</v>
      </c>
      <c r="I385" s="550">
        <v>32.764899999999997</v>
      </c>
      <c r="J385" s="550">
        <v>603.86159999999995</v>
      </c>
      <c r="K385" s="550">
        <v>126.5703</v>
      </c>
    </row>
    <row r="386" spans="1:11" ht="15.75" hidden="1" customHeight="1" x14ac:dyDescent="0.25">
      <c r="A386" s="548" t="s">
        <v>6351</v>
      </c>
      <c r="B386" s="549" t="s">
        <v>6352</v>
      </c>
      <c r="C386" s="550">
        <v>285814.88</v>
      </c>
      <c r="D386" s="550">
        <v>38.108699999999999</v>
      </c>
      <c r="E386" s="550">
        <v>5.8783000000000003</v>
      </c>
      <c r="F386" s="550">
        <v>0</v>
      </c>
      <c r="G386" s="550">
        <v>38.108699999999999</v>
      </c>
      <c r="H386" s="550">
        <v>0</v>
      </c>
      <c r="I386" s="550">
        <v>0</v>
      </c>
      <c r="J386" s="550">
        <v>82.095699999999994</v>
      </c>
      <c r="K386" s="550">
        <v>43.987000000000002</v>
      </c>
    </row>
    <row r="387" spans="1:11" ht="15.75" hidden="1" customHeight="1" x14ac:dyDescent="0.25">
      <c r="A387" s="545" t="s">
        <v>6353</v>
      </c>
      <c r="B387" s="546" t="s">
        <v>6354</v>
      </c>
      <c r="C387" s="746"/>
      <c r="D387" s="746"/>
      <c r="E387" s="746"/>
      <c r="F387" s="746"/>
      <c r="G387" s="746"/>
      <c r="H387" s="746"/>
      <c r="I387" s="746"/>
      <c r="J387" s="547">
        <v>558.80949999999996</v>
      </c>
      <c r="K387" s="547">
        <v>160.2337</v>
      </c>
    </row>
    <row r="388" spans="1:11" ht="15.75" hidden="1" customHeight="1" x14ac:dyDescent="0.25">
      <c r="A388" s="548" t="s">
        <v>6355</v>
      </c>
      <c r="B388" s="549" t="s">
        <v>6356</v>
      </c>
      <c r="C388" s="550">
        <v>931915.84730000002</v>
      </c>
      <c r="D388" s="550">
        <v>46.595799999999997</v>
      </c>
      <c r="E388" s="550">
        <v>16.770600000000002</v>
      </c>
      <c r="F388" s="550">
        <v>6.7952000000000004</v>
      </c>
      <c r="G388" s="550">
        <v>69.893699999999995</v>
      </c>
      <c r="H388" s="550">
        <v>276.32549999999998</v>
      </c>
      <c r="I388" s="550">
        <v>32.764899999999997</v>
      </c>
      <c r="J388" s="550">
        <v>449.14569999999998</v>
      </c>
      <c r="K388" s="550">
        <v>102.9265</v>
      </c>
    </row>
    <row r="389" spans="1:11" ht="15.75" hidden="1" customHeight="1" x14ac:dyDescent="0.25">
      <c r="A389" s="548" t="s">
        <v>6357</v>
      </c>
      <c r="B389" s="549" t="s">
        <v>6358</v>
      </c>
      <c r="C389" s="550">
        <v>491470</v>
      </c>
      <c r="D389" s="550">
        <v>39.317599999999999</v>
      </c>
      <c r="E389" s="550">
        <v>9.0970999999999993</v>
      </c>
      <c r="F389" s="550">
        <v>0</v>
      </c>
      <c r="G389" s="550">
        <v>44.232300000000002</v>
      </c>
      <c r="H389" s="550">
        <v>0</v>
      </c>
      <c r="I389" s="550">
        <v>0</v>
      </c>
      <c r="J389" s="550">
        <v>92.647000000000006</v>
      </c>
      <c r="K389" s="550">
        <v>48.414700000000003</v>
      </c>
    </row>
    <row r="390" spans="1:11" ht="15.75" hidden="1" customHeight="1" x14ac:dyDescent="0.25">
      <c r="A390" s="548" t="s">
        <v>6359</v>
      </c>
      <c r="B390" s="549" t="s">
        <v>6360</v>
      </c>
      <c r="C390" s="550">
        <v>90270</v>
      </c>
      <c r="D390" s="550">
        <v>7.2215999999999996</v>
      </c>
      <c r="E390" s="550">
        <v>1.6709000000000001</v>
      </c>
      <c r="F390" s="550">
        <v>0</v>
      </c>
      <c r="G390" s="550">
        <v>8.1242999999999999</v>
      </c>
      <c r="H390" s="550">
        <v>0</v>
      </c>
      <c r="I390" s="550">
        <v>0</v>
      </c>
      <c r="J390" s="550">
        <v>17.0168</v>
      </c>
      <c r="K390" s="550">
        <v>8.8925000000000001</v>
      </c>
    </row>
    <row r="391" spans="1:11" ht="15.75" hidden="1" customHeight="1" x14ac:dyDescent="0.25">
      <c r="A391" s="545" t="s">
        <v>6361</v>
      </c>
      <c r="B391" s="546" t="s">
        <v>6362</v>
      </c>
      <c r="C391" s="746"/>
      <c r="D391" s="746"/>
      <c r="E391" s="746"/>
      <c r="F391" s="746"/>
      <c r="G391" s="746"/>
      <c r="H391" s="746"/>
      <c r="I391" s="746"/>
      <c r="J391" s="547">
        <v>426.04500000000002</v>
      </c>
      <c r="K391" s="547">
        <v>151.63730000000001</v>
      </c>
    </row>
    <row r="392" spans="1:11" ht="15.75" hidden="1" customHeight="1" x14ac:dyDescent="0.25">
      <c r="A392" s="548" t="s">
        <v>6363</v>
      </c>
      <c r="B392" s="549" t="s">
        <v>6364</v>
      </c>
      <c r="C392" s="550">
        <v>719991.61</v>
      </c>
      <c r="D392" s="550">
        <v>35.999600000000001</v>
      </c>
      <c r="E392" s="550">
        <v>12.956799999999999</v>
      </c>
      <c r="F392" s="550">
        <v>5.2499000000000002</v>
      </c>
      <c r="G392" s="550">
        <v>53.999400000000001</v>
      </c>
      <c r="H392" s="550">
        <v>159.4186</v>
      </c>
      <c r="I392" s="550">
        <v>32.764899999999997</v>
      </c>
      <c r="J392" s="550">
        <v>300.38920000000002</v>
      </c>
      <c r="K392" s="550">
        <v>86.971199999999996</v>
      </c>
    </row>
    <row r="393" spans="1:11" ht="15.75" hidden="1" customHeight="1" x14ac:dyDescent="0.25">
      <c r="A393" s="548" t="s">
        <v>6365</v>
      </c>
      <c r="B393" s="549" t="s">
        <v>6366</v>
      </c>
      <c r="C393" s="550">
        <v>542130.527</v>
      </c>
      <c r="D393" s="550">
        <v>54.213099999999997</v>
      </c>
      <c r="E393" s="550">
        <v>10.452999999999999</v>
      </c>
      <c r="F393" s="550">
        <v>0</v>
      </c>
      <c r="G393" s="550">
        <v>60.989699999999999</v>
      </c>
      <c r="H393" s="550">
        <v>0</v>
      </c>
      <c r="I393" s="550">
        <v>0</v>
      </c>
      <c r="J393" s="550">
        <v>125.6558</v>
      </c>
      <c r="K393" s="550">
        <v>64.6661</v>
      </c>
    </row>
    <row r="394" spans="1:11" ht="15.75" hidden="1" customHeight="1" x14ac:dyDescent="0.25">
      <c r="A394" s="545" t="s">
        <v>6367</v>
      </c>
      <c r="B394" s="546" t="s">
        <v>6368</v>
      </c>
      <c r="C394" s="746"/>
      <c r="D394" s="746"/>
      <c r="E394" s="746"/>
      <c r="F394" s="746"/>
      <c r="G394" s="746"/>
      <c r="H394" s="746"/>
      <c r="I394" s="746"/>
      <c r="J394" s="547">
        <v>1230.2180000000001</v>
      </c>
      <c r="K394" s="547">
        <v>520.51700000000005</v>
      </c>
    </row>
    <row r="395" spans="1:11" ht="30" hidden="1" customHeight="1" x14ac:dyDescent="0.25">
      <c r="A395" s="548" t="s">
        <v>6369</v>
      </c>
      <c r="B395" s="549" t="s">
        <v>6370</v>
      </c>
      <c r="C395" s="550">
        <v>736245.90899999999</v>
      </c>
      <c r="D395" s="550">
        <v>44.174799999999998</v>
      </c>
      <c r="E395" s="550">
        <v>13.6279</v>
      </c>
      <c r="F395" s="550">
        <v>5.5217999999999998</v>
      </c>
      <c r="G395" s="550">
        <v>66.262100000000004</v>
      </c>
      <c r="H395" s="550">
        <v>243.1404</v>
      </c>
      <c r="I395" s="550">
        <v>32.764899999999997</v>
      </c>
      <c r="J395" s="550">
        <v>405.49189999999999</v>
      </c>
      <c r="K395" s="550">
        <v>96.089399999999998</v>
      </c>
    </row>
    <row r="396" spans="1:11" ht="15.75" hidden="1" customHeight="1" x14ac:dyDescent="0.25">
      <c r="A396" s="548" t="s">
        <v>6371</v>
      </c>
      <c r="B396" s="549" t="s">
        <v>6372</v>
      </c>
      <c r="C396" s="550">
        <v>3558208.91</v>
      </c>
      <c r="D396" s="550">
        <v>355.82089999999999</v>
      </c>
      <c r="E396" s="550">
        <v>68.606700000000004</v>
      </c>
      <c r="F396" s="550">
        <v>0</v>
      </c>
      <c r="G396" s="550">
        <v>400.29849999999999</v>
      </c>
      <c r="H396" s="550">
        <v>0</v>
      </c>
      <c r="I396" s="550">
        <v>0</v>
      </c>
      <c r="J396" s="550">
        <v>824.72609999999997</v>
      </c>
      <c r="K396" s="550">
        <v>424.42759999999998</v>
      </c>
    </row>
    <row r="397" spans="1:11" ht="15.75" hidden="1" customHeight="1" x14ac:dyDescent="0.25">
      <c r="A397" s="545" t="s">
        <v>6373</v>
      </c>
      <c r="B397" s="546" t="s">
        <v>6374</v>
      </c>
      <c r="C397" s="746"/>
      <c r="D397" s="746"/>
      <c r="E397" s="746"/>
      <c r="F397" s="746"/>
      <c r="G397" s="746"/>
      <c r="H397" s="746"/>
      <c r="I397" s="746"/>
      <c r="J397" s="547">
        <v>394.3177</v>
      </c>
      <c r="K397" s="547">
        <v>119.9074</v>
      </c>
    </row>
    <row r="398" spans="1:11" ht="15.75" hidden="1" customHeight="1" x14ac:dyDescent="0.25">
      <c r="A398" s="548" t="s">
        <v>6375</v>
      </c>
      <c r="B398" s="549" t="s">
        <v>6376</v>
      </c>
      <c r="C398" s="550">
        <v>645139.39199999999</v>
      </c>
      <c r="D398" s="550">
        <v>32.256999999999998</v>
      </c>
      <c r="E398" s="550">
        <v>11.6098</v>
      </c>
      <c r="F398" s="550">
        <v>4.7041000000000004</v>
      </c>
      <c r="G398" s="550">
        <v>48.3855</v>
      </c>
      <c r="H398" s="550">
        <v>193.68809999999999</v>
      </c>
      <c r="I398" s="550">
        <v>32.764899999999997</v>
      </c>
      <c r="J398" s="550">
        <v>323.40940000000001</v>
      </c>
      <c r="K398" s="550">
        <v>81.335800000000006</v>
      </c>
    </row>
    <row r="399" spans="1:11" ht="15.75" hidden="1" customHeight="1" x14ac:dyDescent="0.25">
      <c r="A399" s="548" t="s">
        <v>6377</v>
      </c>
      <c r="B399" s="549" t="s">
        <v>6378</v>
      </c>
      <c r="C399" s="550">
        <v>38114</v>
      </c>
      <c r="D399" s="550">
        <v>3.8113999999999999</v>
      </c>
      <c r="E399" s="550">
        <v>0.7349</v>
      </c>
      <c r="F399" s="550">
        <v>0</v>
      </c>
      <c r="G399" s="550">
        <v>3.8113999999999999</v>
      </c>
      <c r="H399" s="550">
        <v>0</v>
      </c>
      <c r="I399" s="550">
        <v>0</v>
      </c>
      <c r="J399" s="550">
        <v>8.3576999999999995</v>
      </c>
      <c r="K399" s="550">
        <v>4.5462999999999996</v>
      </c>
    </row>
    <row r="400" spans="1:11" ht="15.75" hidden="1" customHeight="1" x14ac:dyDescent="0.25">
      <c r="A400" s="548" t="s">
        <v>6379</v>
      </c>
      <c r="B400" s="549" t="s">
        <v>6380</v>
      </c>
      <c r="C400" s="550">
        <v>285253.2</v>
      </c>
      <c r="D400" s="550">
        <v>28.525300000000001</v>
      </c>
      <c r="E400" s="550">
        <v>5.5</v>
      </c>
      <c r="F400" s="550">
        <v>0</v>
      </c>
      <c r="G400" s="550">
        <v>28.525300000000001</v>
      </c>
      <c r="H400" s="550">
        <v>0</v>
      </c>
      <c r="I400" s="550">
        <v>0</v>
      </c>
      <c r="J400" s="550">
        <v>62.550600000000003</v>
      </c>
      <c r="K400" s="550">
        <v>34.025300000000001</v>
      </c>
    </row>
    <row r="401" spans="1:11" ht="15.75" hidden="1" customHeight="1" x14ac:dyDescent="0.25">
      <c r="A401" s="545" t="s">
        <v>6381</v>
      </c>
      <c r="B401" s="546" t="s">
        <v>6382</v>
      </c>
      <c r="C401" s="746"/>
      <c r="D401" s="746"/>
      <c r="E401" s="746"/>
      <c r="F401" s="746"/>
      <c r="G401" s="746"/>
      <c r="H401" s="746"/>
      <c r="I401" s="746"/>
      <c r="J401" s="547">
        <v>388.30450000000002</v>
      </c>
      <c r="K401" s="547">
        <v>149.68010000000001</v>
      </c>
    </row>
    <row r="402" spans="1:11" ht="15.75" hidden="1" customHeight="1" x14ac:dyDescent="0.25">
      <c r="A402" s="548" t="s">
        <v>6383</v>
      </c>
      <c r="B402" s="549" t="s">
        <v>6384</v>
      </c>
      <c r="C402" s="550">
        <v>424068.29499999998</v>
      </c>
      <c r="D402" s="550">
        <v>21.203399999999998</v>
      </c>
      <c r="E402" s="550">
        <v>7.6315</v>
      </c>
      <c r="F402" s="550">
        <v>3.0922000000000001</v>
      </c>
      <c r="G402" s="550">
        <v>31.805099999999999</v>
      </c>
      <c r="H402" s="550">
        <v>156.59889999999999</v>
      </c>
      <c r="I402" s="550">
        <v>32.764899999999997</v>
      </c>
      <c r="J402" s="550">
        <v>253.096</v>
      </c>
      <c r="K402" s="550">
        <v>64.691999999999993</v>
      </c>
    </row>
    <row r="403" spans="1:11" ht="15.75" hidden="1" customHeight="1" x14ac:dyDescent="0.25">
      <c r="A403" s="548" t="s">
        <v>6385</v>
      </c>
      <c r="B403" s="549" t="s">
        <v>6386</v>
      </c>
      <c r="C403" s="550">
        <v>29588.5</v>
      </c>
      <c r="D403" s="550">
        <v>2.9588999999999999</v>
      </c>
      <c r="E403" s="550">
        <v>0.57050000000000001</v>
      </c>
      <c r="F403" s="550">
        <v>0</v>
      </c>
      <c r="G403" s="550">
        <v>2.9588999999999999</v>
      </c>
      <c r="H403" s="550">
        <v>0</v>
      </c>
      <c r="I403" s="550">
        <v>0</v>
      </c>
      <c r="J403" s="550">
        <v>6.4882999999999997</v>
      </c>
      <c r="K403" s="550">
        <v>3.5293999999999999</v>
      </c>
    </row>
    <row r="404" spans="1:11" ht="15.75" hidden="1" customHeight="1" x14ac:dyDescent="0.25">
      <c r="A404" s="548" t="s">
        <v>6387</v>
      </c>
      <c r="B404" s="549" t="s">
        <v>6388</v>
      </c>
      <c r="C404" s="550">
        <v>267000</v>
      </c>
      <c r="D404" s="550">
        <v>26.7</v>
      </c>
      <c r="E404" s="550">
        <v>5.1481000000000003</v>
      </c>
      <c r="F404" s="550">
        <v>0</v>
      </c>
      <c r="G404" s="550">
        <v>26.7</v>
      </c>
      <c r="H404" s="550">
        <v>0</v>
      </c>
      <c r="I404" s="550">
        <v>0</v>
      </c>
      <c r="J404" s="550">
        <v>58.548099999999998</v>
      </c>
      <c r="K404" s="550">
        <v>31.848099999999999</v>
      </c>
    </row>
    <row r="405" spans="1:11" ht="15.75" hidden="1" customHeight="1" x14ac:dyDescent="0.25">
      <c r="A405" s="548" t="s">
        <v>6389</v>
      </c>
      <c r="B405" s="549" t="s">
        <v>6390</v>
      </c>
      <c r="C405" s="550">
        <v>205615</v>
      </c>
      <c r="D405" s="550">
        <v>21.846599999999999</v>
      </c>
      <c r="E405" s="550">
        <v>3.9645000000000001</v>
      </c>
      <c r="F405" s="550">
        <v>0</v>
      </c>
      <c r="G405" s="550">
        <v>20.561499999999999</v>
      </c>
      <c r="H405" s="550">
        <v>0</v>
      </c>
      <c r="I405" s="550">
        <v>23.799499999999998</v>
      </c>
      <c r="J405" s="550">
        <v>70.1721</v>
      </c>
      <c r="K405" s="550">
        <v>49.610599999999998</v>
      </c>
    </row>
    <row r="406" spans="1:11" ht="15.75" hidden="1" customHeight="1" x14ac:dyDescent="0.25">
      <c r="A406" s="545" t="s">
        <v>6391</v>
      </c>
      <c r="B406" s="546" t="s">
        <v>6392</v>
      </c>
      <c r="C406" s="746"/>
      <c r="D406" s="746"/>
      <c r="E406" s="746"/>
      <c r="F406" s="746"/>
      <c r="G406" s="746"/>
      <c r="H406" s="746"/>
      <c r="I406" s="746"/>
      <c r="J406" s="547">
        <v>258.74220000000003</v>
      </c>
      <c r="K406" s="547">
        <v>78.766300000000001</v>
      </c>
    </row>
    <row r="407" spans="1:11" ht="15.75" hidden="1" customHeight="1" x14ac:dyDescent="0.25">
      <c r="A407" s="548" t="s">
        <v>6393</v>
      </c>
      <c r="B407" s="549" t="s">
        <v>6394</v>
      </c>
      <c r="C407" s="550">
        <v>441788.47529999999</v>
      </c>
      <c r="D407" s="550">
        <v>26.507300000000001</v>
      </c>
      <c r="E407" s="550">
        <v>8.1775000000000002</v>
      </c>
      <c r="F407" s="550">
        <v>3.3134000000000001</v>
      </c>
      <c r="G407" s="550">
        <v>39.761000000000003</v>
      </c>
      <c r="H407" s="550">
        <v>132.90299999999999</v>
      </c>
      <c r="I407" s="550">
        <v>32.764899999999997</v>
      </c>
      <c r="J407" s="550">
        <v>243.4271</v>
      </c>
      <c r="K407" s="550">
        <v>70.763099999999994</v>
      </c>
    </row>
    <row r="408" spans="1:11" ht="15.75" hidden="1" customHeight="1" x14ac:dyDescent="0.25">
      <c r="A408" s="548" t="s">
        <v>6395</v>
      </c>
      <c r="B408" s="549" t="s">
        <v>6396</v>
      </c>
      <c r="C408" s="550">
        <v>81243</v>
      </c>
      <c r="D408" s="550">
        <v>6.4993999999999996</v>
      </c>
      <c r="E408" s="550">
        <v>1.5038</v>
      </c>
      <c r="F408" s="550">
        <v>0</v>
      </c>
      <c r="G408" s="550">
        <v>7.3118999999999996</v>
      </c>
      <c r="H408" s="550">
        <v>0</v>
      </c>
      <c r="I408" s="550">
        <v>0</v>
      </c>
      <c r="J408" s="550">
        <v>15.315099999999999</v>
      </c>
      <c r="K408" s="550">
        <v>8.0031999999999996</v>
      </c>
    </row>
    <row r="409" spans="1:11" ht="15.75" hidden="1" customHeight="1" x14ac:dyDescent="0.25">
      <c r="A409" s="545" t="s">
        <v>6397</v>
      </c>
      <c r="B409" s="546" t="s">
        <v>6398</v>
      </c>
      <c r="C409" s="746"/>
      <c r="D409" s="746"/>
      <c r="E409" s="746"/>
      <c r="F409" s="746"/>
      <c r="G409" s="746"/>
      <c r="H409" s="746"/>
      <c r="I409" s="746"/>
      <c r="J409" s="547">
        <v>400.42959999999999</v>
      </c>
      <c r="K409" s="547">
        <v>96.363399999999999</v>
      </c>
    </row>
    <row r="410" spans="1:11" ht="15.75" hidden="1" customHeight="1" x14ac:dyDescent="0.25">
      <c r="A410" s="548" t="s">
        <v>6399</v>
      </c>
      <c r="B410" s="549" t="s">
        <v>6400</v>
      </c>
      <c r="C410" s="550">
        <v>644318.35199999996</v>
      </c>
      <c r="D410" s="550">
        <v>32.215899999999998</v>
      </c>
      <c r="E410" s="550">
        <v>11.595000000000001</v>
      </c>
      <c r="F410" s="550">
        <v>4.6981999999999999</v>
      </c>
      <c r="G410" s="550">
        <v>48.323900000000002</v>
      </c>
      <c r="H410" s="550">
        <v>243.1404</v>
      </c>
      <c r="I410" s="550">
        <v>32.764899999999997</v>
      </c>
      <c r="J410" s="550">
        <v>372.73829999999998</v>
      </c>
      <c r="K410" s="550">
        <v>81.274000000000001</v>
      </c>
    </row>
    <row r="411" spans="1:11" ht="15.75" hidden="1" customHeight="1" x14ac:dyDescent="0.25">
      <c r="A411" s="548" t="s">
        <v>6401</v>
      </c>
      <c r="B411" s="549" t="s">
        <v>6402</v>
      </c>
      <c r="C411" s="550">
        <v>224033.5759</v>
      </c>
      <c r="D411" s="550">
        <v>11.201700000000001</v>
      </c>
      <c r="E411" s="550">
        <v>3.8877000000000002</v>
      </c>
      <c r="F411" s="550">
        <v>0</v>
      </c>
      <c r="G411" s="550">
        <v>12.601900000000001</v>
      </c>
      <c r="H411" s="550">
        <v>0</v>
      </c>
      <c r="I411" s="550">
        <v>0</v>
      </c>
      <c r="J411" s="550">
        <v>27.691299999999998</v>
      </c>
      <c r="K411" s="550">
        <v>15.089399999999999</v>
      </c>
    </row>
    <row r="412" spans="1:11" ht="15.75" hidden="1" customHeight="1" x14ac:dyDescent="0.25">
      <c r="A412" s="545" t="s">
        <v>6403</v>
      </c>
      <c r="B412" s="546" t="s">
        <v>6404</v>
      </c>
      <c r="C412" s="746"/>
      <c r="D412" s="746"/>
      <c r="E412" s="746"/>
      <c r="F412" s="746"/>
      <c r="G412" s="746"/>
      <c r="H412" s="746"/>
      <c r="I412" s="746"/>
      <c r="J412" s="547">
        <v>561.81529999999998</v>
      </c>
      <c r="K412" s="547">
        <v>162.9288</v>
      </c>
    </row>
    <row r="413" spans="1:11" ht="15.75" hidden="1" customHeight="1" x14ac:dyDescent="0.25">
      <c r="A413" s="548" t="s">
        <v>6405</v>
      </c>
      <c r="B413" s="549" t="s">
        <v>6406</v>
      </c>
      <c r="C413" s="550">
        <v>777572.74089999998</v>
      </c>
      <c r="D413" s="550">
        <v>38.878599999999999</v>
      </c>
      <c r="E413" s="550">
        <v>13.9931</v>
      </c>
      <c r="F413" s="550">
        <v>5.6698000000000004</v>
      </c>
      <c r="G413" s="550">
        <v>58.317999999999998</v>
      </c>
      <c r="H413" s="550">
        <v>273.01780000000002</v>
      </c>
      <c r="I413" s="550">
        <v>32.764899999999997</v>
      </c>
      <c r="J413" s="550">
        <v>422.6422</v>
      </c>
      <c r="K413" s="550">
        <v>91.306399999999996</v>
      </c>
    </row>
    <row r="414" spans="1:11" ht="15.75" hidden="1" customHeight="1" x14ac:dyDescent="0.25">
      <c r="A414" s="548" t="s">
        <v>6407</v>
      </c>
      <c r="B414" s="549" t="s">
        <v>6408</v>
      </c>
      <c r="C414" s="550">
        <v>600450.34990000003</v>
      </c>
      <c r="D414" s="550">
        <v>60.045000000000002</v>
      </c>
      <c r="E414" s="550">
        <v>11.577400000000001</v>
      </c>
      <c r="F414" s="550">
        <v>0</v>
      </c>
      <c r="G414" s="550">
        <v>67.550700000000006</v>
      </c>
      <c r="H414" s="550">
        <v>0</v>
      </c>
      <c r="I414" s="550">
        <v>0</v>
      </c>
      <c r="J414" s="550">
        <v>139.17310000000001</v>
      </c>
      <c r="K414" s="550">
        <v>71.622399999999999</v>
      </c>
    </row>
    <row r="415" spans="1:11" ht="15.75" hidden="1" customHeight="1" x14ac:dyDescent="0.25">
      <c r="A415" s="545" t="s">
        <v>6409</v>
      </c>
      <c r="B415" s="546" t="s">
        <v>6410</v>
      </c>
      <c r="C415" s="746"/>
      <c r="D415" s="746"/>
      <c r="E415" s="746"/>
      <c r="F415" s="746"/>
      <c r="G415" s="746"/>
      <c r="H415" s="746"/>
      <c r="I415" s="746"/>
      <c r="J415" s="547">
        <v>330.24110000000002</v>
      </c>
      <c r="K415" s="547">
        <v>78.347499999999997</v>
      </c>
    </row>
    <row r="416" spans="1:11" ht="15.75" hidden="1" customHeight="1" x14ac:dyDescent="0.25">
      <c r="A416" s="548" t="s">
        <v>6411</v>
      </c>
      <c r="B416" s="549" t="s">
        <v>6412</v>
      </c>
      <c r="C416" s="550">
        <v>605447.56449999998</v>
      </c>
      <c r="D416" s="550">
        <v>30.272400000000001</v>
      </c>
      <c r="E416" s="550">
        <v>10.8955</v>
      </c>
      <c r="F416" s="550">
        <v>4.4146999999999998</v>
      </c>
      <c r="G416" s="550">
        <v>45.4086</v>
      </c>
      <c r="H416" s="550">
        <v>206.48500000000001</v>
      </c>
      <c r="I416" s="550">
        <v>32.764899999999997</v>
      </c>
      <c r="J416" s="550">
        <v>330.24110000000002</v>
      </c>
      <c r="K416" s="550">
        <v>78.347499999999997</v>
      </c>
    </row>
    <row r="417" spans="1:11" ht="15.75" hidden="1" customHeight="1" x14ac:dyDescent="0.25">
      <c r="A417" s="545" t="s">
        <v>6413</v>
      </c>
      <c r="B417" s="546" t="s">
        <v>6414</v>
      </c>
      <c r="C417" s="746"/>
      <c r="D417" s="746"/>
      <c r="E417" s="746"/>
      <c r="F417" s="746"/>
      <c r="G417" s="746"/>
      <c r="H417" s="746"/>
      <c r="I417" s="746"/>
      <c r="J417" s="547">
        <v>6.5041000000000002</v>
      </c>
      <c r="K417" s="547">
        <v>4.4116999999999997</v>
      </c>
    </row>
    <row r="418" spans="1:11" ht="15.75" hidden="1" customHeight="1" x14ac:dyDescent="0.25">
      <c r="A418" s="548" t="s">
        <v>6415</v>
      </c>
      <c r="B418" s="549" t="s">
        <v>6416</v>
      </c>
      <c r="C418" s="550">
        <v>33477.739600000001</v>
      </c>
      <c r="D418" s="550">
        <v>3.7662</v>
      </c>
      <c r="E418" s="550">
        <v>0.64549999999999996</v>
      </c>
      <c r="F418" s="550">
        <v>0</v>
      </c>
      <c r="G418" s="550">
        <v>2.0924</v>
      </c>
      <c r="H418" s="550">
        <v>0</v>
      </c>
      <c r="I418" s="550">
        <v>0</v>
      </c>
      <c r="J418" s="550">
        <v>6.5041000000000002</v>
      </c>
      <c r="K418" s="550">
        <v>4.4116999999999997</v>
      </c>
    </row>
    <row r="419" spans="1:11" ht="15.75" hidden="1" customHeight="1" x14ac:dyDescent="0.25">
      <c r="A419" s="545" t="s">
        <v>6417</v>
      </c>
      <c r="B419" s="546" t="s">
        <v>6418</v>
      </c>
      <c r="C419" s="746"/>
      <c r="D419" s="746"/>
      <c r="E419" s="746"/>
      <c r="F419" s="746"/>
      <c r="G419" s="746"/>
      <c r="H419" s="746"/>
      <c r="I419" s="746"/>
      <c r="J419" s="547">
        <v>103.22499999999999</v>
      </c>
      <c r="K419" s="547">
        <v>55.686300000000003</v>
      </c>
    </row>
    <row r="420" spans="1:11" ht="15.75" hidden="1" customHeight="1" x14ac:dyDescent="0.25">
      <c r="A420" s="548" t="s">
        <v>6419</v>
      </c>
      <c r="B420" s="549" t="s">
        <v>6420</v>
      </c>
      <c r="C420" s="550">
        <v>422566.04310000001</v>
      </c>
      <c r="D420" s="550">
        <v>47.538699999999999</v>
      </c>
      <c r="E420" s="550">
        <v>8.1476000000000006</v>
      </c>
      <c r="F420" s="550">
        <v>0</v>
      </c>
      <c r="G420" s="550">
        <v>47.538699999999999</v>
      </c>
      <c r="H420" s="550">
        <v>0</v>
      </c>
      <c r="I420" s="550">
        <v>0</v>
      </c>
      <c r="J420" s="550">
        <v>103.22499999999999</v>
      </c>
      <c r="K420" s="550">
        <v>55.686300000000003</v>
      </c>
    </row>
    <row r="421" spans="1:11" ht="15.75" hidden="1" customHeight="1" x14ac:dyDescent="0.25">
      <c r="A421" s="545" t="s">
        <v>6421</v>
      </c>
      <c r="B421" s="546" t="s">
        <v>6422</v>
      </c>
      <c r="C421" s="746"/>
      <c r="D421" s="746"/>
      <c r="E421" s="746"/>
      <c r="F421" s="746"/>
      <c r="G421" s="746"/>
      <c r="H421" s="746"/>
      <c r="I421" s="746"/>
      <c r="J421" s="547">
        <v>313.73599999999999</v>
      </c>
      <c r="K421" s="547">
        <v>91.705100000000002</v>
      </c>
    </row>
    <row r="422" spans="1:11" ht="15.75" hidden="1" customHeight="1" x14ac:dyDescent="0.25">
      <c r="A422" s="548" t="s">
        <v>6423</v>
      </c>
      <c r="B422" s="549" t="s">
        <v>6424</v>
      </c>
      <c r="C422" s="550">
        <v>719991.61</v>
      </c>
      <c r="D422" s="550">
        <v>35.999600000000001</v>
      </c>
      <c r="E422" s="550">
        <v>12.956799999999999</v>
      </c>
      <c r="F422" s="550">
        <v>5.2499000000000002</v>
      </c>
      <c r="G422" s="550">
        <v>53.999400000000001</v>
      </c>
      <c r="H422" s="550">
        <v>159.4186</v>
      </c>
      <c r="I422" s="550">
        <v>28.366700000000002</v>
      </c>
      <c r="J422" s="550">
        <v>295.99099999999999</v>
      </c>
      <c r="K422" s="550">
        <v>82.572999999999993</v>
      </c>
    </row>
    <row r="423" spans="1:11" ht="15.75" hidden="1" customHeight="1" x14ac:dyDescent="0.25">
      <c r="A423" s="548" t="s">
        <v>6425</v>
      </c>
      <c r="B423" s="549" t="s">
        <v>6426</v>
      </c>
      <c r="C423" s="550">
        <v>76559.157099999997</v>
      </c>
      <c r="D423" s="550">
        <v>7.6558999999999999</v>
      </c>
      <c r="E423" s="550">
        <v>1.4762</v>
      </c>
      <c r="F423" s="550">
        <v>0</v>
      </c>
      <c r="G423" s="550">
        <v>8.6128999999999998</v>
      </c>
      <c r="H423" s="550">
        <v>0</v>
      </c>
      <c r="I423" s="550">
        <v>0</v>
      </c>
      <c r="J423" s="550">
        <v>17.745000000000001</v>
      </c>
      <c r="K423" s="550">
        <v>9.1320999999999994</v>
      </c>
    </row>
    <row r="424" spans="1:11" ht="15.75" hidden="1" customHeight="1" x14ac:dyDescent="0.25">
      <c r="A424" s="545" t="s">
        <v>6427</v>
      </c>
      <c r="B424" s="546" t="s">
        <v>6428</v>
      </c>
      <c r="C424" s="746"/>
      <c r="D424" s="746"/>
      <c r="E424" s="746"/>
      <c r="F424" s="746"/>
      <c r="G424" s="746"/>
      <c r="H424" s="746"/>
      <c r="I424" s="746"/>
      <c r="J424" s="547">
        <v>665.11469999999997</v>
      </c>
      <c r="K424" s="547">
        <v>159.88980000000001</v>
      </c>
    </row>
    <row r="425" spans="1:11" ht="15.75" hidden="1" customHeight="1" x14ac:dyDescent="0.25">
      <c r="A425" s="548" t="s">
        <v>6349</v>
      </c>
      <c r="B425" s="549" t="s">
        <v>6350</v>
      </c>
      <c r="C425" s="550">
        <v>1090634.105</v>
      </c>
      <c r="D425" s="550">
        <v>65.438000000000002</v>
      </c>
      <c r="E425" s="550">
        <v>20.1876</v>
      </c>
      <c r="F425" s="550">
        <v>8.1798000000000002</v>
      </c>
      <c r="G425" s="550">
        <v>98.1571</v>
      </c>
      <c r="H425" s="550">
        <v>379.13420000000002</v>
      </c>
      <c r="I425" s="550">
        <v>32.764899999999997</v>
      </c>
      <c r="J425" s="550">
        <v>603.86159999999995</v>
      </c>
      <c r="K425" s="550">
        <v>126.5703</v>
      </c>
    </row>
    <row r="426" spans="1:11" ht="15.75" hidden="1" customHeight="1" x14ac:dyDescent="0.25">
      <c r="A426" s="548" t="s">
        <v>6429</v>
      </c>
      <c r="B426" s="549" t="s">
        <v>6430</v>
      </c>
      <c r="C426" s="550">
        <v>279335.5</v>
      </c>
      <c r="D426" s="550">
        <v>27.933599999999998</v>
      </c>
      <c r="E426" s="550">
        <v>5.3859000000000004</v>
      </c>
      <c r="F426" s="550">
        <v>0</v>
      </c>
      <c r="G426" s="550">
        <v>27.933599999999998</v>
      </c>
      <c r="H426" s="550">
        <v>0</v>
      </c>
      <c r="I426" s="550">
        <v>0</v>
      </c>
      <c r="J426" s="550">
        <v>61.253100000000003</v>
      </c>
      <c r="K426" s="550">
        <v>33.319499999999998</v>
      </c>
    </row>
    <row r="427" spans="1:11" ht="15.75" hidden="1" customHeight="1" x14ac:dyDescent="0.25">
      <c r="A427" s="545" t="s">
        <v>6431</v>
      </c>
      <c r="B427" s="546" t="s">
        <v>6432</v>
      </c>
      <c r="C427" s="746"/>
      <c r="D427" s="746"/>
      <c r="E427" s="746"/>
      <c r="F427" s="746"/>
      <c r="G427" s="746"/>
      <c r="H427" s="746"/>
      <c r="I427" s="746"/>
      <c r="J427" s="547">
        <v>638.63019999999995</v>
      </c>
      <c r="K427" s="547">
        <v>201.94569999999999</v>
      </c>
    </row>
    <row r="428" spans="1:11" ht="15.75" hidden="1" customHeight="1" x14ac:dyDescent="0.25">
      <c r="A428" s="548" t="s">
        <v>6355</v>
      </c>
      <c r="B428" s="549" t="s">
        <v>6356</v>
      </c>
      <c r="C428" s="550">
        <v>931915.84730000002</v>
      </c>
      <c r="D428" s="550">
        <v>46.595799999999997</v>
      </c>
      <c r="E428" s="550">
        <v>16.770600000000002</v>
      </c>
      <c r="F428" s="550">
        <v>6.7952000000000004</v>
      </c>
      <c r="G428" s="550">
        <v>69.893699999999995</v>
      </c>
      <c r="H428" s="550">
        <v>276.32549999999998</v>
      </c>
      <c r="I428" s="550">
        <v>32.764899999999997</v>
      </c>
      <c r="J428" s="550">
        <v>449.14569999999998</v>
      </c>
      <c r="K428" s="550">
        <v>102.9265</v>
      </c>
    </row>
    <row r="429" spans="1:11" ht="15.75" hidden="1" customHeight="1" x14ac:dyDescent="0.25">
      <c r="A429" s="548" t="s">
        <v>6433</v>
      </c>
      <c r="B429" s="549" t="s">
        <v>6434</v>
      </c>
      <c r="C429" s="550">
        <v>511422.8873</v>
      </c>
      <c r="D429" s="550">
        <v>40.913800000000002</v>
      </c>
      <c r="E429" s="550">
        <v>9.4664000000000001</v>
      </c>
      <c r="F429" s="550">
        <v>0</v>
      </c>
      <c r="G429" s="550">
        <v>46.028100000000002</v>
      </c>
      <c r="H429" s="550">
        <v>0</v>
      </c>
      <c r="I429" s="550">
        <v>0</v>
      </c>
      <c r="J429" s="550">
        <v>96.408299999999997</v>
      </c>
      <c r="K429" s="550">
        <v>50.380200000000002</v>
      </c>
    </row>
    <row r="430" spans="1:11" ht="15.75" hidden="1" customHeight="1" x14ac:dyDescent="0.25">
      <c r="A430" s="548" t="s">
        <v>6435</v>
      </c>
      <c r="B430" s="549" t="s">
        <v>6436</v>
      </c>
      <c r="C430" s="550">
        <v>493746.87060000002</v>
      </c>
      <c r="D430" s="550">
        <v>39.499699999999997</v>
      </c>
      <c r="E430" s="550">
        <v>9.1393000000000004</v>
      </c>
      <c r="F430" s="550">
        <v>0</v>
      </c>
      <c r="G430" s="550">
        <v>44.437199999999997</v>
      </c>
      <c r="H430" s="550">
        <v>0</v>
      </c>
      <c r="I430" s="550">
        <v>0</v>
      </c>
      <c r="J430" s="550">
        <v>93.0762</v>
      </c>
      <c r="K430" s="550">
        <v>48.639000000000003</v>
      </c>
    </row>
    <row r="431" spans="1:11" ht="15.75" hidden="1" customHeight="1" x14ac:dyDescent="0.25">
      <c r="A431" s="545" t="s">
        <v>6437</v>
      </c>
      <c r="B431" s="546" t="s">
        <v>6438</v>
      </c>
      <c r="C431" s="746"/>
      <c r="D431" s="746"/>
      <c r="E431" s="746"/>
      <c r="F431" s="746"/>
      <c r="G431" s="746"/>
      <c r="H431" s="746"/>
      <c r="I431" s="746"/>
      <c r="J431" s="547">
        <v>721.58399999999995</v>
      </c>
      <c r="K431" s="547">
        <v>245.04640000000001</v>
      </c>
    </row>
    <row r="432" spans="1:11" ht="15.75" hidden="1" customHeight="1" x14ac:dyDescent="0.25">
      <c r="A432" s="548" t="s">
        <v>6433</v>
      </c>
      <c r="B432" s="549" t="s">
        <v>6434</v>
      </c>
      <c r="C432" s="550">
        <v>511422.8873</v>
      </c>
      <c r="D432" s="550">
        <v>40.913800000000002</v>
      </c>
      <c r="E432" s="550">
        <v>9.4664000000000001</v>
      </c>
      <c r="F432" s="550">
        <v>0</v>
      </c>
      <c r="G432" s="550">
        <v>46.028100000000002</v>
      </c>
      <c r="H432" s="550">
        <v>0</v>
      </c>
      <c r="I432" s="550">
        <v>0</v>
      </c>
      <c r="J432" s="550">
        <v>96.408299999999997</v>
      </c>
      <c r="K432" s="550">
        <v>50.380200000000002</v>
      </c>
    </row>
    <row r="433" spans="1:11" ht="15.75" hidden="1" customHeight="1" x14ac:dyDescent="0.25">
      <c r="A433" s="548" t="s">
        <v>6439</v>
      </c>
      <c r="B433" s="549" t="s">
        <v>6440</v>
      </c>
      <c r="C433" s="550">
        <v>1008445.545</v>
      </c>
      <c r="D433" s="550">
        <v>50.4223</v>
      </c>
      <c r="E433" s="550">
        <v>18.1478</v>
      </c>
      <c r="F433" s="550">
        <v>7.3532000000000002</v>
      </c>
      <c r="G433" s="550">
        <v>75.633399999999995</v>
      </c>
      <c r="H433" s="550">
        <v>276.32549999999998</v>
      </c>
      <c r="I433" s="550">
        <v>32.764899999999997</v>
      </c>
      <c r="J433" s="550">
        <v>460.64710000000002</v>
      </c>
      <c r="K433" s="550">
        <v>108.68819999999999</v>
      </c>
    </row>
    <row r="434" spans="1:11" ht="15.75" hidden="1" customHeight="1" x14ac:dyDescent="0.25">
      <c r="A434" s="548" t="s">
        <v>6441</v>
      </c>
      <c r="B434" s="549" t="s">
        <v>6442</v>
      </c>
      <c r="C434" s="550">
        <v>379037.7893</v>
      </c>
      <c r="D434" s="550">
        <v>30.323</v>
      </c>
      <c r="E434" s="550">
        <v>7.016</v>
      </c>
      <c r="F434" s="550">
        <v>0</v>
      </c>
      <c r="G434" s="550">
        <v>34.113399999999999</v>
      </c>
      <c r="H434" s="550">
        <v>0</v>
      </c>
      <c r="I434" s="550">
        <v>0</v>
      </c>
      <c r="J434" s="550">
        <v>71.452399999999997</v>
      </c>
      <c r="K434" s="550">
        <v>37.338999999999999</v>
      </c>
    </row>
    <row r="435" spans="1:11" ht="15.75" hidden="1" customHeight="1" x14ac:dyDescent="0.25">
      <c r="A435" s="548" t="s">
        <v>6435</v>
      </c>
      <c r="B435" s="549" t="s">
        <v>6436</v>
      </c>
      <c r="C435" s="550">
        <v>493746.87060000002</v>
      </c>
      <c r="D435" s="550">
        <v>39.499699999999997</v>
      </c>
      <c r="E435" s="550">
        <v>9.1393000000000004</v>
      </c>
      <c r="F435" s="550">
        <v>0</v>
      </c>
      <c r="G435" s="550">
        <v>44.437199999999997</v>
      </c>
      <c r="H435" s="550">
        <v>0</v>
      </c>
      <c r="I435" s="550">
        <v>0</v>
      </c>
      <c r="J435" s="550">
        <v>93.0762</v>
      </c>
      <c r="K435" s="550">
        <v>48.639000000000003</v>
      </c>
    </row>
    <row r="436" spans="1:11" ht="15.75" hidden="1" customHeight="1" x14ac:dyDescent="0.25">
      <c r="A436" s="545" t="s">
        <v>6443</v>
      </c>
      <c r="B436" s="546" t="s">
        <v>6444</v>
      </c>
      <c r="C436" s="746"/>
      <c r="D436" s="746"/>
      <c r="E436" s="746"/>
      <c r="F436" s="746"/>
      <c r="G436" s="746"/>
      <c r="H436" s="746"/>
      <c r="I436" s="746"/>
      <c r="J436" s="547">
        <v>1439.1316999999999</v>
      </c>
      <c r="K436" s="547">
        <v>576.53909999999996</v>
      </c>
    </row>
    <row r="437" spans="1:11" ht="15.75" hidden="1" customHeight="1" x14ac:dyDescent="0.25">
      <c r="A437" s="548" t="s">
        <v>6445</v>
      </c>
      <c r="B437" s="549" t="s">
        <v>6446</v>
      </c>
      <c r="C437" s="550">
        <v>5111286.7240000004</v>
      </c>
      <c r="D437" s="550">
        <v>255.5643</v>
      </c>
      <c r="E437" s="550">
        <v>91.981899999999996</v>
      </c>
      <c r="F437" s="550">
        <v>37.269799999999996</v>
      </c>
      <c r="G437" s="550">
        <v>383.34649999999999</v>
      </c>
      <c r="H437" s="550">
        <v>334.01979999999998</v>
      </c>
      <c r="I437" s="550">
        <v>32.764899999999997</v>
      </c>
      <c r="J437" s="550">
        <v>1134.9472000000001</v>
      </c>
      <c r="K437" s="550">
        <v>417.58089999999999</v>
      </c>
    </row>
    <row r="438" spans="1:11" ht="15.75" hidden="1" customHeight="1" x14ac:dyDescent="0.25">
      <c r="A438" s="548" t="s">
        <v>6433</v>
      </c>
      <c r="B438" s="549" t="s">
        <v>6434</v>
      </c>
      <c r="C438" s="550">
        <v>511422.8873</v>
      </c>
      <c r="D438" s="550">
        <v>40.913800000000002</v>
      </c>
      <c r="E438" s="550">
        <v>9.4664000000000001</v>
      </c>
      <c r="F438" s="550">
        <v>0</v>
      </c>
      <c r="G438" s="550">
        <v>46.028100000000002</v>
      </c>
      <c r="H438" s="550">
        <v>0</v>
      </c>
      <c r="I438" s="550">
        <v>0</v>
      </c>
      <c r="J438" s="550">
        <v>96.408299999999997</v>
      </c>
      <c r="K438" s="550">
        <v>50.380200000000002</v>
      </c>
    </row>
    <row r="439" spans="1:11" ht="15.75" hidden="1" customHeight="1" x14ac:dyDescent="0.25">
      <c r="A439" s="548" t="s">
        <v>6447</v>
      </c>
      <c r="B439" s="549" t="s">
        <v>6448</v>
      </c>
      <c r="C439" s="550">
        <v>608455.95189999999</v>
      </c>
      <c r="D439" s="550">
        <v>48.676499999999997</v>
      </c>
      <c r="E439" s="550">
        <v>11.262499999999999</v>
      </c>
      <c r="F439" s="550">
        <v>0</v>
      </c>
      <c r="G439" s="550">
        <v>54.761000000000003</v>
      </c>
      <c r="H439" s="550">
        <v>0</v>
      </c>
      <c r="I439" s="550">
        <v>0</v>
      </c>
      <c r="J439" s="550">
        <v>114.7</v>
      </c>
      <c r="K439" s="550">
        <v>59.939</v>
      </c>
    </row>
    <row r="440" spans="1:11" ht="15.75" hidden="1" customHeight="1" x14ac:dyDescent="0.25">
      <c r="A440" s="548" t="s">
        <v>6435</v>
      </c>
      <c r="B440" s="549" t="s">
        <v>6436</v>
      </c>
      <c r="C440" s="550">
        <v>493746.87060000002</v>
      </c>
      <c r="D440" s="550">
        <v>39.499699999999997</v>
      </c>
      <c r="E440" s="550">
        <v>9.1393000000000004</v>
      </c>
      <c r="F440" s="550">
        <v>0</v>
      </c>
      <c r="G440" s="550">
        <v>44.437199999999997</v>
      </c>
      <c r="H440" s="550">
        <v>0</v>
      </c>
      <c r="I440" s="550">
        <v>0</v>
      </c>
      <c r="J440" s="550">
        <v>93.0762</v>
      </c>
      <c r="K440" s="550">
        <v>48.639000000000003</v>
      </c>
    </row>
    <row r="441" spans="1:11" ht="30" hidden="1" customHeight="1" x14ac:dyDescent="0.25">
      <c r="A441" s="545" t="s">
        <v>6449</v>
      </c>
      <c r="B441" s="546" t="s">
        <v>6450</v>
      </c>
      <c r="C441" s="746"/>
      <c r="D441" s="746"/>
      <c r="E441" s="746"/>
      <c r="F441" s="746"/>
      <c r="G441" s="746"/>
      <c r="H441" s="746"/>
      <c r="I441" s="746"/>
      <c r="J441" s="547">
        <v>411.38499999999999</v>
      </c>
      <c r="K441" s="547">
        <v>129.19139999999999</v>
      </c>
    </row>
    <row r="442" spans="1:11" ht="30" hidden="1" customHeight="1" x14ac:dyDescent="0.25">
      <c r="A442" s="548" t="s">
        <v>6451</v>
      </c>
      <c r="B442" s="549" t="s">
        <v>6452</v>
      </c>
      <c r="C442" s="550">
        <v>401200</v>
      </c>
      <c r="D442" s="550">
        <v>40.119999999999997</v>
      </c>
      <c r="E442" s="550">
        <v>7.7355999999999998</v>
      </c>
      <c r="F442" s="550">
        <v>0</v>
      </c>
      <c r="G442" s="550">
        <v>40.119999999999997</v>
      </c>
      <c r="H442" s="550">
        <v>0</v>
      </c>
      <c r="I442" s="550">
        <v>0</v>
      </c>
      <c r="J442" s="550">
        <v>87.9756</v>
      </c>
      <c r="K442" s="550">
        <v>47.855600000000003</v>
      </c>
    </row>
    <row r="443" spans="1:11" ht="15.75" hidden="1" customHeight="1" x14ac:dyDescent="0.25">
      <c r="A443" s="548" t="s">
        <v>6375</v>
      </c>
      <c r="B443" s="549" t="s">
        <v>6376</v>
      </c>
      <c r="C443" s="550">
        <v>645139.39199999999</v>
      </c>
      <c r="D443" s="550">
        <v>32.256999999999998</v>
      </c>
      <c r="E443" s="550">
        <v>11.6098</v>
      </c>
      <c r="F443" s="550">
        <v>4.7041000000000004</v>
      </c>
      <c r="G443" s="550">
        <v>48.3855</v>
      </c>
      <c r="H443" s="550">
        <v>193.68809999999999</v>
      </c>
      <c r="I443" s="550">
        <v>32.764899999999997</v>
      </c>
      <c r="J443" s="550">
        <v>323.40940000000001</v>
      </c>
      <c r="K443" s="550">
        <v>81.335800000000006</v>
      </c>
    </row>
    <row r="444" spans="1:11" ht="15.75" hidden="1" customHeight="1" x14ac:dyDescent="0.25">
      <c r="A444" s="545" t="s">
        <v>6453</v>
      </c>
      <c r="B444" s="546" t="s">
        <v>6454</v>
      </c>
      <c r="C444" s="746"/>
      <c r="D444" s="746"/>
      <c r="E444" s="746"/>
      <c r="F444" s="746"/>
      <c r="G444" s="746"/>
      <c r="H444" s="746"/>
      <c r="I444" s="746"/>
      <c r="J444" s="547">
        <v>359.94909999999999</v>
      </c>
      <c r="K444" s="547">
        <v>118.3669</v>
      </c>
    </row>
    <row r="445" spans="1:11" ht="15.75" hidden="1" customHeight="1" x14ac:dyDescent="0.25">
      <c r="A445" s="548" t="s">
        <v>6455</v>
      </c>
      <c r="B445" s="549" t="s">
        <v>6456</v>
      </c>
      <c r="C445" s="550">
        <v>719991.61</v>
      </c>
      <c r="D445" s="550">
        <v>35.999600000000001</v>
      </c>
      <c r="E445" s="550">
        <v>12.956799999999999</v>
      </c>
      <c r="F445" s="550">
        <v>5.2499000000000002</v>
      </c>
      <c r="G445" s="550">
        <v>53.999400000000001</v>
      </c>
      <c r="H445" s="550">
        <v>159.4186</v>
      </c>
      <c r="I445" s="550">
        <v>35.0227</v>
      </c>
      <c r="J445" s="550">
        <v>302.64699999999999</v>
      </c>
      <c r="K445" s="550">
        <v>89.228999999999999</v>
      </c>
    </row>
    <row r="446" spans="1:11" ht="15.75" hidden="1" customHeight="1" x14ac:dyDescent="0.25">
      <c r="A446" s="548" t="s">
        <v>6457</v>
      </c>
      <c r="B446" s="549" t="s">
        <v>6458</v>
      </c>
      <c r="C446" s="550">
        <v>203408.4</v>
      </c>
      <c r="D446" s="550">
        <v>25.0349</v>
      </c>
      <c r="E446" s="550">
        <v>4.1029999999999998</v>
      </c>
      <c r="F446" s="550">
        <v>0</v>
      </c>
      <c r="G446" s="550">
        <v>28.164200000000001</v>
      </c>
      <c r="H446" s="550">
        <v>0</v>
      </c>
      <c r="I446" s="550">
        <v>0</v>
      </c>
      <c r="J446" s="550">
        <v>57.302100000000003</v>
      </c>
      <c r="K446" s="550">
        <v>29.137899999999998</v>
      </c>
    </row>
    <row r="447" spans="1:11" ht="15.75" hidden="1" customHeight="1" x14ac:dyDescent="0.25">
      <c r="A447" s="545" t="s">
        <v>6459</v>
      </c>
      <c r="B447" s="546" t="s">
        <v>6460</v>
      </c>
      <c r="C447" s="746"/>
      <c r="D447" s="746"/>
      <c r="E447" s="746"/>
      <c r="F447" s="746"/>
      <c r="G447" s="746"/>
      <c r="H447" s="746"/>
      <c r="I447" s="746"/>
      <c r="J447" s="547">
        <v>335.59500000000003</v>
      </c>
      <c r="K447" s="547">
        <v>130.24959999999999</v>
      </c>
    </row>
    <row r="448" spans="1:11" ht="30" hidden="1" customHeight="1" x14ac:dyDescent="0.25">
      <c r="A448" s="548" t="s">
        <v>6461</v>
      </c>
      <c r="B448" s="549" t="s">
        <v>6462</v>
      </c>
      <c r="C448" s="550">
        <v>373007.5613</v>
      </c>
      <c r="D448" s="550">
        <v>22.380500000000001</v>
      </c>
      <c r="E448" s="550">
        <v>6.9043999999999999</v>
      </c>
      <c r="F448" s="550">
        <v>2.7976000000000001</v>
      </c>
      <c r="G448" s="550">
        <v>33.570700000000002</v>
      </c>
      <c r="H448" s="550">
        <v>123.6307</v>
      </c>
      <c r="I448" s="550">
        <v>40.740299999999998</v>
      </c>
      <c r="J448" s="550">
        <v>230.02420000000001</v>
      </c>
      <c r="K448" s="550">
        <v>72.822800000000001</v>
      </c>
    </row>
    <row r="449" spans="1:11" ht="15.75" hidden="1" customHeight="1" x14ac:dyDescent="0.25">
      <c r="A449" s="548" t="s">
        <v>6463</v>
      </c>
      <c r="B449" s="549" t="s">
        <v>6464</v>
      </c>
      <c r="C449" s="550">
        <v>481440</v>
      </c>
      <c r="D449" s="550">
        <v>48.143999999999998</v>
      </c>
      <c r="E449" s="550">
        <v>9.2827999999999999</v>
      </c>
      <c r="F449" s="550">
        <v>0</v>
      </c>
      <c r="G449" s="550">
        <v>48.143999999999998</v>
      </c>
      <c r="H449" s="550">
        <v>0</v>
      </c>
      <c r="I449" s="550">
        <v>0</v>
      </c>
      <c r="J449" s="550">
        <v>105.57080000000001</v>
      </c>
      <c r="K449" s="550">
        <v>57.4268</v>
      </c>
    </row>
    <row r="450" spans="1:11" ht="15.75" hidden="1" customHeight="1" x14ac:dyDescent="0.25">
      <c r="A450" s="545" t="s">
        <v>6465</v>
      </c>
      <c r="B450" s="546" t="s">
        <v>6466</v>
      </c>
      <c r="C450" s="746"/>
      <c r="D450" s="746"/>
      <c r="E450" s="746"/>
      <c r="F450" s="746"/>
      <c r="G450" s="746"/>
      <c r="H450" s="746"/>
      <c r="I450" s="746"/>
      <c r="J450" s="547">
        <v>196.29390000000001</v>
      </c>
      <c r="K450" s="547">
        <v>75.776300000000006</v>
      </c>
    </row>
    <row r="451" spans="1:11" ht="15.75" hidden="1" customHeight="1" x14ac:dyDescent="0.25">
      <c r="A451" s="548" t="s">
        <v>6467</v>
      </c>
      <c r="B451" s="549" t="s">
        <v>6468</v>
      </c>
      <c r="C451" s="550">
        <v>515586.89799999999</v>
      </c>
      <c r="D451" s="550">
        <v>25.779299999999999</v>
      </c>
      <c r="E451" s="550">
        <v>9.2783999999999995</v>
      </c>
      <c r="F451" s="550">
        <v>3.7595000000000001</v>
      </c>
      <c r="G451" s="550">
        <v>38.668999999999997</v>
      </c>
      <c r="H451" s="550">
        <v>73.744600000000005</v>
      </c>
      <c r="I451" s="550">
        <v>28.366700000000002</v>
      </c>
      <c r="J451" s="550">
        <v>179.5975</v>
      </c>
      <c r="K451" s="550">
        <v>67.183899999999994</v>
      </c>
    </row>
    <row r="452" spans="1:11" ht="15.75" hidden="1" customHeight="1" x14ac:dyDescent="0.25">
      <c r="A452" s="548" t="s">
        <v>6469</v>
      </c>
      <c r="B452" s="549" t="s">
        <v>6470</v>
      </c>
      <c r="C452" s="550">
        <v>72035.460000000006</v>
      </c>
      <c r="D452" s="550">
        <v>7.2035</v>
      </c>
      <c r="E452" s="550">
        <v>1.3889</v>
      </c>
      <c r="F452" s="550">
        <v>0</v>
      </c>
      <c r="G452" s="550">
        <v>8.1039999999999992</v>
      </c>
      <c r="H452" s="550">
        <v>0</v>
      </c>
      <c r="I452" s="550">
        <v>0</v>
      </c>
      <c r="J452" s="550">
        <v>16.696400000000001</v>
      </c>
      <c r="K452" s="550">
        <v>8.5923999999999996</v>
      </c>
    </row>
    <row r="453" spans="1:11" ht="15.75" hidden="1" customHeight="1" x14ac:dyDescent="0.25">
      <c r="A453" s="545" t="s">
        <v>6471</v>
      </c>
      <c r="B453" s="546" t="s">
        <v>6472</v>
      </c>
      <c r="C453" s="746"/>
      <c r="D453" s="746"/>
      <c r="E453" s="746"/>
      <c r="F453" s="746"/>
      <c r="G453" s="746"/>
      <c r="H453" s="746"/>
      <c r="I453" s="746"/>
      <c r="J453" s="547">
        <v>190.89009999999999</v>
      </c>
      <c r="K453" s="547">
        <v>73.191000000000003</v>
      </c>
    </row>
    <row r="454" spans="1:11" ht="15.75" hidden="1" customHeight="1" x14ac:dyDescent="0.25">
      <c r="A454" s="548" t="s">
        <v>6473</v>
      </c>
      <c r="B454" s="549" t="s">
        <v>6474</v>
      </c>
      <c r="C454" s="550">
        <v>536578.54379999998</v>
      </c>
      <c r="D454" s="550">
        <v>26.828900000000001</v>
      </c>
      <c r="E454" s="550">
        <v>9.6562000000000001</v>
      </c>
      <c r="F454" s="550">
        <v>3.9125999999999999</v>
      </c>
      <c r="G454" s="550">
        <v>40.243400000000001</v>
      </c>
      <c r="H454" s="550">
        <v>73.744600000000005</v>
      </c>
      <c r="I454" s="550">
        <v>28.366700000000002</v>
      </c>
      <c r="J454" s="550">
        <v>182.75239999999999</v>
      </c>
      <c r="K454" s="550">
        <v>68.764399999999995</v>
      </c>
    </row>
    <row r="455" spans="1:11" ht="15.75" hidden="1" customHeight="1" x14ac:dyDescent="0.25">
      <c r="A455" s="548" t="s">
        <v>6475</v>
      </c>
      <c r="B455" s="549" t="s">
        <v>6476</v>
      </c>
      <c r="C455" s="550">
        <v>37111</v>
      </c>
      <c r="D455" s="550">
        <v>3.7111000000000001</v>
      </c>
      <c r="E455" s="550">
        <v>0.71550000000000002</v>
      </c>
      <c r="F455" s="550">
        <v>0</v>
      </c>
      <c r="G455" s="550">
        <v>3.7111000000000001</v>
      </c>
      <c r="H455" s="550">
        <v>0</v>
      </c>
      <c r="I455" s="550">
        <v>0</v>
      </c>
      <c r="J455" s="550">
        <v>8.1377000000000006</v>
      </c>
      <c r="K455" s="550">
        <v>4.4265999999999996</v>
      </c>
    </row>
    <row r="456" spans="1:11" ht="15.75" hidden="1" customHeight="1" x14ac:dyDescent="0.25">
      <c r="A456" s="545" t="s">
        <v>6477</v>
      </c>
      <c r="B456" s="546" t="s">
        <v>6478</v>
      </c>
      <c r="C456" s="746"/>
      <c r="D456" s="746"/>
      <c r="E456" s="746"/>
      <c r="F456" s="746"/>
      <c r="G456" s="746"/>
      <c r="H456" s="746"/>
      <c r="I456" s="746"/>
      <c r="J456" s="547">
        <v>329.4855</v>
      </c>
      <c r="K456" s="547">
        <v>106.3216</v>
      </c>
    </row>
    <row r="457" spans="1:11" ht="30" hidden="1" customHeight="1" x14ac:dyDescent="0.25">
      <c r="A457" s="548" t="s">
        <v>6479</v>
      </c>
      <c r="B457" s="549" t="s">
        <v>6480</v>
      </c>
      <c r="C457" s="550">
        <v>511515.03840000002</v>
      </c>
      <c r="D457" s="550">
        <v>30.690899999999999</v>
      </c>
      <c r="E457" s="550">
        <v>9.4680999999999997</v>
      </c>
      <c r="F457" s="550">
        <v>3.8363999999999998</v>
      </c>
      <c r="G457" s="550">
        <v>46.0364</v>
      </c>
      <c r="H457" s="550">
        <v>140.1148</v>
      </c>
      <c r="I457" s="550">
        <v>28.366700000000002</v>
      </c>
      <c r="J457" s="550">
        <v>258.51330000000002</v>
      </c>
      <c r="K457" s="550">
        <v>72.362099999999998</v>
      </c>
    </row>
    <row r="458" spans="1:11" ht="15.75" hidden="1" customHeight="1" x14ac:dyDescent="0.25">
      <c r="A458" s="548" t="s">
        <v>6481</v>
      </c>
      <c r="B458" s="549" t="s">
        <v>6482</v>
      </c>
      <c r="C458" s="550">
        <v>220660</v>
      </c>
      <c r="D458" s="550">
        <v>29.421299999999999</v>
      </c>
      <c r="E458" s="550">
        <v>4.5381999999999998</v>
      </c>
      <c r="F458" s="550">
        <v>0</v>
      </c>
      <c r="G458" s="550">
        <v>29.421299999999999</v>
      </c>
      <c r="H458" s="550">
        <v>7.5914000000000001</v>
      </c>
      <c r="I458" s="550">
        <v>0</v>
      </c>
      <c r="J458" s="550">
        <v>70.972200000000001</v>
      </c>
      <c r="K458" s="550">
        <v>33.959499999999998</v>
      </c>
    </row>
    <row r="459" spans="1:11" ht="15.75" hidden="1" customHeight="1" x14ac:dyDescent="0.25">
      <c r="A459" s="545" t="s">
        <v>6483</v>
      </c>
      <c r="B459" s="546" t="s">
        <v>6484</v>
      </c>
      <c r="C459" s="746"/>
      <c r="D459" s="746"/>
      <c r="E459" s="746"/>
      <c r="F459" s="746"/>
      <c r="G459" s="746"/>
      <c r="H459" s="746"/>
      <c r="I459" s="746"/>
      <c r="J459" s="547">
        <v>198.68969999999999</v>
      </c>
      <c r="K459" s="547">
        <v>77.009299999999996</v>
      </c>
    </row>
    <row r="460" spans="1:11" ht="15.75" hidden="1" customHeight="1" x14ac:dyDescent="0.25">
      <c r="A460" s="548" t="s">
        <v>6467</v>
      </c>
      <c r="B460" s="549" t="s">
        <v>6468</v>
      </c>
      <c r="C460" s="550">
        <v>515586.89799999999</v>
      </c>
      <c r="D460" s="550">
        <v>25.779299999999999</v>
      </c>
      <c r="E460" s="550">
        <v>9.2783999999999995</v>
      </c>
      <c r="F460" s="550">
        <v>3.7595000000000001</v>
      </c>
      <c r="G460" s="550">
        <v>38.668999999999997</v>
      </c>
      <c r="H460" s="550">
        <v>73.744600000000005</v>
      </c>
      <c r="I460" s="550">
        <v>28.366700000000002</v>
      </c>
      <c r="J460" s="550">
        <v>179.5975</v>
      </c>
      <c r="K460" s="550">
        <v>67.183899999999994</v>
      </c>
    </row>
    <row r="461" spans="1:11" ht="15.75" hidden="1" customHeight="1" x14ac:dyDescent="0.25">
      <c r="A461" s="548" t="s">
        <v>6485</v>
      </c>
      <c r="B461" s="549" t="s">
        <v>6486</v>
      </c>
      <c r="C461" s="550">
        <v>82371.805300000007</v>
      </c>
      <c r="D461" s="550">
        <v>8.2371999999999996</v>
      </c>
      <c r="E461" s="550">
        <v>1.5882000000000001</v>
      </c>
      <c r="F461" s="550">
        <v>0</v>
      </c>
      <c r="G461" s="550">
        <v>9.2667999999999999</v>
      </c>
      <c r="H461" s="550">
        <v>0</v>
      </c>
      <c r="I461" s="550">
        <v>0</v>
      </c>
      <c r="J461" s="550">
        <v>19.092199999999998</v>
      </c>
      <c r="K461" s="550">
        <v>9.8254000000000001</v>
      </c>
    </row>
    <row r="462" spans="1:11" ht="15.75" hidden="1" customHeight="1" x14ac:dyDescent="0.25">
      <c r="A462" s="545" t="s">
        <v>6487</v>
      </c>
      <c r="B462" s="546" t="s">
        <v>6488</v>
      </c>
      <c r="C462" s="746"/>
      <c r="D462" s="746"/>
      <c r="E462" s="746"/>
      <c r="F462" s="746"/>
      <c r="G462" s="746"/>
      <c r="H462" s="746"/>
      <c r="I462" s="746"/>
      <c r="J462" s="547">
        <v>266.78620000000001</v>
      </c>
      <c r="K462" s="547">
        <v>63.936100000000003</v>
      </c>
    </row>
    <row r="463" spans="1:11" ht="30" hidden="1" customHeight="1" x14ac:dyDescent="0.25">
      <c r="A463" s="548" t="s">
        <v>6489</v>
      </c>
      <c r="B463" s="549" t="s">
        <v>6490</v>
      </c>
      <c r="C463" s="550">
        <v>536578.54379999998</v>
      </c>
      <c r="D463" s="550">
        <v>32.194699999999997</v>
      </c>
      <c r="E463" s="550">
        <v>9.9321000000000002</v>
      </c>
      <c r="F463" s="550">
        <v>4.0243000000000002</v>
      </c>
      <c r="G463" s="550">
        <v>48.292099999999998</v>
      </c>
      <c r="H463" s="550">
        <v>140.1148</v>
      </c>
      <c r="I463" s="550">
        <v>0</v>
      </c>
      <c r="J463" s="550">
        <v>234.55799999999999</v>
      </c>
      <c r="K463" s="550">
        <v>46.1511</v>
      </c>
    </row>
    <row r="464" spans="1:11" ht="15.75" hidden="1" customHeight="1" x14ac:dyDescent="0.25">
      <c r="A464" s="548" t="s">
        <v>6491</v>
      </c>
      <c r="B464" s="549" t="s">
        <v>6492</v>
      </c>
      <c r="C464" s="550">
        <v>180540</v>
      </c>
      <c r="D464" s="550">
        <v>14.443199999999999</v>
      </c>
      <c r="E464" s="550">
        <v>3.3418000000000001</v>
      </c>
      <c r="F464" s="550">
        <v>0</v>
      </c>
      <c r="G464" s="550">
        <v>14.443199999999999</v>
      </c>
      <c r="H464" s="550">
        <v>0</v>
      </c>
      <c r="I464" s="550">
        <v>0</v>
      </c>
      <c r="J464" s="550">
        <v>32.228200000000001</v>
      </c>
      <c r="K464" s="550">
        <v>17.785</v>
      </c>
    </row>
    <row r="465" spans="1:11" ht="15.75" hidden="1" customHeight="1" x14ac:dyDescent="0.25">
      <c r="A465" s="545" t="s">
        <v>6493</v>
      </c>
      <c r="B465" s="546" t="s">
        <v>6494</v>
      </c>
      <c r="C465" s="746"/>
      <c r="D465" s="746"/>
      <c r="E465" s="746"/>
      <c r="F465" s="746"/>
      <c r="G465" s="746"/>
      <c r="H465" s="746"/>
      <c r="I465" s="746"/>
      <c r="J465" s="547">
        <v>355.14510000000001</v>
      </c>
      <c r="K465" s="547">
        <v>94.613699999999994</v>
      </c>
    </row>
    <row r="466" spans="1:11" ht="30" hidden="1" customHeight="1" x14ac:dyDescent="0.25">
      <c r="A466" s="548" t="s">
        <v>6495</v>
      </c>
      <c r="B466" s="549" t="s">
        <v>6496</v>
      </c>
      <c r="C466" s="550">
        <v>647306.12620000006</v>
      </c>
      <c r="D466" s="550">
        <v>38.8384</v>
      </c>
      <c r="E466" s="550">
        <v>11.9816</v>
      </c>
      <c r="F466" s="550">
        <v>4.8548</v>
      </c>
      <c r="G466" s="550">
        <v>58.257599999999996</v>
      </c>
      <c r="H466" s="550">
        <v>193.68809999999999</v>
      </c>
      <c r="I466" s="550">
        <v>28.366700000000002</v>
      </c>
      <c r="J466" s="550">
        <v>335.98719999999997</v>
      </c>
      <c r="K466" s="550">
        <v>84.041499999999999</v>
      </c>
    </row>
    <row r="467" spans="1:11" ht="15.75" hidden="1" customHeight="1" x14ac:dyDescent="0.25">
      <c r="A467" s="548" t="s">
        <v>6497</v>
      </c>
      <c r="B467" s="549" t="s">
        <v>6498</v>
      </c>
      <c r="C467" s="550">
        <v>107321</v>
      </c>
      <c r="D467" s="550">
        <v>8.5856999999999992</v>
      </c>
      <c r="E467" s="550">
        <v>1.9864999999999999</v>
      </c>
      <c r="F467" s="550">
        <v>0</v>
      </c>
      <c r="G467" s="550">
        <v>8.5856999999999992</v>
      </c>
      <c r="H467" s="550">
        <v>0</v>
      </c>
      <c r="I467" s="550">
        <v>0</v>
      </c>
      <c r="J467" s="550">
        <v>19.157900000000001</v>
      </c>
      <c r="K467" s="550">
        <v>10.5722</v>
      </c>
    </row>
    <row r="468" spans="1:11" ht="15.75" hidden="1" customHeight="1" x14ac:dyDescent="0.25">
      <c r="A468" s="545" t="s">
        <v>6499</v>
      </c>
      <c r="B468" s="546" t="s">
        <v>6500</v>
      </c>
      <c r="C468" s="746"/>
      <c r="D468" s="746"/>
      <c r="E468" s="746"/>
      <c r="F468" s="746"/>
      <c r="G468" s="746"/>
      <c r="H468" s="746"/>
      <c r="I468" s="746"/>
      <c r="J468" s="547">
        <v>317.54759999999999</v>
      </c>
      <c r="K468" s="547">
        <v>93.666600000000003</v>
      </c>
    </row>
    <row r="469" spans="1:11" ht="15.75" hidden="1" customHeight="1" x14ac:dyDescent="0.25">
      <c r="A469" s="548" t="s">
        <v>6423</v>
      </c>
      <c r="B469" s="549" t="s">
        <v>6424</v>
      </c>
      <c r="C469" s="550">
        <v>719991.61</v>
      </c>
      <c r="D469" s="550">
        <v>35.999600000000001</v>
      </c>
      <c r="E469" s="550">
        <v>12.956799999999999</v>
      </c>
      <c r="F469" s="550">
        <v>5.2499000000000002</v>
      </c>
      <c r="G469" s="550">
        <v>53.999400000000001</v>
      </c>
      <c r="H469" s="550">
        <v>159.4186</v>
      </c>
      <c r="I469" s="550">
        <v>28.366700000000002</v>
      </c>
      <c r="J469" s="550">
        <v>295.99099999999999</v>
      </c>
      <c r="K469" s="550">
        <v>82.572999999999993</v>
      </c>
    </row>
    <row r="470" spans="1:11" ht="15.75" hidden="1" customHeight="1" x14ac:dyDescent="0.25">
      <c r="A470" s="548" t="s">
        <v>6501</v>
      </c>
      <c r="B470" s="549" t="s">
        <v>6502</v>
      </c>
      <c r="C470" s="550">
        <v>93004.415299999993</v>
      </c>
      <c r="D470" s="550">
        <v>9.3003999999999998</v>
      </c>
      <c r="E470" s="550">
        <v>1.7931999999999999</v>
      </c>
      <c r="F470" s="550">
        <v>0</v>
      </c>
      <c r="G470" s="550">
        <v>10.462999999999999</v>
      </c>
      <c r="H470" s="550">
        <v>0</v>
      </c>
      <c r="I470" s="550">
        <v>0</v>
      </c>
      <c r="J470" s="550">
        <v>21.5566</v>
      </c>
      <c r="K470" s="550">
        <v>11.0936</v>
      </c>
    </row>
    <row r="471" spans="1:11" ht="15.75" hidden="1" customHeight="1" x14ac:dyDescent="0.25">
      <c r="A471" s="545" t="s">
        <v>6503</v>
      </c>
      <c r="B471" s="546" t="s">
        <v>6504</v>
      </c>
      <c r="C471" s="746"/>
      <c r="D471" s="746"/>
      <c r="E471" s="746"/>
      <c r="F471" s="746"/>
      <c r="G471" s="746"/>
      <c r="H471" s="746"/>
      <c r="I471" s="746"/>
      <c r="J471" s="547">
        <v>305.0197</v>
      </c>
      <c r="K471" s="547">
        <v>87.367800000000003</v>
      </c>
    </row>
    <row r="472" spans="1:11" ht="15.75" hidden="1" customHeight="1" x14ac:dyDescent="0.25">
      <c r="A472" s="548" t="s">
        <v>6505</v>
      </c>
      <c r="B472" s="549" t="s">
        <v>6506</v>
      </c>
      <c r="C472" s="550">
        <v>647808.80779999995</v>
      </c>
      <c r="D472" s="550">
        <v>32.3904</v>
      </c>
      <c r="E472" s="550">
        <v>11.6579</v>
      </c>
      <c r="F472" s="550">
        <v>4.7236000000000002</v>
      </c>
      <c r="G472" s="550">
        <v>48.585700000000003</v>
      </c>
      <c r="H472" s="550">
        <v>159.4186</v>
      </c>
      <c r="I472" s="550">
        <v>28.366700000000002</v>
      </c>
      <c r="J472" s="550">
        <v>285.1429</v>
      </c>
      <c r="K472" s="550">
        <v>77.138599999999997</v>
      </c>
    </row>
    <row r="473" spans="1:11" ht="15.75" hidden="1" customHeight="1" x14ac:dyDescent="0.25">
      <c r="A473" s="548" t="s">
        <v>6507</v>
      </c>
      <c r="B473" s="549" t="s">
        <v>6508</v>
      </c>
      <c r="C473" s="550">
        <v>85756.5</v>
      </c>
      <c r="D473" s="550">
        <v>8.5756999999999994</v>
      </c>
      <c r="E473" s="550">
        <v>1.6535</v>
      </c>
      <c r="F473" s="550">
        <v>0</v>
      </c>
      <c r="G473" s="550">
        <v>9.6476000000000006</v>
      </c>
      <c r="H473" s="550">
        <v>0</v>
      </c>
      <c r="I473" s="550">
        <v>0</v>
      </c>
      <c r="J473" s="550">
        <v>19.876799999999999</v>
      </c>
      <c r="K473" s="550">
        <v>10.229200000000001</v>
      </c>
    </row>
    <row r="474" spans="1:11" ht="15.75" hidden="1" customHeight="1" x14ac:dyDescent="0.25">
      <c r="A474" s="545" t="s">
        <v>6509</v>
      </c>
      <c r="B474" s="546" t="s">
        <v>6510</v>
      </c>
      <c r="C474" s="746"/>
      <c r="D474" s="746"/>
      <c r="E474" s="746"/>
      <c r="F474" s="746"/>
      <c r="G474" s="746"/>
      <c r="H474" s="746"/>
      <c r="I474" s="746"/>
      <c r="J474" s="547">
        <v>279.03769999999997</v>
      </c>
      <c r="K474" s="547">
        <v>82.919600000000003</v>
      </c>
    </row>
    <row r="475" spans="1:11" ht="15.75" hidden="1" customHeight="1" x14ac:dyDescent="0.25">
      <c r="A475" s="548" t="s">
        <v>6511</v>
      </c>
      <c r="B475" s="549" t="s">
        <v>6512</v>
      </c>
      <c r="C475" s="550">
        <v>645139.39199999999</v>
      </c>
      <c r="D475" s="550">
        <v>32.256999999999998</v>
      </c>
      <c r="E475" s="550">
        <v>11.6098</v>
      </c>
      <c r="F475" s="550">
        <v>4.7041000000000004</v>
      </c>
      <c r="G475" s="550">
        <v>48.3855</v>
      </c>
      <c r="H475" s="550">
        <v>142.7176</v>
      </c>
      <c r="I475" s="550">
        <v>28.366700000000002</v>
      </c>
      <c r="J475" s="550">
        <v>268.04070000000002</v>
      </c>
      <c r="K475" s="550">
        <v>76.937600000000003</v>
      </c>
    </row>
    <row r="476" spans="1:11" ht="15.75" hidden="1" customHeight="1" x14ac:dyDescent="0.25">
      <c r="A476" s="548" t="s">
        <v>6513</v>
      </c>
      <c r="B476" s="549" t="s">
        <v>6514</v>
      </c>
      <c r="C476" s="550">
        <v>50150</v>
      </c>
      <c r="D476" s="550">
        <v>5.0149999999999997</v>
      </c>
      <c r="E476" s="550">
        <v>0.96699999999999997</v>
      </c>
      <c r="F476" s="550">
        <v>0</v>
      </c>
      <c r="G476" s="550">
        <v>5.0149999999999997</v>
      </c>
      <c r="H476" s="550">
        <v>0</v>
      </c>
      <c r="I476" s="550">
        <v>0</v>
      </c>
      <c r="J476" s="550">
        <v>10.997</v>
      </c>
      <c r="K476" s="550">
        <v>5.9820000000000002</v>
      </c>
    </row>
    <row r="477" spans="1:11" ht="15.75" hidden="1" customHeight="1" x14ac:dyDescent="0.25">
      <c r="A477" s="545" t="s">
        <v>6515</v>
      </c>
      <c r="B477" s="546" t="s">
        <v>6516</v>
      </c>
      <c r="C477" s="746"/>
      <c r="D477" s="746"/>
      <c r="E477" s="746"/>
      <c r="F477" s="746"/>
      <c r="G477" s="746"/>
      <c r="H477" s="746"/>
      <c r="I477" s="746"/>
      <c r="J477" s="547">
        <v>380.81779999999998</v>
      </c>
      <c r="K477" s="547">
        <v>117.4477</v>
      </c>
    </row>
    <row r="478" spans="1:11" ht="15.75" hidden="1" customHeight="1" x14ac:dyDescent="0.25">
      <c r="A478" s="548" t="s">
        <v>6517</v>
      </c>
      <c r="B478" s="549" t="s">
        <v>6518</v>
      </c>
      <c r="C478" s="550">
        <v>736245.90899999999</v>
      </c>
      <c r="D478" s="550">
        <v>36.8123</v>
      </c>
      <c r="E478" s="550">
        <v>13.2494</v>
      </c>
      <c r="F478" s="550">
        <v>5.3685</v>
      </c>
      <c r="G478" s="550">
        <v>55.218400000000003</v>
      </c>
      <c r="H478" s="550">
        <v>179.15610000000001</v>
      </c>
      <c r="I478" s="550">
        <v>32.764899999999997</v>
      </c>
      <c r="J478" s="550">
        <v>322.56959999999998</v>
      </c>
      <c r="K478" s="550">
        <v>88.195099999999996</v>
      </c>
    </row>
    <row r="479" spans="1:11" ht="15.75" hidden="1" customHeight="1" x14ac:dyDescent="0.25">
      <c r="A479" s="548" t="s">
        <v>6519</v>
      </c>
      <c r="B479" s="549" t="s">
        <v>6520</v>
      </c>
      <c r="C479" s="550">
        <v>161086.71830000001</v>
      </c>
      <c r="D479" s="550">
        <v>25.773900000000001</v>
      </c>
      <c r="E479" s="550">
        <v>3.4786999999999999</v>
      </c>
      <c r="F479" s="550">
        <v>0</v>
      </c>
      <c r="G479" s="550">
        <v>28.9956</v>
      </c>
      <c r="H479" s="550">
        <v>0</v>
      </c>
      <c r="I479" s="550">
        <v>0</v>
      </c>
      <c r="J479" s="550">
        <v>58.248199999999997</v>
      </c>
      <c r="K479" s="550">
        <v>29.252600000000001</v>
      </c>
    </row>
    <row r="480" spans="1:11" ht="15.75" hidden="1" customHeight="1" x14ac:dyDescent="0.25">
      <c r="A480" s="545" t="s">
        <v>6521</v>
      </c>
      <c r="B480" s="546" t="s">
        <v>6522</v>
      </c>
      <c r="C480" s="746"/>
      <c r="D480" s="746"/>
      <c r="E480" s="746"/>
      <c r="F480" s="746"/>
      <c r="G480" s="746"/>
      <c r="H480" s="746"/>
      <c r="I480" s="746"/>
      <c r="J480" s="547">
        <v>317.41309999999999</v>
      </c>
      <c r="K480" s="547">
        <v>93.447400000000002</v>
      </c>
    </row>
    <row r="481" spans="1:11" ht="15.75" hidden="1" customHeight="1" x14ac:dyDescent="0.25">
      <c r="A481" s="548" t="s">
        <v>6523</v>
      </c>
      <c r="B481" s="549" t="s">
        <v>6524</v>
      </c>
      <c r="C481" s="550">
        <v>736466.53659999999</v>
      </c>
      <c r="D481" s="550">
        <v>36.823300000000003</v>
      </c>
      <c r="E481" s="550">
        <v>13.253299999999999</v>
      </c>
      <c r="F481" s="550">
        <v>5.3700999999999999</v>
      </c>
      <c r="G481" s="550">
        <v>55.234999999999999</v>
      </c>
      <c r="H481" s="550">
        <v>159.4186</v>
      </c>
      <c r="I481" s="550">
        <v>28.366700000000002</v>
      </c>
      <c r="J481" s="550">
        <v>298.46699999999998</v>
      </c>
      <c r="K481" s="550">
        <v>83.813400000000001</v>
      </c>
    </row>
    <row r="482" spans="1:11" ht="15.75" hidden="1" customHeight="1" x14ac:dyDescent="0.25">
      <c r="A482" s="548" t="s">
        <v>6525</v>
      </c>
      <c r="B482" s="549" t="s">
        <v>6526</v>
      </c>
      <c r="C482" s="550">
        <v>67253.704899999997</v>
      </c>
      <c r="D482" s="550">
        <v>8.2774000000000001</v>
      </c>
      <c r="E482" s="550">
        <v>1.3566</v>
      </c>
      <c r="F482" s="550">
        <v>0</v>
      </c>
      <c r="G482" s="550">
        <v>9.3120999999999992</v>
      </c>
      <c r="H482" s="550">
        <v>0</v>
      </c>
      <c r="I482" s="550">
        <v>0</v>
      </c>
      <c r="J482" s="550">
        <v>18.946100000000001</v>
      </c>
      <c r="K482" s="550">
        <v>9.6340000000000003</v>
      </c>
    </row>
    <row r="483" spans="1:11" ht="15.75" hidden="1" customHeight="1" x14ac:dyDescent="0.25">
      <c r="A483" s="545" t="s">
        <v>6527</v>
      </c>
      <c r="B483" s="546" t="s">
        <v>6528</v>
      </c>
      <c r="C483" s="746"/>
      <c r="D483" s="746"/>
      <c r="E483" s="746"/>
      <c r="F483" s="746"/>
      <c r="G483" s="746"/>
      <c r="H483" s="746"/>
      <c r="I483" s="746"/>
      <c r="J483" s="547">
        <v>274.62740000000002</v>
      </c>
      <c r="K483" s="547">
        <v>81.254599999999996</v>
      </c>
    </row>
    <row r="484" spans="1:11" ht="30" hidden="1" customHeight="1" x14ac:dyDescent="0.25">
      <c r="A484" s="548" t="s">
        <v>6479</v>
      </c>
      <c r="B484" s="549" t="s">
        <v>6480</v>
      </c>
      <c r="C484" s="550">
        <v>511515.03840000002</v>
      </c>
      <c r="D484" s="550">
        <v>30.690899999999999</v>
      </c>
      <c r="E484" s="550">
        <v>9.4680999999999997</v>
      </c>
      <c r="F484" s="550">
        <v>3.8363999999999998</v>
      </c>
      <c r="G484" s="550">
        <v>46.0364</v>
      </c>
      <c r="H484" s="550">
        <v>140.1148</v>
      </c>
      <c r="I484" s="550">
        <v>28.366700000000002</v>
      </c>
      <c r="J484" s="550">
        <v>258.51330000000002</v>
      </c>
      <c r="K484" s="550">
        <v>72.362099999999998</v>
      </c>
    </row>
    <row r="485" spans="1:11" ht="15.75" hidden="1" customHeight="1" x14ac:dyDescent="0.25">
      <c r="A485" s="548" t="s">
        <v>6529</v>
      </c>
      <c r="B485" s="549" t="s">
        <v>6530</v>
      </c>
      <c r="C485" s="550">
        <v>90270</v>
      </c>
      <c r="D485" s="550">
        <v>7.2215999999999996</v>
      </c>
      <c r="E485" s="550">
        <v>1.6709000000000001</v>
      </c>
      <c r="F485" s="550">
        <v>0</v>
      </c>
      <c r="G485" s="550">
        <v>7.2215999999999996</v>
      </c>
      <c r="H485" s="550">
        <v>0</v>
      </c>
      <c r="I485" s="550">
        <v>0</v>
      </c>
      <c r="J485" s="550">
        <v>16.114100000000001</v>
      </c>
      <c r="K485" s="550">
        <v>8.8925000000000001</v>
      </c>
    </row>
    <row r="486" spans="1:11" ht="15.75" hidden="1" customHeight="1" x14ac:dyDescent="0.25">
      <c r="A486" s="545" t="s">
        <v>6531</v>
      </c>
      <c r="B486" s="546" t="s">
        <v>6532</v>
      </c>
      <c r="C486" s="746"/>
      <c r="D486" s="746"/>
      <c r="E486" s="746"/>
      <c r="F486" s="746"/>
      <c r="G486" s="746"/>
      <c r="H486" s="746"/>
      <c r="I486" s="746"/>
      <c r="J486" s="547">
        <v>450.27769999999998</v>
      </c>
      <c r="K486" s="547">
        <v>180.3664</v>
      </c>
    </row>
    <row r="487" spans="1:11" ht="15.75" hidden="1" customHeight="1" x14ac:dyDescent="0.25">
      <c r="A487" s="548" t="s">
        <v>6533</v>
      </c>
      <c r="B487" s="549" t="s">
        <v>6534</v>
      </c>
      <c r="C487" s="550">
        <v>422264.96960000001</v>
      </c>
      <c r="D487" s="550">
        <v>25.335899999999999</v>
      </c>
      <c r="E487" s="550">
        <v>7.8160999999999996</v>
      </c>
      <c r="F487" s="550">
        <v>3.1669999999999998</v>
      </c>
      <c r="G487" s="550">
        <v>38.003799999999998</v>
      </c>
      <c r="H487" s="550">
        <v>132.90299999999999</v>
      </c>
      <c r="I487" s="550">
        <v>28.366700000000002</v>
      </c>
      <c r="J487" s="550">
        <v>235.5925</v>
      </c>
      <c r="K487" s="550">
        <v>64.685699999999997</v>
      </c>
    </row>
    <row r="488" spans="1:11" ht="15.75" hidden="1" customHeight="1" x14ac:dyDescent="0.25">
      <c r="A488" s="548" t="s">
        <v>6535</v>
      </c>
      <c r="B488" s="549" t="s">
        <v>6536</v>
      </c>
      <c r="C488" s="550">
        <v>731939.25</v>
      </c>
      <c r="D488" s="550">
        <v>77.768500000000003</v>
      </c>
      <c r="E488" s="550">
        <v>14.1127</v>
      </c>
      <c r="F488" s="550">
        <v>0</v>
      </c>
      <c r="G488" s="550">
        <v>73.193899999999999</v>
      </c>
      <c r="H488" s="550">
        <v>25.810600000000001</v>
      </c>
      <c r="I488" s="550">
        <v>23.799499999999998</v>
      </c>
      <c r="J488" s="550">
        <v>214.68520000000001</v>
      </c>
      <c r="K488" s="550">
        <v>115.6807</v>
      </c>
    </row>
    <row r="489" spans="1:11" ht="15.75" hidden="1" customHeight="1" x14ac:dyDescent="0.25">
      <c r="A489" s="545" t="s">
        <v>6537</v>
      </c>
      <c r="B489" s="546" t="s">
        <v>6538</v>
      </c>
      <c r="C489" s="746"/>
      <c r="D489" s="746"/>
      <c r="E489" s="746"/>
      <c r="F489" s="746"/>
      <c r="G489" s="746"/>
      <c r="H489" s="746"/>
      <c r="I489" s="746"/>
      <c r="J489" s="547">
        <v>669.89200000000005</v>
      </c>
      <c r="K489" s="547">
        <v>293.15679999999998</v>
      </c>
    </row>
    <row r="490" spans="1:11" ht="15.75" hidden="1" customHeight="1" x14ac:dyDescent="0.25">
      <c r="A490" s="548" t="s">
        <v>6539</v>
      </c>
      <c r="B490" s="549" t="s">
        <v>6540</v>
      </c>
      <c r="C490" s="550">
        <v>143776.37289999999</v>
      </c>
      <c r="D490" s="550">
        <v>11.5021</v>
      </c>
      <c r="E490" s="550">
        <v>2.6613000000000002</v>
      </c>
      <c r="F490" s="550">
        <v>0</v>
      </c>
      <c r="G490" s="550">
        <v>11.5021</v>
      </c>
      <c r="H490" s="550">
        <v>27.746400000000001</v>
      </c>
      <c r="I490" s="550">
        <v>0</v>
      </c>
      <c r="J490" s="550">
        <v>53.411900000000003</v>
      </c>
      <c r="K490" s="550">
        <v>14.163399999999999</v>
      </c>
    </row>
    <row r="491" spans="1:11" ht="30" hidden="1" customHeight="1" x14ac:dyDescent="0.25">
      <c r="A491" s="548" t="s">
        <v>6541</v>
      </c>
      <c r="B491" s="549" t="s">
        <v>6542</v>
      </c>
      <c r="C491" s="550">
        <v>536547.36990000005</v>
      </c>
      <c r="D491" s="550">
        <v>32.192799999999998</v>
      </c>
      <c r="E491" s="550">
        <v>9.9314999999999998</v>
      </c>
      <c r="F491" s="550">
        <v>4.0240999999999998</v>
      </c>
      <c r="G491" s="550">
        <v>48.289299999999997</v>
      </c>
      <c r="H491" s="550">
        <v>140.1148</v>
      </c>
      <c r="I491" s="550">
        <v>28.366700000000002</v>
      </c>
      <c r="J491" s="550">
        <v>262.91919999999999</v>
      </c>
      <c r="K491" s="550">
        <v>74.515100000000004</v>
      </c>
    </row>
    <row r="492" spans="1:11" ht="15.75" hidden="1" customHeight="1" x14ac:dyDescent="0.25">
      <c r="A492" s="548" t="s">
        <v>6543</v>
      </c>
      <c r="B492" s="549" t="s">
        <v>6544</v>
      </c>
      <c r="C492" s="550">
        <v>1439312.932</v>
      </c>
      <c r="D492" s="550">
        <v>152.92699999999999</v>
      </c>
      <c r="E492" s="550">
        <v>27.751799999999999</v>
      </c>
      <c r="F492" s="550">
        <v>0</v>
      </c>
      <c r="G492" s="550">
        <v>143.93129999999999</v>
      </c>
      <c r="H492" s="550">
        <v>5.1513</v>
      </c>
      <c r="I492" s="550">
        <v>23.799499999999998</v>
      </c>
      <c r="J492" s="550">
        <v>353.5609</v>
      </c>
      <c r="K492" s="550">
        <v>204.47829999999999</v>
      </c>
    </row>
    <row r="493" spans="1:11" ht="15.75" hidden="1" customHeight="1" x14ac:dyDescent="0.25">
      <c r="A493" s="545" t="s">
        <v>6545</v>
      </c>
      <c r="B493" s="546" t="s">
        <v>6546</v>
      </c>
      <c r="C493" s="746"/>
      <c r="D493" s="746"/>
      <c r="E493" s="746"/>
      <c r="F493" s="746"/>
      <c r="G493" s="746"/>
      <c r="H493" s="746"/>
      <c r="I493" s="746"/>
      <c r="J493" s="547">
        <v>419.75439999999998</v>
      </c>
      <c r="K493" s="547">
        <v>123.09910000000001</v>
      </c>
    </row>
    <row r="494" spans="1:11" ht="15.75" hidden="1" customHeight="1" x14ac:dyDescent="0.25">
      <c r="A494" s="548" t="s">
        <v>6547</v>
      </c>
      <c r="B494" s="549" t="s">
        <v>6548</v>
      </c>
      <c r="C494" s="550">
        <v>740524.3615</v>
      </c>
      <c r="D494" s="550">
        <v>37.026200000000003</v>
      </c>
      <c r="E494" s="550">
        <v>13.3264</v>
      </c>
      <c r="F494" s="550">
        <v>5.3997000000000002</v>
      </c>
      <c r="G494" s="550">
        <v>55.539299999999997</v>
      </c>
      <c r="H494" s="550">
        <v>209.5215</v>
      </c>
      <c r="I494" s="550">
        <v>32.764899999999997</v>
      </c>
      <c r="J494" s="550">
        <v>353.57799999999997</v>
      </c>
      <c r="K494" s="550">
        <v>88.517200000000003</v>
      </c>
    </row>
    <row r="495" spans="1:11" ht="15.75" hidden="1" customHeight="1" x14ac:dyDescent="0.25">
      <c r="A495" s="548" t="s">
        <v>6549</v>
      </c>
      <c r="B495" s="549" t="s">
        <v>6550</v>
      </c>
      <c r="C495" s="550">
        <v>351050</v>
      </c>
      <c r="D495" s="550">
        <v>28.084</v>
      </c>
      <c r="E495" s="550">
        <v>6.4978999999999996</v>
      </c>
      <c r="F495" s="550">
        <v>0</v>
      </c>
      <c r="G495" s="550">
        <v>31.5945</v>
      </c>
      <c r="H495" s="550">
        <v>0</v>
      </c>
      <c r="I495" s="550">
        <v>0</v>
      </c>
      <c r="J495" s="550">
        <v>66.176400000000001</v>
      </c>
      <c r="K495" s="550">
        <v>34.581899999999997</v>
      </c>
    </row>
    <row r="496" spans="1:11" ht="15.75" hidden="1" customHeight="1" x14ac:dyDescent="0.25">
      <c r="A496" s="545" t="s">
        <v>6551</v>
      </c>
      <c r="B496" s="546" t="s">
        <v>6552</v>
      </c>
      <c r="C496" s="746"/>
      <c r="D496" s="746"/>
      <c r="E496" s="746"/>
      <c r="F496" s="746"/>
      <c r="G496" s="746"/>
      <c r="H496" s="746"/>
      <c r="I496" s="746"/>
      <c r="J496" s="547">
        <v>469.01920000000001</v>
      </c>
      <c r="K496" s="547">
        <v>138.1361</v>
      </c>
    </row>
    <row r="497" spans="1:11" ht="15.75" hidden="1" customHeight="1" x14ac:dyDescent="0.25">
      <c r="A497" s="548" t="s">
        <v>6553</v>
      </c>
      <c r="B497" s="549" t="s">
        <v>6554</v>
      </c>
      <c r="C497" s="550">
        <v>861510.45609999995</v>
      </c>
      <c r="D497" s="550">
        <v>43.075499999999998</v>
      </c>
      <c r="E497" s="550">
        <v>15.5036</v>
      </c>
      <c r="F497" s="550">
        <v>6.2817999999999996</v>
      </c>
      <c r="G497" s="550">
        <v>64.613299999999995</v>
      </c>
      <c r="H497" s="550">
        <v>229.25909999999999</v>
      </c>
      <c r="I497" s="550">
        <v>32.764899999999997</v>
      </c>
      <c r="J497" s="550">
        <v>391.4982</v>
      </c>
      <c r="K497" s="550">
        <v>97.625799999999998</v>
      </c>
    </row>
    <row r="498" spans="1:11" ht="15.75" hidden="1" customHeight="1" x14ac:dyDescent="0.25">
      <c r="A498" s="548" t="s">
        <v>6555</v>
      </c>
      <c r="B498" s="549" t="s">
        <v>6556</v>
      </c>
      <c r="C498" s="550">
        <v>411230</v>
      </c>
      <c r="D498" s="550">
        <v>32.898400000000002</v>
      </c>
      <c r="E498" s="550">
        <v>7.6119000000000003</v>
      </c>
      <c r="F498" s="550">
        <v>0</v>
      </c>
      <c r="G498" s="550">
        <v>37.0107</v>
      </c>
      <c r="H498" s="550">
        <v>0</v>
      </c>
      <c r="I498" s="550">
        <v>0</v>
      </c>
      <c r="J498" s="550">
        <v>77.521000000000001</v>
      </c>
      <c r="K498" s="550">
        <v>40.510300000000001</v>
      </c>
    </row>
    <row r="499" spans="1:11" ht="15.75" hidden="1" customHeight="1" x14ac:dyDescent="0.25">
      <c r="A499" s="545" t="s">
        <v>6557</v>
      </c>
      <c r="B499" s="546" t="s">
        <v>6558</v>
      </c>
      <c r="C499" s="746"/>
      <c r="D499" s="746"/>
      <c r="E499" s="746"/>
      <c r="F499" s="746"/>
      <c r="G499" s="746"/>
      <c r="H499" s="746"/>
      <c r="I499" s="746"/>
      <c r="J499" s="547">
        <v>316.92779999999999</v>
      </c>
      <c r="K499" s="547">
        <v>93.347700000000003</v>
      </c>
    </row>
    <row r="500" spans="1:11" ht="15.75" hidden="1" customHeight="1" x14ac:dyDescent="0.25">
      <c r="A500" s="548" t="s">
        <v>6423</v>
      </c>
      <c r="B500" s="549" t="s">
        <v>6424</v>
      </c>
      <c r="C500" s="550">
        <v>719991.61</v>
      </c>
      <c r="D500" s="550">
        <v>35.999600000000001</v>
      </c>
      <c r="E500" s="550">
        <v>12.956799999999999</v>
      </c>
      <c r="F500" s="550">
        <v>5.2499000000000002</v>
      </c>
      <c r="G500" s="550">
        <v>53.999400000000001</v>
      </c>
      <c r="H500" s="550">
        <v>159.4186</v>
      </c>
      <c r="I500" s="550">
        <v>28.366700000000002</v>
      </c>
      <c r="J500" s="550">
        <v>295.99099999999999</v>
      </c>
      <c r="K500" s="550">
        <v>82.572999999999993</v>
      </c>
    </row>
    <row r="501" spans="1:11" ht="15.75" hidden="1" customHeight="1" x14ac:dyDescent="0.25">
      <c r="A501" s="548" t="s">
        <v>6559</v>
      </c>
      <c r="B501" s="549" t="s">
        <v>6560</v>
      </c>
      <c r="C501" s="550">
        <v>90330.18</v>
      </c>
      <c r="D501" s="550">
        <v>9.0329999999999995</v>
      </c>
      <c r="E501" s="550">
        <v>1.7417</v>
      </c>
      <c r="F501" s="550">
        <v>0</v>
      </c>
      <c r="G501" s="550">
        <v>10.162100000000001</v>
      </c>
      <c r="H501" s="550">
        <v>0</v>
      </c>
      <c r="I501" s="550">
        <v>0</v>
      </c>
      <c r="J501" s="550">
        <v>20.936800000000002</v>
      </c>
      <c r="K501" s="550">
        <v>10.774699999999999</v>
      </c>
    </row>
    <row r="502" spans="1:11" ht="15.75" hidden="1" customHeight="1" x14ac:dyDescent="0.25">
      <c r="A502" s="545" t="s">
        <v>6561</v>
      </c>
      <c r="B502" s="546" t="s">
        <v>6562</v>
      </c>
      <c r="C502" s="746"/>
      <c r="D502" s="746"/>
      <c r="E502" s="746"/>
      <c r="F502" s="746"/>
      <c r="G502" s="746"/>
      <c r="H502" s="746"/>
      <c r="I502" s="746"/>
      <c r="J502" s="547">
        <v>279.74959999999999</v>
      </c>
      <c r="K502" s="547">
        <v>83.802899999999994</v>
      </c>
    </row>
    <row r="503" spans="1:11" ht="30" hidden="1" customHeight="1" x14ac:dyDescent="0.25">
      <c r="A503" s="548" t="s">
        <v>6541</v>
      </c>
      <c r="B503" s="549" t="s">
        <v>6542</v>
      </c>
      <c r="C503" s="550">
        <v>536547.36990000005</v>
      </c>
      <c r="D503" s="550">
        <v>32.192799999999998</v>
      </c>
      <c r="E503" s="550">
        <v>9.9314999999999998</v>
      </c>
      <c r="F503" s="550">
        <v>4.0240999999999998</v>
      </c>
      <c r="G503" s="550">
        <v>48.289299999999997</v>
      </c>
      <c r="H503" s="550">
        <v>140.1148</v>
      </c>
      <c r="I503" s="550">
        <v>28.366700000000002</v>
      </c>
      <c r="J503" s="550">
        <v>262.91919999999999</v>
      </c>
      <c r="K503" s="550">
        <v>74.515100000000004</v>
      </c>
    </row>
    <row r="504" spans="1:11" ht="15.75" hidden="1" customHeight="1" x14ac:dyDescent="0.25">
      <c r="A504" s="548" t="s">
        <v>6563</v>
      </c>
      <c r="B504" s="549" t="s">
        <v>6564</v>
      </c>
      <c r="C504" s="550">
        <v>94282</v>
      </c>
      <c r="D504" s="550">
        <v>7.5426000000000002</v>
      </c>
      <c r="E504" s="550">
        <v>1.7452000000000001</v>
      </c>
      <c r="F504" s="550">
        <v>0</v>
      </c>
      <c r="G504" s="550">
        <v>7.5426000000000002</v>
      </c>
      <c r="H504" s="550">
        <v>0</v>
      </c>
      <c r="I504" s="550">
        <v>0</v>
      </c>
      <c r="J504" s="550">
        <v>16.830400000000001</v>
      </c>
      <c r="K504" s="550">
        <v>9.2878000000000007</v>
      </c>
    </row>
    <row r="505" spans="1:11" ht="15.75" hidden="1" customHeight="1" x14ac:dyDescent="0.25">
      <c r="A505" s="545" t="s">
        <v>6565</v>
      </c>
      <c r="B505" s="546" t="s">
        <v>6566</v>
      </c>
      <c r="C505" s="746"/>
      <c r="D505" s="746"/>
      <c r="E505" s="746"/>
      <c r="F505" s="746"/>
      <c r="G505" s="746"/>
      <c r="H505" s="746"/>
      <c r="I505" s="746"/>
      <c r="J505" s="547">
        <v>886.43269999999995</v>
      </c>
      <c r="K505" s="547">
        <v>299.40309999999999</v>
      </c>
    </row>
    <row r="506" spans="1:11" ht="15.75" hidden="1" customHeight="1" x14ac:dyDescent="0.25">
      <c r="A506" s="548" t="s">
        <v>6567</v>
      </c>
      <c r="B506" s="549" t="s">
        <v>6568</v>
      </c>
      <c r="C506" s="550">
        <v>812858.47849999997</v>
      </c>
      <c r="D506" s="550">
        <v>48.771500000000003</v>
      </c>
      <c r="E506" s="550">
        <v>15.045999999999999</v>
      </c>
      <c r="F506" s="550">
        <v>6.0964</v>
      </c>
      <c r="G506" s="550">
        <v>73.157300000000006</v>
      </c>
      <c r="H506" s="550">
        <v>284.35070000000002</v>
      </c>
      <c r="I506" s="550">
        <v>32.764899999999997</v>
      </c>
      <c r="J506" s="550">
        <v>460.18680000000001</v>
      </c>
      <c r="K506" s="550">
        <v>102.6788</v>
      </c>
    </row>
    <row r="507" spans="1:11" ht="15.75" hidden="1" customHeight="1" x14ac:dyDescent="0.25">
      <c r="A507" s="548" t="s">
        <v>6569</v>
      </c>
      <c r="B507" s="549" t="s">
        <v>6570</v>
      </c>
      <c r="C507" s="550">
        <v>1538109.527</v>
      </c>
      <c r="D507" s="550">
        <v>125.84529999999999</v>
      </c>
      <c r="E507" s="550">
        <v>28.039000000000001</v>
      </c>
      <c r="F507" s="550">
        <v>0</v>
      </c>
      <c r="G507" s="550">
        <v>125.84529999999999</v>
      </c>
      <c r="H507" s="550">
        <v>103.6763</v>
      </c>
      <c r="I507" s="550">
        <v>42.84</v>
      </c>
      <c r="J507" s="550">
        <v>426.24590000000001</v>
      </c>
      <c r="K507" s="550">
        <v>196.7243</v>
      </c>
    </row>
    <row r="508" spans="1:11" ht="15.75" hidden="1" customHeight="1" x14ac:dyDescent="0.25">
      <c r="A508" s="545" t="s">
        <v>6571</v>
      </c>
      <c r="B508" s="546" t="s">
        <v>6572</v>
      </c>
      <c r="C508" s="746"/>
      <c r="D508" s="746"/>
      <c r="E508" s="746"/>
      <c r="F508" s="746"/>
      <c r="G508" s="746"/>
      <c r="H508" s="746"/>
      <c r="I508" s="746"/>
      <c r="J508" s="547">
        <v>353.29309999999998</v>
      </c>
      <c r="K508" s="547">
        <v>111.7109</v>
      </c>
    </row>
    <row r="509" spans="1:11" ht="15.75" hidden="1" customHeight="1" x14ac:dyDescent="0.25">
      <c r="A509" s="548" t="s">
        <v>6423</v>
      </c>
      <c r="B509" s="549" t="s">
        <v>6424</v>
      </c>
      <c r="C509" s="550">
        <v>719991.61</v>
      </c>
      <c r="D509" s="550">
        <v>35.999600000000001</v>
      </c>
      <c r="E509" s="550">
        <v>12.956799999999999</v>
      </c>
      <c r="F509" s="550">
        <v>5.2499000000000002</v>
      </c>
      <c r="G509" s="550">
        <v>53.999400000000001</v>
      </c>
      <c r="H509" s="550">
        <v>159.4186</v>
      </c>
      <c r="I509" s="550">
        <v>28.366700000000002</v>
      </c>
      <c r="J509" s="550">
        <v>295.99099999999999</v>
      </c>
      <c r="K509" s="550">
        <v>82.572999999999993</v>
      </c>
    </row>
    <row r="510" spans="1:11" ht="15.75" hidden="1" customHeight="1" x14ac:dyDescent="0.25">
      <c r="A510" s="548" t="s">
        <v>6457</v>
      </c>
      <c r="B510" s="549" t="s">
        <v>6458</v>
      </c>
      <c r="C510" s="550">
        <v>203408.4</v>
      </c>
      <c r="D510" s="550">
        <v>25.0349</v>
      </c>
      <c r="E510" s="550">
        <v>4.1029999999999998</v>
      </c>
      <c r="F510" s="550">
        <v>0</v>
      </c>
      <c r="G510" s="550">
        <v>28.164200000000001</v>
      </c>
      <c r="H510" s="550">
        <v>0</v>
      </c>
      <c r="I510" s="550">
        <v>0</v>
      </c>
      <c r="J510" s="550">
        <v>57.302100000000003</v>
      </c>
      <c r="K510" s="550">
        <v>29.137899999999998</v>
      </c>
    </row>
    <row r="511" spans="1:11" ht="15.75" hidden="1" customHeight="1" x14ac:dyDescent="0.25">
      <c r="A511" s="545" t="s">
        <v>6573</v>
      </c>
      <c r="B511" s="546" t="s">
        <v>6574</v>
      </c>
      <c r="C511" s="746"/>
      <c r="D511" s="746"/>
      <c r="E511" s="746"/>
      <c r="F511" s="746"/>
      <c r="G511" s="746"/>
      <c r="H511" s="746"/>
      <c r="I511" s="746"/>
      <c r="J511" s="547">
        <v>1843.7121</v>
      </c>
      <c r="K511" s="547">
        <v>787.96140000000003</v>
      </c>
    </row>
    <row r="512" spans="1:11" ht="15.75" hidden="1" customHeight="1" x14ac:dyDescent="0.25">
      <c r="A512" s="548" t="s">
        <v>6445</v>
      </c>
      <c r="B512" s="549" t="s">
        <v>6446</v>
      </c>
      <c r="C512" s="550">
        <v>5111286.7240000004</v>
      </c>
      <c r="D512" s="550">
        <v>255.5643</v>
      </c>
      <c r="E512" s="550">
        <v>91.981899999999996</v>
      </c>
      <c r="F512" s="550">
        <v>37.269799999999996</v>
      </c>
      <c r="G512" s="550">
        <v>383.34649999999999</v>
      </c>
      <c r="H512" s="550">
        <v>334.01979999999998</v>
      </c>
      <c r="I512" s="550">
        <v>32.764899999999997</v>
      </c>
      <c r="J512" s="550">
        <v>1134.9472000000001</v>
      </c>
      <c r="K512" s="550">
        <v>417.58089999999999</v>
      </c>
    </row>
    <row r="513" spans="1:11" ht="15.75" hidden="1" customHeight="1" x14ac:dyDescent="0.25">
      <c r="A513" s="548" t="s">
        <v>6575</v>
      </c>
      <c r="B513" s="549" t="s">
        <v>6576</v>
      </c>
      <c r="C513" s="550">
        <v>1580247.5220000001</v>
      </c>
      <c r="D513" s="550">
        <v>126.4198</v>
      </c>
      <c r="E513" s="550">
        <v>29.250399999999999</v>
      </c>
      <c r="F513" s="550">
        <v>0</v>
      </c>
      <c r="G513" s="550">
        <v>142.22229999999999</v>
      </c>
      <c r="H513" s="550">
        <v>0</v>
      </c>
      <c r="I513" s="550">
        <v>0</v>
      </c>
      <c r="J513" s="550">
        <v>297.89249999999998</v>
      </c>
      <c r="K513" s="550">
        <v>155.67019999999999</v>
      </c>
    </row>
    <row r="514" spans="1:11" ht="15.75" hidden="1" customHeight="1" x14ac:dyDescent="0.25">
      <c r="A514" s="548" t="s">
        <v>6433</v>
      </c>
      <c r="B514" s="549" t="s">
        <v>6434</v>
      </c>
      <c r="C514" s="550">
        <v>511422.8873</v>
      </c>
      <c r="D514" s="550">
        <v>40.913800000000002</v>
      </c>
      <c r="E514" s="550">
        <v>9.4664000000000001</v>
      </c>
      <c r="F514" s="550">
        <v>0</v>
      </c>
      <c r="G514" s="550">
        <v>46.028100000000002</v>
      </c>
      <c r="H514" s="550">
        <v>0</v>
      </c>
      <c r="I514" s="550">
        <v>0</v>
      </c>
      <c r="J514" s="550">
        <v>96.408299999999997</v>
      </c>
      <c r="K514" s="550">
        <v>50.380200000000002</v>
      </c>
    </row>
    <row r="515" spans="1:11" ht="15.75" hidden="1" customHeight="1" x14ac:dyDescent="0.25">
      <c r="A515" s="548" t="s">
        <v>6577</v>
      </c>
      <c r="B515" s="549" t="s">
        <v>6578</v>
      </c>
      <c r="C515" s="550">
        <v>1668155.9580000001</v>
      </c>
      <c r="D515" s="550">
        <v>133.45249999999999</v>
      </c>
      <c r="E515" s="550">
        <v>30.877600000000001</v>
      </c>
      <c r="F515" s="550">
        <v>0</v>
      </c>
      <c r="G515" s="550">
        <v>150.13399999999999</v>
      </c>
      <c r="H515" s="550">
        <v>0</v>
      </c>
      <c r="I515" s="550">
        <v>0</v>
      </c>
      <c r="J515" s="550">
        <v>314.46409999999997</v>
      </c>
      <c r="K515" s="550">
        <v>164.33009999999999</v>
      </c>
    </row>
    <row r="516" spans="1:11" ht="15.75" hidden="1" customHeight="1" x14ac:dyDescent="0.25">
      <c r="A516" s="545" t="s">
        <v>6579</v>
      </c>
      <c r="B516" s="546" t="s">
        <v>6580</v>
      </c>
      <c r="C516" s="746"/>
      <c r="D516" s="746"/>
      <c r="E516" s="746"/>
      <c r="F516" s="746"/>
      <c r="G516" s="746"/>
      <c r="H516" s="746"/>
      <c r="I516" s="746"/>
      <c r="J516" s="547">
        <v>356.57740000000001</v>
      </c>
      <c r="K516" s="547">
        <v>95.4041</v>
      </c>
    </row>
    <row r="517" spans="1:11" ht="30" hidden="1" customHeight="1" x14ac:dyDescent="0.25">
      <c r="A517" s="548" t="s">
        <v>6495</v>
      </c>
      <c r="B517" s="549" t="s">
        <v>6496</v>
      </c>
      <c r="C517" s="550">
        <v>647306.12620000006</v>
      </c>
      <c r="D517" s="550">
        <v>38.8384</v>
      </c>
      <c r="E517" s="550">
        <v>11.9816</v>
      </c>
      <c r="F517" s="550">
        <v>4.8548</v>
      </c>
      <c r="G517" s="550">
        <v>58.257599999999996</v>
      </c>
      <c r="H517" s="550">
        <v>193.68809999999999</v>
      </c>
      <c r="I517" s="550">
        <v>28.366700000000002</v>
      </c>
      <c r="J517" s="550">
        <v>335.98719999999997</v>
      </c>
      <c r="K517" s="550">
        <v>84.041499999999999</v>
      </c>
    </row>
    <row r="518" spans="1:11" ht="15.75" hidden="1" customHeight="1" x14ac:dyDescent="0.25">
      <c r="A518" s="548" t="s">
        <v>6581</v>
      </c>
      <c r="B518" s="549" t="s">
        <v>6582</v>
      </c>
      <c r="C518" s="550">
        <v>115345</v>
      </c>
      <c r="D518" s="550">
        <v>9.2276000000000007</v>
      </c>
      <c r="E518" s="550">
        <v>2.1349999999999998</v>
      </c>
      <c r="F518" s="550">
        <v>0</v>
      </c>
      <c r="G518" s="550">
        <v>9.2276000000000007</v>
      </c>
      <c r="H518" s="550">
        <v>0</v>
      </c>
      <c r="I518" s="550">
        <v>0</v>
      </c>
      <c r="J518" s="550">
        <v>20.590199999999999</v>
      </c>
      <c r="K518" s="550">
        <v>11.3626</v>
      </c>
    </row>
    <row r="519" spans="1:11" ht="15.75" hidden="1" customHeight="1" x14ac:dyDescent="0.25">
      <c r="A519" s="545" t="s">
        <v>6583</v>
      </c>
      <c r="B519" s="546" t="s">
        <v>6584</v>
      </c>
      <c r="C519" s="746"/>
      <c r="D519" s="746"/>
      <c r="E519" s="746"/>
      <c r="F519" s="746"/>
      <c r="G519" s="746"/>
      <c r="H519" s="746"/>
      <c r="I519" s="746"/>
      <c r="J519" s="547">
        <v>318.6671</v>
      </c>
      <c r="K519" s="547">
        <v>108.59990000000001</v>
      </c>
    </row>
    <row r="520" spans="1:11" ht="15.75" hidden="1" customHeight="1" x14ac:dyDescent="0.25">
      <c r="A520" s="548" t="s">
        <v>6585</v>
      </c>
      <c r="B520" s="549" t="s">
        <v>6586</v>
      </c>
      <c r="C520" s="550">
        <v>536578.54379999998</v>
      </c>
      <c r="D520" s="550">
        <v>26.828900000000001</v>
      </c>
      <c r="E520" s="550">
        <v>9.6562000000000001</v>
      </c>
      <c r="F520" s="550">
        <v>3.9125999999999999</v>
      </c>
      <c r="G520" s="550">
        <v>40.243400000000001</v>
      </c>
      <c r="H520" s="550">
        <v>140.1148</v>
      </c>
      <c r="I520" s="550">
        <v>32.764899999999997</v>
      </c>
      <c r="J520" s="550">
        <v>253.52080000000001</v>
      </c>
      <c r="K520" s="550">
        <v>73.162599999999998</v>
      </c>
    </row>
    <row r="521" spans="1:11" ht="15.75" hidden="1" customHeight="1" x14ac:dyDescent="0.25">
      <c r="A521" s="548" t="s">
        <v>6587</v>
      </c>
      <c r="B521" s="549" t="s">
        <v>6588</v>
      </c>
      <c r="C521" s="550">
        <v>30090</v>
      </c>
      <c r="D521" s="550">
        <v>3.0089999999999999</v>
      </c>
      <c r="E521" s="550">
        <v>0.58020000000000005</v>
      </c>
      <c r="F521" s="550">
        <v>0</v>
      </c>
      <c r="G521" s="550">
        <v>3.0089999999999999</v>
      </c>
      <c r="H521" s="550">
        <v>0</v>
      </c>
      <c r="I521" s="550">
        <v>0</v>
      </c>
      <c r="J521" s="550">
        <v>6.5982000000000003</v>
      </c>
      <c r="K521" s="550">
        <v>3.5891999999999999</v>
      </c>
    </row>
    <row r="522" spans="1:11" ht="15.75" hidden="1" customHeight="1" x14ac:dyDescent="0.25">
      <c r="A522" s="548" t="s">
        <v>6387</v>
      </c>
      <c r="B522" s="549" t="s">
        <v>6388</v>
      </c>
      <c r="C522" s="550">
        <v>267000</v>
      </c>
      <c r="D522" s="550">
        <v>26.7</v>
      </c>
      <c r="E522" s="550">
        <v>5.1481000000000003</v>
      </c>
      <c r="F522" s="550">
        <v>0</v>
      </c>
      <c r="G522" s="550">
        <v>26.7</v>
      </c>
      <c r="H522" s="550">
        <v>0</v>
      </c>
      <c r="I522" s="550">
        <v>0</v>
      </c>
      <c r="J522" s="550">
        <v>58.548099999999998</v>
      </c>
      <c r="K522" s="550">
        <v>31.848099999999999</v>
      </c>
    </row>
    <row r="523" spans="1:11" ht="15.75" hidden="1" customHeight="1" x14ac:dyDescent="0.25">
      <c r="A523" s="545" t="s">
        <v>6589</v>
      </c>
      <c r="B523" s="546" t="s">
        <v>6590</v>
      </c>
      <c r="C523" s="746"/>
      <c r="D523" s="746"/>
      <c r="E523" s="746"/>
      <c r="F523" s="746"/>
      <c r="G523" s="746"/>
      <c r="H523" s="746"/>
      <c r="I523" s="746"/>
      <c r="J523" s="547">
        <v>170.0872</v>
      </c>
      <c r="K523" s="547">
        <v>66.182500000000005</v>
      </c>
    </row>
    <row r="524" spans="1:11" ht="15.75" hidden="1" customHeight="1" x14ac:dyDescent="0.25">
      <c r="A524" s="548" t="s">
        <v>6591</v>
      </c>
      <c r="B524" s="549" t="s">
        <v>6592</v>
      </c>
      <c r="C524" s="550">
        <v>398632.82069999998</v>
      </c>
      <c r="D524" s="550">
        <v>23.917999999999999</v>
      </c>
      <c r="E524" s="550">
        <v>7.3787000000000003</v>
      </c>
      <c r="F524" s="550">
        <v>2.9897</v>
      </c>
      <c r="G524" s="550">
        <v>35.877000000000002</v>
      </c>
      <c r="H524" s="550">
        <v>65.068799999999996</v>
      </c>
      <c r="I524" s="550">
        <v>28.366700000000002</v>
      </c>
      <c r="J524" s="550">
        <v>163.59889999999999</v>
      </c>
      <c r="K524" s="550">
        <v>62.653100000000002</v>
      </c>
    </row>
    <row r="525" spans="1:11" ht="15.75" hidden="1" customHeight="1" x14ac:dyDescent="0.25">
      <c r="A525" s="548" t="s">
        <v>6385</v>
      </c>
      <c r="B525" s="549" t="s">
        <v>6386</v>
      </c>
      <c r="C525" s="550">
        <v>29588.5</v>
      </c>
      <c r="D525" s="550">
        <v>2.9588999999999999</v>
      </c>
      <c r="E525" s="550">
        <v>0.57050000000000001</v>
      </c>
      <c r="F525" s="550">
        <v>0</v>
      </c>
      <c r="G525" s="550">
        <v>2.9588999999999999</v>
      </c>
      <c r="H525" s="550">
        <v>0</v>
      </c>
      <c r="I525" s="550">
        <v>0</v>
      </c>
      <c r="J525" s="550">
        <v>6.4882999999999997</v>
      </c>
      <c r="K525" s="550">
        <v>3.5293999999999999</v>
      </c>
    </row>
    <row r="526" spans="1:11" ht="15.75" hidden="1" customHeight="1" x14ac:dyDescent="0.25">
      <c r="A526" s="545" t="s">
        <v>6593</v>
      </c>
      <c r="B526" s="546" t="s">
        <v>6594</v>
      </c>
      <c r="C526" s="746"/>
      <c r="D526" s="746"/>
      <c r="E526" s="746"/>
      <c r="F526" s="746"/>
      <c r="G526" s="746"/>
      <c r="H526" s="746"/>
      <c r="I526" s="746"/>
      <c r="J526" s="547">
        <v>297.45490000000001</v>
      </c>
      <c r="K526" s="547">
        <v>97.061199999999999</v>
      </c>
    </row>
    <row r="527" spans="1:11" ht="15.75" hidden="1" customHeight="1" x14ac:dyDescent="0.25">
      <c r="A527" s="548" t="s">
        <v>6595</v>
      </c>
      <c r="B527" s="549" t="s">
        <v>6596</v>
      </c>
      <c r="C527" s="550">
        <v>37111</v>
      </c>
      <c r="D527" s="550">
        <v>3.7111000000000001</v>
      </c>
      <c r="E527" s="550">
        <v>0.71550000000000002</v>
      </c>
      <c r="F527" s="550">
        <v>0</v>
      </c>
      <c r="G527" s="550">
        <v>3.7111000000000001</v>
      </c>
      <c r="H527" s="550">
        <v>0</v>
      </c>
      <c r="I527" s="550">
        <v>0</v>
      </c>
      <c r="J527" s="550">
        <v>8.1377000000000006</v>
      </c>
      <c r="K527" s="550">
        <v>4.4265999999999996</v>
      </c>
    </row>
    <row r="528" spans="1:11" ht="15.75" hidden="1" customHeight="1" x14ac:dyDescent="0.25">
      <c r="A528" s="548" t="s">
        <v>6585</v>
      </c>
      <c r="B528" s="549" t="s">
        <v>6586</v>
      </c>
      <c r="C528" s="550">
        <v>536578.54379999998</v>
      </c>
      <c r="D528" s="550">
        <v>26.828900000000001</v>
      </c>
      <c r="E528" s="550">
        <v>9.6562000000000001</v>
      </c>
      <c r="F528" s="550">
        <v>3.9125999999999999</v>
      </c>
      <c r="G528" s="550">
        <v>40.243400000000001</v>
      </c>
      <c r="H528" s="550">
        <v>140.1148</v>
      </c>
      <c r="I528" s="550">
        <v>32.764899999999997</v>
      </c>
      <c r="J528" s="550">
        <v>253.52080000000001</v>
      </c>
      <c r="K528" s="550">
        <v>73.162599999999998</v>
      </c>
    </row>
    <row r="529" spans="1:11" ht="15.75" hidden="1" customHeight="1" x14ac:dyDescent="0.25">
      <c r="A529" s="548" t="s">
        <v>6597</v>
      </c>
      <c r="B529" s="549" t="s">
        <v>6598</v>
      </c>
      <c r="C529" s="550">
        <v>24327.764999999999</v>
      </c>
      <c r="D529" s="550">
        <v>2.4327999999999999</v>
      </c>
      <c r="E529" s="550">
        <v>0.46910000000000002</v>
      </c>
      <c r="F529" s="550">
        <v>0</v>
      </c>
      <c r="G529" s="550">
        <v>2.4327999999999999</v>
      </c>
      <c r="H529" s="550">
        <v>0</v>
      </c>
      <c r="I529" s="550">
        <v>0</v>
      </c>
      <c r="J529" s="550">
        <v>5.3346999999999998</v>
      </c>
      <c r="K529" s="550">
        <v>2.9018999999999999</v>
      </c>
    </row>
    <row r="530" spans="1:11" ht="15.75" hidden="1" customHeight="1" x14ac:dyDescent="0.25">
      <c r="A530" s="548" t="s">
        <v>6599</v>
      </c>
      <c r="B530" s="549" t="s">
        <v>6600</v>
      </c>
      <c r="C530" s="550">
        <v>138915.5</v>
      </c>
      <c r="D530" s="550">
        <v>13.8916</v>
      </c>
      <c r="E530" s="550">
        <v>2.6785000000000001</v>
      </c>
      <c r="F530" s="550">
        <v>0</v>
      </c>
      <c r="G530" s="550">
        <v>13.8916</v>
      </c>
      <c r="H530" s="550">
        <v>0</v>
      </c>
      <c r="I530" s="550">
        <v>0</v>
      </c>
      <c r="J530" s="550">
        <v>30.4617</v>
      </c>
      <c r="K530" s="550">
        <v>16.5701</v>
      </c>
    </row>
    <row r="531" spans="1:11" ht="15.75" hidden="1" customHeight="1" x14ac:dyDescent="0.25">
      <c r="A531" s="545" t="s">
        <v>6601</v>
      </c>
      <c r="B531" s="546" t="s">
        <v>6602</v>
      </c>
      <c r="C531" s="746"/>
      <c r="D531" s="746"/>
      <c r="E531" s="746"/>
      <c r="F531" s="746"/>
      <c r="G531" s="746"/>
      <c r="H531" s="746"/>
      <c r="I531" s="746"/>
      <c r="J531" s="547">
        <v>1028.7212999999999</v>
      </c>
      <c r="K531" s="547">
        <v>514.07740000000001</v>
      </c>
    </row>
    <row r="532" spans="1:11" ht="30" hidden="1" customHeight="1" x14ac:dyDescent="0.25">
      <c r="A532" s="548" t="s">
        <v>6603</v>
      </c>
      <c r="B532" s="549" t="s">
        <v>6604</v>
      </c>
      <c r="C532" s="550">
        <v>441948.80790000001</v>
      </c>
      <c r="D532" s="550">
        <v>33.1462</v>
      </c>
      <c r="E532" s="550">
        <v>8.5213000000000001</v>
      </c>
      <c r="F532" s="550">
        <v>3.4527000000000001</v>
      </c>
      <c r="G532" s="550">
        <v>49.719200000000001</v>
      </c>
      <c r="H532" s="550">
        <v>132.90299999999999</v>
      </c>
      <c r="I532" s="550">
        <v>28.366700000000002</v>
      </c>
      <c r="J532" s="550">
        <v>256.10910000000001</v>
      </c>
      <c r="K532" s="550">
        <v>73.486900000000006</v>
      </c>
    </row>
    <row r="533" spans="1:11" ht="15.75" hidden="1" customHeight="1" x14ac:dyDescent="0.25">
      <c r="A533" s="548" t="s">
        <v>6605</v>
      </c>
      <c r="B533" s="549" t="s">
        <v>6606</v>
      </c>
      <c r="C533" s="550">
        <v>3320217.4730000002</v>
      </c>
      <c r="D533" s="550">
        <v>352.7731</v>
      </c>
      <c r="E533" s="550">
        <v>64.017899999999997</v>
      </c>
      <c r="F533" s="550">
        <v>0</v>
      </c>
      <c r="G533" s="550">
        <v>332.02170000000001</v>
      </c>
      <c r="H533" s="550">
        <v>0</v>
      </c>
      <c r="I533" s="550">
        <v>23.799499999999998</v>
      </c>
      <c r="J533" s="550">
        <v>772.61220000000003</v>
      </c>
      <c r="K533" s="550">
        <v>440.59050000000002</v>
      </c>
    </row>
    <row r="534" spans="1:11" ht="15.75" hidden="1" customHeight="1" x14ac:dyDescent="0.25">
      <c r="A534" s="545" t="s">
        <v>6607</v>
      </c>
      <c r="B534" s="546" t="s">
        <v>6608</v>
      </c>
      <c r="C534" s="746"/>
      <c r="D534" s="746"/>
      <c r="E534" s="746"/>
      <c r="F534" s="746"/>
      <c r="G534" s="746"/>
      <c r="H534" s="746"/>
      <c r="I534" s="746"/>
      <c r="J534" s="547">
        <v>327.61959999999999</v>
      </c>
      <c r="K534" s="547">
        <v>122.27419999999999</v>
      </c>
    </row>
    <row r="535" spans="1:11" ht="15.75" hidden="1" customHeight="1" x14ac:dyDescent="0.25">
      <c r="A535" s="548" t="s">
        <v>6609</v>
      </c>
      <c r="B535" s="549" t="s">
        <v>6610</v>
      </c>
      <c r="C535" s="550">
        <v>373007.5613</v>
      </c>
      <c r="D535" s="550">
        <v>22.380500000000001</v>
      </c>
      <c r="E535" s="550">
        <v>6.9043999999999999</v>
      </c>
      <c r="F535" s="550">
        <v>2.7976000000000001</v>
      </c>
      <c r="G535" s="550">
        <v>33.570700000000002</v>
      </c>
      <c r="H535" s="550">
        <v>123.6307</v>
      </c>
      <c r="I535" s="550">
        <v>32.764899999999997</v>
      </c>
      <c r="J535" s="550">
        <v>222.0488</v>
      </c>
      <c r="K535" s="550">
        <v>64.847399999999993</v>
      </c>
    </row>
    <row r="536" spans="1:11" ht="15.75" hidden="1" customHeight="1" x14ac:dyDescent="0.25">
      <c r="A536" s="548" t="s">
        <v>6611</v>
      </c>
      <c r="B536" s="549" t="s">
        <v>6612</v>
      </c>
      <c r="C536" s="550">
        <v>481440</v>
      </c>
      <c r="D536" s="550">
        <v>48.143999999999998</v>
      </c>
      <c r="E536" s="550">
        <v>9.2827999999999999</v>
      </c>
      <c r="F536" s="550">
        <v>0</v>
      </c>
      <c r="G536" s="550">
        <v>48.143999999999998</v>
      </c>
      <c r="H536" s="550">
        <v>0</v>
      </c>
      <c r="I536" s="550">
        <v>0</v>
      </c>
      <c r="J536" s="550">
        <v>105.57080000000001</v>
      </c>
      <c r="K536" s="550">
        <v>57.4268</v>
      </c>
    </row>
    <row r="537" spans="1:11" ht="15.75" hidden="1" customHeight="1" x14ac:dyDescent="0.25">
      <c r="A537" s="545" t="s">
        <v>6613</v>
      </c>
      <c r="B537" s="546" t="s">
        <v>6614</v>
      </c>
      <c r="C537" s="746"/>
      <c r="D537" s="746"/>
      <c r="E537" s="746"/>
      <c r="F537" s="746"/>
      <c r="G537" s="746"/>
      <c r="H537" s="746"/>
      <c r="I537" s="746"/>
      <c r="J537" s="547">
        <v>572.4325</v>
      </c>
      <c r="K537" s="547">
        <v>246.63929999999999</v>
      </c>
    </row>
    <row r="538" spans="1:11" ht="15.75" hidden="1" customHeight="1" x14ac:dyDescent="0.25">
      <c r="A538" s="548" t="s">
        <v>6585</v>
      </c>
      <c r="B538" s="549" t="s">
        <v>6586</v>
      </c>
      <c r="C538" s="550">
        <v>536578.54379999998</v>
      </c>
      <c r="D538" s="550">
        <v>26.828900000000001</v>
      </c>
      <c r="E538" s="550">
        <v>9.6562000000000001</v>
      </c>
      <c r="F538" s="550">
        <v>3.9125999999999999</v>
      </c>
      <c r="G538" s="550">
        <v>40.243400000000001</v>
      </c>
      <c r="H538" s="550">
        <v>140.1148</v>
      </c>
      <c r="I538" s="550">
        <v>32.764899999999997</v>
      </c>
      <c r="J538" s="550">
        <v>253.52080000000001</v>
      </c>
      <c r="K538" s="550">
        <v>73.162599999999998</v>
      </c>
    </row>
    <row r="539" spans="1:11" ht="15.75" hidden="1" customHeight="1" x14ac:dyDescent="0.25">
      <c r="A539" s="548" t="s">
        <v>6615</v>
      </c>
      <c r="B539" s="549" t="s">
        <v>6616</v>
      </c>
      <c r="C539" s="550">
        <v>1454350</v>
      </c>
      <c r="D539" s="550">
        <v>145.435</v>
      </c>
      <c r="E539" s="550">
        <v>28.041699999999999</v>
      </c>
      <c r="F539" s="550">
        <v>0</v>
      </c>
      <c r="G539" s="550">
        <v>145.435</v>
      </c>
      <c r="H539" s="550">
        <v>0</v>
      </c>
      <c r="I539" s="550">
        <v>0</v>
      </c>
      <c r="J539" s="550">
        <v>318.9117</v>
      </c>
      <c r="K539" s="550">
        <v>173.47669999999999</v>
      </c>
    </row>
    <row r="540" spans="1:11" ht="15.75" hidden="1" customHeight="1" x14ac:dyDescent="0.25">
      <c r="A540" s="545" t="s">
        <v>6617</v>
      </c>
      <c r="B540" s="546" t="s">
        <v>6618</v>
      </c>
      <c r="C540" s="746"/>
      <c r="D540" s="746"/>
      <c r="E540" s="746"/>
      <c r="F540" s="746"/>
      <c r="G540" s="746"/>
      <c r="H540" s="746"/>
      <c r="I540" s="746"/>
      <c r="J540" s="547">
        <v>570.34670000000006</v>
      </c>
      <c r="K540" s="547">
        <v>145.11420000000001</v>
      </c>
    </row>
    <row r="541" spans="1:11" ht="30" hidden="1" customHeight="1" x14ac:dyDescent="0.25">
      <c r="A541" s="548" t="s">
        <v>6619</v>
      </c>
      <c r="B541" s="549" t="s">
        <v>6620</v>
      </c>
      <c r="C541" s="550">
        <v>535000</v>
      </c>
      <c r="D541" s="550">
        <v>32.1</v>
      </c>
      <c r="E541" s="550">
        <v>9.9029000000000007</v>
      </c>
      <c r="F541" s="550">
        <v>4.0125000000000002</v>
      </c>
      <c r="G541" s="550">
        <v>48.15</v>
      </c>
      <c r="H541" s="550">
        <v>242.11019999999999</v>
      </c>
      <c r="I541" s="550">
        <v>28.366700000000002</v>
      </c>
      <c r="J541" s="550">
        <v>364.64229999999998</v>
      </c>
      <c r="K541" s="550">
        <v>74.382099999999994</v>
      </c>
    </row>
    <row r="542" spans="1:11" ht="15.75" hidden="1" customHeight="1" x14ac:dyDescent="0.25">
      <c r="A542" s="551" t="s">
        <v>6621</v>
      </c>
      <c r="B542" s="552" t="s">
        <v>6622</v>
      </c>
      <c r="C542" s="553">
        <v>476425</v>
      </c>
      <c r="D542" s="553">
        <v>38.113999999999997</v>
      </c>
      <c r="E542" s="553">
        <v>8.8186</v>
      </c>
      <c r="F542" s="553">
        <v>0</v>
      </c>
      <c r="G542" s="553">
        <v>42.878300000000003</v>
      </c>
      <c r="H542" s="553">
        <v>92.093999999999994</v>
      </c>
      <c r="I542" s="553">
        <v>23.799499999999998</v>
      </c>
      <c r="J542" s="553">
        <v>205.70439999999999</v>
      </c>
      <c r="K542" s="553">
        <v>70.732100000000003</v>
      </c>
    </row>
  </sheetData>
  <autoFilter ref="A1:K542" xr:uid="{00000000-0009-0000-0000-00002D000000}">
    <filterColumn colId="1">
      <filters>
        <filter val="Motosserra com motor a gasolina - 2,30 kW"/>
        <filter val="Roçadeira costal - 1,40 kW"/>
        <filter val="Trituradora de galhos e troncos rebocável com capacidade de até 350 mm de diâmetro com guincho - 96,94 kW"/>
      </filters>
    </filterColumn>
  </autoFilter>
  <mergeCells count="49">
    <mergeCell ref="C401:I401"/>
    <mergeCell ref="C384:I384"/>
    <mergeCell ref="C387:I387"/>
    <mergeCell ref="C391:I391"/>
    <mergeCell ref="C394:I394"/>
    <mergeCell ref="C397:I397"/>
    <mergeCell ref="C441:I441"/>
    <mergeCell ref="C406:I406"/>
    <mergeCell ref="C409:I409"/>
    <mergeCell ref="C412:I412"/>
    <mergeCell ref="C415:I415"/>
    <mergeCell ref="C417:I417"/>
    <mergeCell ref="C419:I419"/>
    <mergeCell ref="C421:I421"/>
    <mergeCell ref="C424:I424"/>
    <mergeCell ref="C427:I427"/>
    <mergeCell ref="C431:I431"/>
    <mergeCell ref="C436:I436"/>
    <mergeCell ref="C477:I477"/>
    <mergeCell ref="C444:I444"/>
    <mergeCell ref="C447:I447"/>
    <mergeCell ref="C450:I450"/>
    <mergeCell ref="C453:I453"/>
    <mergeCell ref="C456:I456"/>
    <mergeCell ref="C459:I459"/>
    <mergeCell ref="C462:I462"/>
    <mergeCell ref="C465:I465"/>
    <mergeCell ref="C468:I468"/>
    <mergeCell ref="C471:I471"/>
    <mergeCell ref="C474:I474"/>
    <mergeCell ref="C516:I516"/>
    <mergeCell ref="C480:I480"/>
    <mergeCell ref="C483:I483"/>
    <mergeCell ref="C486:I486"/>
    <mergeCell ref="C489:I489"/>
    <mergeCell ref="C493:I493"/>
    <mergeCell ref="C496:I496"/>
    <mergeCell ref="C499:I499"/>
    <mergeCell ref="C502:I502"/>
    <mergeCell ref="C505:I505"/>
    <mergeCell ref="C508:I508"/>
    <mergeCell ref="C511:I511"/>
    <mergeCell ref="C540:I540"/>
    <mergeCell ref="C519:I519"/>
    <mergeCell ref="C523:I523"/>
    <mergeCell ref="C526:I526"/>
    <mergeCell ref="C531:I531"/>
    <mergeCell ref="C534:I534"/>
    <mergeCell ref="C537:I537"/>
  </mergeCells>
  <pageMargins left="0.511811024" right="0.511811024" top="0.78740157499999996" bottom="0.78740157499999996" header="0.31496062000000002" footer="0.31496062000000002"/>
  <pageSetup paperSize="9" orientation="portrait" horizontalDpi="0"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5" tint="0.59999389629810485"/>
    <pageSetUpPr fitToPage="1"/>
  </sheetPr>
  <dimension ref="A1:G47"/>
  <sheetViews>
    <sheetView view="pageLayout" zoomScaleNormal="89" zoomScaleSheetLayoutView="100" workbookViewId="0">
      <selection activeCell="B27" sqref="B27"/>
    </sheetView>
  </sheetViews>
  <sheetFormatPr defaultColWidth="9.140625" defaultRowHeight="13.5" x14ac:dyDescent="0.25"/>
  <cols>
    <col min="1" max="1" width="7.5703125" style="47" customWidth="1"/>
    <col min="2" max="2" width="63.140625" style="47" customWidth="1"/>
    <col min="3" max="3" width="17.28515625" style="47" customWidth="1"/>
    <col min="4" max="4" width="19.42578125" style="52" customWidth="1"/>
    <col min="5" max="5" width="19.28515625" style="47" customWidth="1"/>
    <col min="6" max="6" width="22.7109375" style="47" customWidth="1"/>
    <col min="7" max="7" width="3.28515625" style="47" customWidth="1"/>
    <col min="8" max="16384" width="9.140625" style="47"/>
  </cols>
  <sheetData>
    <row r="1" spans="1:7" ht="20.25" customHeight="1" x14ac:dyDescent="0.25">
      <c r="G1" s="179"/>
    </row>
    <row r="2" spans="1:7" x14ac:dyDescent="0.25">
      <c r="A2" s="89"/>
      <c r="B2" s="89"/>
      <c r="D2" s="47"/>
      <c r="G2" s="179"/>
    </row>
    <row r="3" spans="1:7" ht="22.15" customHeight="1" x14ac:dyDescent="0.25">
      <c r="A3" s="704" t="s">
        <v>105</v>
      </c>
      <c r="B3" s="704"/>
      <c r="C3" s="704"/>
      <c r="D3" s="704"/>
      <c r="E3" s="704"/>
      <c r="F3" s="704"/>
      <c r="G3" s="179"/>
    </row>
    <row r="4" spans="1:7" ht="11.25" customHeight="1" x14ac:dyDescent="0.25">
      <c r="A4" s="703" t="str">
        <f>'ORÇAMENTO GERAL'!B17</f>
        <v>Pintura de MeioFio</v>
      </c>
      <c r="B4" s="703"/>
      <c r="C4" s="703"/>
      <c r="D4" s="703"/>
      <c r="E4" s="703"/>
      <c r="F4" s="703"/>
    </row>
    <row r="5" spans="1:7" ht="15" customHeight="1" thickBot="1" x14ac:dyDescent="0.3">
      <c r="A5" s="179"/>
      <c r="B5" s="179"/>
      <c r="C5" s="179"/>
      <c r="D5" s="179"/>
      <c r="E5" s="90" t="s">
        <v>104</v>
      </c>
      <c r="F5" s="90" t="s">
        <v>6667</v>
      </c>
      <c r="G5" s="51"/>
    </row>
    <row r="6" spans="1:7" ht="15.6" customHeight="1" thickBot="1" x14ac:dyDescent="0.3">
      <c r="A6" s="88" t="s">
        <v>54</v>
      </c>
      <c r="B6" s="87" t="s">
        <v>53</v>
      </c>
      <c r="C6" s="86" t="s">
        <v>102</v>
      </c>
      <c r="D6" s="85" t="s">
        <v>49</v>
      </c>
      <c r="E6" s="352" t="s">
        <v>101</v>
      </c>
      <c r="F6" s="353" t="s">
        <v>100</v>
      </c>
      <c r="G6" s="82"/>
    </row>
    <row r="7" spans="1:7" ht="16.149999999999999" customHeight="1" x14ac:dyDescent="0.25">
      <c r="A7" s="153">
        <v>1</v>
      </c>
      <c r="B7" s="152" t="s">
        <v>99</v>
      </c>
      <c r="C7" s="151"/>
      <c r="D7" s="150"/>
      <c r="E7" s="354"/>
      <c r="F7" s="355"/>
    </row>
    <row r="8" spans="1:7" ht="16.149999999999999" customHeight="1" x14ac:dyDescent="0.25">
      <c r="A8" s="59" t="s">
        <v>47</v>
      </c>
      <c r="B8" s="175" t="s">
        <v>497</v>
      </c>
      <c r="C8" s="59" t="s">
        <v>85</v>
      </c>
      <c r="D8" s="176">
        <v>2</v>
      </c>
      <c r="E8" s="356" t="e">
        <f>'11.3 EQUIP. VEICULOS'!D39</f>
        <v>#DIV/0!</v>
      </c>
      <c r="F8" s="356" t="e">
        <f>E8*D8</f>
        <v>#DIV/0!</v>
      </c>
    </row>
    <row r="9" spans="1:7" ht="16.149999999999999" customHeight="1" x14ac:dyDescent="0.25">
      <c r="A9" s="59"/>
      <c r="B9" s="175"/>
      <c r="C9" s="59"/>
      <c r="D9" s="176"/>
      <c r="E9" s="356"/>
      <c r="F9" s="356"/>
      <c r="G9" s="82"/>
    </row>
    <row r="10" spans="1:7" ht="16.149999999999999" customHeight="1" x14ac:dyDescent="0.25">
      <c r="A10" s="175"/>
      <c r="B10" s="175" t="s">
        <v>122</v>
      </c>
      <c r="C10" s="57" t="s">
        <v>121</v>
      </c>
      <c r="D10" s="63"/>
      <c r="E10" s="357" t="s">
        <v>96</v>
      </c>
      <c r="F10" s="357" t="e">
        <f>SUM(F8:F9)</f>
        <v>#DIV/0!</v>
      </c>
      <c r="G10" s="82"/>
    </row>
    <row r="11" spans="1:7" ht="16.149999999999999" customHeight="1" x14ac:dyDescent="0.25">
      <c r="A11" s="153">
        <v>2</v>
      </c>
      <c r="B11" s="152" t="s">
        <v>95</v>
      </c>
      <c r="C11" s="151"/>
      <c r="D11" s="150"/>
      <c r="E11" s="354"/>
      <c r="F11" s="355"/>
      <c r="G11" s="51"/>
    </row>
    <row r="12" spans="1:7" ht="16.149999999999999" customHeight="1" x14ac:dyDescent="0.25">
      <c r="A12" s="59" t="s">
        <v>13</v>
      </c>
      <c r="B12" s="175" t="s">
        <v>472</v>
      </c>
      <c r="C12" s="59" t="s">
        <v>94</v>
      </c>
      <c r="D12" s="63">
        <f>D8</f>
        <v>2</v>
      </c>
      <c r="E12" s="356" t="e">
        <f>'11.2 MAO DE OBRA'!F72</f>
        <v>#DIV/0!</v>
      </c>
      <c r="F12" s="356" t="e">
        <f t="shared" ref="F12:F13" si="0">E12*D12</f>
        <v>#DIV/0!</v>
      </c>
      <c r="G12" s="178"/>
    </row>
    <row r="13" spans="1:7" ht="16.149999999999999" customHeight="1" x14ac:dyDescent="0.25">
      <c r="A13" s="59" t="s">
        <v>11</v>
      </c>
      <c r="B13" s="175" t="s">
        <v>479</v>
      </c>
      <c r="C13" s="59" t="s">
        <v>94</v>
      </c>
      <c r="D13" s="176">
        <f>2*D12</f>
        <v>4</v>
      </c>
      <c r="E13" s="356" t="e">
        <f>'11.2 MAO DE OBRA'!F109</f>
        <v>#DIV/0!</v>
      </c>
      <c r="F13" s="356" t="e">
        <f t="shared" si="0"/>
        <v>#DIV/0!</v>
      </c>
      <c r="G13" s="178"/>
    </row>
    <row r="14" spans="1:7" ht="16.149999999999999" customHeight="1" x14ac:dyDescent="0.25">
      <c r="A14" s="59"/>
      <c r="B14" s="175" t="s">
        <v>122</v>
      </c>
      <c r="C14" s="57" t="s">
        <v>121</v>
      </c>
      <c r="D14" s="63"/>
      <c r="E14" s="357" t="s">
        <v>93</v>
      </c>
      <c r="F14" s="357" t="e">
        <f>SUM(F12:F13)</f>
        <v>#DIV/0!</v>
      </c>
      <c r="G14" s="51"/>
    </row>
    <row r="15" spans="1:7" ht="16.149999999999999" customHeight="1" x14ac:dyDescent="0.25">
      <c r="A15" s="153">
        <v>3</v>
      </c>
      <c r="B15" s="152" t="s">
        <v>92</v>
      </c>
      <c r="C15" s="151"/>
      <c r="D15" s="150"/>
      <c r="E15" s="354"/>
      <c r="F15" s="355"/>
      <c r="G15" s="82"/>
    </row>
    <row r="16" spans="1:7" ht="16.149999999999999" customHeight="1" x14ac:dyDescent="0.25">
      <c r="B16" s="177" t="s">
        <v>123</v>
      </c>
      <c r="C16" s="59"/>
      <c r="D16" s="63"/>
      <c r="E16" s="356"/>
      <c r="F16" s="357"/>
      <c r="G16" s="51"/>
    </row>
    <row r="17" spans="1:7" ht="16.149999999999999" customHeight="1" x14ac:dyDescent="0.25">
      <c r="A17" s="59" t="s">
        <v>91</v>
      </c>
      <c r="B17" s="177" t="s">
        <v>90</v>
      </c>
      <c r="C17" s="59" t="s">
        <v>85</v>
      </c>
      <c r="D17" s="63">
        <f>(8/12)*D8</f>
        <v>1.3333333333333333</v>
      </c>
      <c r="E17" s="69" t="e">
        <f>VLOOKUP(B17,'1.1 CUSTO FERRAME-UNIFORME-EPI'!B:C,2,FALSE)</f>
        <v>#DIV/0!</v>
      </c>
      <c r="F17" s="356" t="e">
        <f>E17*D17</f>
        <v>#DIV/0!</v>
      </c>
      <c r="G17" s="82"/>
    </row>
    <row r="18" spans="1:7" ht="16.149999999999999" customHeight="1" x14ac:dyDescent="0.25">
      <c r="A18" s="59" t="s">
        <v>89</v>
      </c>
      <c r="B18" s="175" t="str">
        <f>'1.1 CUSTO FERRAME-UNIFORME-EPI'!B14</f>
        <v>Cal Hidratada (saco c/20kg)</v>
      </c>
      <c r="C18" s="59" t="s">
        <v>85</v>
      </c>
      <c r="D18" s="63">
        <f>(0.09*F24)/20</f>
        <v>610.26750000000004</v>
      </c>
      <c r="E18" s="69">
        <f>VLOOKUP(B18,'1.1 CUSTO FERRAME-UNIFORME-EPI'!B:C,2,FALSE)</f>
        <v>0</v>
      </c>
      <c r="F18" s="356">
        <f t="shared" ref="F18:F20" si="1">E18*D18</f>
        <v>0</v>
      </c>
      <c r="G18" s="51"/>
    </row>
    <row r="19" spans="1:7" ht="16.149999999999999" customHeight="1" x14ac:dyDescent="0.25">
      <c r="A19" s="59" t="s">
        <v>87</v>
      </c>
      <c r="B19" s="177" t="s">
        <v>88</v>
      </c>
      <c r="C19" s="59" t="s">
        <v>85</v>
      </c>
      <c r="D19" s="63">
        <f>(4/12)*D8</f>
        <v>0.66666666666666663</v>
      </c>
      <c r="E19" s="69">
        <f>VLOOKUP(B19,'1.1 CUSTO FERRAME-UNIFORME-EPI'!B:C,2,FALSE)</f>
        <v>0</v>
      </c>
      <c r="F19" s="356">
        <f t="shared" si="1"/>
        <v>0</v>
      </c>
      <c r="G19" s="82"/>
    </row>
    <row r="20" spans="1:7" ht="16.149999999999999" customHeight="1" x14ac:dyDescent="0.25">
      <c r="A20" s="59" t="s">
        <v>116</v>
      </c>
      <c r="B20" s="177" t="s">
        <v>86</v>
      </c>
      <c r="C20" s="59" t="s">
        <v>85</v>
      </c>
      <c r="D20" s="63">
        <f>D8</f>
        <v>2</v>
      </c>
      <c r="E20" s="69">
        <f>VLOOKUP(B20,'1.1 CUSTO FERRAME-UNIFORME-EPI'!B:C,2,FALSE)</f>
        <v>0</v>
      </c>
      <c r="F20" s="356">
        <f t="shared" si="1"/>
        <v>0</v>
      </c>
      <c r="G20" s="51"/>
    </row>
    <row r="21" spans="1:7" ht="16.149999999999999" customHeight="1" x14ac:dyDescent="0.25">
      <c r="A21" s="59"/>
      <c r="B21" s="175" t="s">
        <v>122</v>
      </c>
      <c r="C21" s="57" t="s">
        <v>121</v>
      </c>
      <c r="D21" s="63"/>
      <c r="E21" s="357" t="s">
        <v>84</v>
      </c>
      <c r="F21" s="357" t="e">
        <f>SUM(F17:F20)</f>
        <v>#DIV/0!</v>
      </c>
      <c r="G21" s="82"/>
    </row>
    <row r="22" spans="1:7" ht="16.149999999999999" customHeight="1" x14ac:dyDescent="0.25">
      <c r="A22" s="174"/>
      <c r="B22" s="163" t="s">
        <v>83</v>
      </c>
      <c r="C22" s="163"/>
      <c r="D22" s="163"/>
      <c r="E22" s="163"/>
      <c r="F22" s="173"/>
      <c r="G22" s="82"/>
    </row>
    <row r="23" spans="1:7" ht="16.149999999999999" customHeight="1" x14ac:dyDescent="0.25">
      <c r="A23" s="172"/>
      <c r="B23" s="167" t="s">
        <v>82</v>
      </c>
      <c r="C23" s="169" t="s">
        <v>81</v>
      </c>
      <c r="D23" s="167"/>
      <c r="E23" s="165"/>
      <c r="F23" s="66" t="e">
        <f>SUM(F14,F21,F10)</f>
        <v>#DIV/0!</v>
      </c>
      <c r="G23" s="82"/>
    </row>
    <row r="24" spans="1:7" ht="16.149999999999999" customHeight="1" x14ac:dyDescent="0.25">
      <c r="A24" s="172"/>
      <c r="B24" s="171" t="s">
        <v>80</v>
      </c>
      <c r="C24" s="166" t="s">
        <v>6665</v>
      </c>
      <c r="D24" s="170"/>
      <c r="E24" s="165"/>
      <c r="F24" s="64">
        <f>271230*2/4</f>
        <v>135615</v>
      </c>
      <c r="G24" s="82"/>
    </row>
    <row r="25" spans="1:7" ht="16.149999999999999" customHeight="1" x14ac:dyDescent="0.25">
      <c r="A25" s="168"/>
      <c r="B25" s="167" t="s">
        <v>78</v>
      </c>
      <c r="C25" s="169" t="s">
        <v>6666</v>
      </c>
      <c r="D25" s="167"/>
      <c r="E25" s="165"/>
      <c r="F25" s="61" t="e">
        <f>F23/F24</f>
        <v>#DIV/0!</v>
      </c>
      <c r="G25" s="82"/>
    </row>
    <row r="26" spans="1:7" ht="16.149999999999999" customHeight="1" x14ac:dyDescent="0.25">
      <c r="A26" s="168"/>
      <c r="B26" s="167" t="s">
        <v>77</v>
      </c>
      <c r="C26" s="166" t="s">
        <v>76</v>
      </c>
      <c r="D26" s="58">
        <f>'BDI '!$C$22</f>
        <v>5.2600000000000001E-2</v>
      </c>
      <c r="E26" s="165"/>
      <c r="F26" s="56" t="e">
        <f>F25*D26</f>
        <v>#DIV/0!</v>
      </c>
      <c r="G26" s="82"/>
    </row>
    <row r="27" spans="1:7" x14ac:dyDescent="0.25">
      <c r="A27" s="163"/>
      <c r="B27" s="163" t="s">
        <v>75</v>
      </c>
      <c r="C27" s="164" t="s">
        <v>6666</v>
      </c>
      <c r="D27" s="163"/>
      <c r="E27" s="163"/>
      <c r="F27" s="162" t="e">
        <f>ROUND(F26+F25,2)</f>
        <v>#DIV/0!</v>
      </c>
      <c r="G27" s="82"/>
    </row>
    <row r="28" spans="1:7" ht="19.149999999999999" customHeight="1" x14ac:dyDescent="0.25">
      <c r="E28" s="89"/>
      <c r="F28" s="161"/>
      <c r="G28" s="82"/>
    </row>
    <row r="29" spans="1:7" x14ac:dyDescent="0.25">
      <c r="G29" s="159"/>
    </row>
    <row r="30" spans="1:7" x14ac:dyDescent="0.25">
      <c r="G30" s="159"/>
    </row>
    <row r="31" spans="1:7" x14ac:dyDescent="0.25">
      <c r="D31" s="52">
        <f>135615</f>
        <v>135615</v>
      </c>
      <c r="G31" s="159"/>
    </row>
    <row r="32" spans="1:7" x14ac:dyDescent="0.25">
      <c r="D32" s="52">
        <f>D31/25.25</f>
        <v>5370.8910891089108</v>
      </c>
      <c r="G32" s="159"/>
    </row>
    <row r="33" spans="7:7" x14ac:dyDescent="0.25">
      <c r="G33" s="51"/>
    </row>
    <row r="34" spans="7:7" x14ac:dyDescent="0.25">
      <c r="G34" s="160"/>
    </row>
    <row r="35" spans="7:7" x14ac:dyDescent="0.25">
      <c r="G35" s="51"/>
    </row>
    <row r="36" spans="7:7" x14ac:dyDescent="0.25">
      <c r="G36" s="82"/>
    </row>
    <row r="37" spans="7:7" x14ac:dyDescent="0.25">
      <c r="G37" s="82"/>
    </row>
    <row r="38" spans="7:7" x14ac:dyDescent="0.25">
      <c r="G38" s="82"/>
    </row>
    <row r="39" spans="7:7" x14ac:dyDescent="0.25">
      <c r="G39" s="159"/>
    </row>
    <row r="40" spans="7:7" x14ac:dyDescent="0.25">
      <c r="G40" s="159"/>
    </row>
    <row r="41" spans="7:7" x14ac:dyDescent="0.25">
      <c r="G41" s="158"/>
    </row>
    <row r="42" spans="7:7" x14ac:dyDescent="0.25">
      <c r="G42" s="157"/>
    </row>
    <row r="43" spans="7:7" x14ac:dyDescent="0.25">
      <c r="G43" s="156"/>
    </row>
    <row r="44" spans="7:7" x14ac:dyDescent="0.25">
      <c r="G44" s="155"/>
    </row>
    <row r="45" spans="7:7" x14ac:dyDescent="0.25">
      <c r="G45" s="154"/>
    </row>
    <row r="46" spans="7:7" x14ac:dyDescent="0.25">
      <c r="G46" s="155"/>
    </row>
    <row r="47" spans="7:7" x14ac:dyDescent="0.25">
      <c r="G47" s="154"/>
    </row>
  </sheetData>
  <sheetProtection selectLockedCells="1" selectUnlockedCells="1"/>
  <mergeCells count="2">
    <mergeCell ref="A3:F3"/>
    <mergeCell ref="A4:F4"/>
  </mergeCells>
  <pageMargins left="0.98425196850393704" right="0.59055118110236215" top="1.1811023622047243" bottom="0.59055118110236215" header="0.11811023622047244" footer="0.51181102362204722"/>
  <pageSetup paperSize="9" scale="58" firstPageNumber="0" fitToHeight="0" orientation="portrait" horizontalDpi="300" verticalDpi="300" r:id="rId1"/>
  <headerFooter alignWithMargins="0">
    <oddHeader>&amp;L&amp;G</oddHeader>
  </headerFooter>
  <legacyDrawingHF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5" tint="0.59999389629810485"/>
    <pageSetUpPr fitToPage="1"/>
  </sheetPr>
  <dimension ref="B1:F109"/>
  <sheetViews>
    <sheetView view="pageBreakPreview" topLeftCell="A86" zoomScale="85" zoomScaleNormal="100" zoomScaleSheetLayoutView="85" workbookViewId="0">
      <selection activeCell="H115" sqref="H115"/>
    </sheetView>
  </sheetViews>
  <sheetFormatPr defaultColWidth="9" defaultRowHeight="15" x14ac:dyDescent="0.25"/>
  <cols>
    <col min="1" max="1" width="9" style="311"/>
    <col min="2" max="2" width="9.42578125" style="311" customWidth="1"/>
    <col min="3" max="3" width="57" style="311" customWidth="1"/>
    <col min="4" max="6" width="11.7109375" style="311" customWidth="1"/>
    <col min="7" max="16384" width="9" style="311"/>
  </cols>
  <sheetData>
    <row r="1" spans="2:6" ht="12" customHeight="1" x14ac:dyDescent="0.25">
      <c r="C1" s="312"/>
    </row>
    <row r="2" spans="2:6" ht="20.25" customHeight="1" x14ac:dyDescent="0.25">
      <c r="B2" s="712" t="s">
        <v>55</v>
      </c>
      <c r="C2" s="712"/>
      <c r="D2" s="712"/>
      <c r="E2" s="712"/>
      <c r="F2" s="712"/>
    </row>
    <row r="3" spans="2:6" ht="9.9499999999999993" customHeight="1" x14ac:dyDescent="0.25"/>
    <row r="5" spans="2:6" x14ac:dyDescent="0.25">
      <c r="B5" s="313" t="s">
        <v>54</v>
      </c>
      <c r="C5" s="314" t="s">
        <v>53</v>
      </c>
      <c r="D5" s="705" t="s">
        <v>63</v>
      </c>
      <c r="E5" s="706"/>
      <c r="F5" s="707"/>
    </row>
    <row r="6" spans="2:6" x14ac:dyDescent="0.25">
      <c r="B6" s="315"/>
      <c r="C6" s="316"/>
      <c r="D6" s="709"/>
      <c r="E6" s="710"/>
      <c r="F6" s="711"/>
    </row>
    <row r="7" spans="2:6" x14ac:dyDescent="0.25">
      <c r="B7" s="317" t="s">
        <v>52</v>
      </c>
      <c r="C7" s="318" t="s">
        <v>51</v>
      </c>
      <c r="D7" s="319" t="s">
        <v>50</v>
      </c>
      <c r="E7" s="319" t="s">
        <v>49</v>
      </c>
      <c r="F7" s="319" t="s">
        <v>48</v>
      </c>
    </row>
    <row r="8" spans="2:6" x14ac:dyDescent="0.25">
      <c r="B8" s="317" t="s">
        <v>47</v>
      </c>
      <c r="C8" s="318" t="s">
        <v>46</v>
      </c>
      <c r="D8" s="319"/>
      <c r="E8" s="319"/>
      <c r="F8" s="319"/>
    </row>
    <row r="9" spans="2:6" x14ac:dyDescent="0.25">
      <c r="B9" s="31" t="s">
        <v>45</v>
      </c>
      <c r="C9" s="36" t="s">
        <v>44</v>
      </c>
      <c r="D9" s="11">
        <f>'1.1 SALÁRIOS'!F10</f>
        <v>0</v>
      </c>
      <c r="E9" s="17">
        <v>1</v>
      </c>
      <c r="F9" s="11">
        <f>E9*D9</f>
        <v>0</v>
      </c>
    </row>
    <row r="10" spans="2:6" x14ac:dyDescent="0.25">
      <c r="B10" s="31" t="s">
        <v>43</v>
      </c>
      <c r="C10" s="36" t="s">
        <v>42</v>
      </c>
      <c r="D10" s="11">
        <f>'1.1 SALÁRIOS'!$F$23</f>
        <v>0</v>
      </c>
      <c r="E10" s="34">
        <v>0</v>
      </c>
      <c r="F10" s="11">
        <f>E10*D10</f>
        <v>0</v>
      </c>
    </row>
    <row r="11" spans="2:6" x14ac:dyDescent="0.25">
      <c r="B11" s="31" t="s">
        <v>41</v>
      </c>
      <c r="C11" s="36" t="s">
        <v>40</v>
      </c>
      <c r="D11" s="11"/>
      <c r="E11" s="17"/>
      <c r="F11" s="11"/>
    </row>
    <row r="12" spans="2:6" x14ac:dyDescent="0.25">
      <c r="B12" s="31" t="s">
        <v>39</v>
      </c>
      <c r="C12" s="36" t="s">
        <v>38</v>
      </c>
      <c r="D12" s="11"/>
      <c r="E12" s="17"/>
      <c r="F12" s="11"/>
    </row>
    <row r="13" spans="2:6" x14ac:dyDescent="0.25">
      <c r="B13" s="31" t="s">
        <v>37</v>
      </c>
      <c r="C13" s="36" t="s">
        <v>36</v>
      </c>
      <c r="D13" s="11"/>
      <c r="E13" s="17"/>
      <c r="F13" s="11"/>
    </row>
    <row r="14" spans="2:6" x14ac:dyDescent="0.25">
      <c r="B14" s="31" t="s">
        <v>35</v>
      </c>
      <c r="C14" s="36" t="s">
        <v>34</v>
      </c>
      <c r="D14" s="11"/>
      <c r="E14" s="17"/>
      <c r="F14" s="11"/>
    </row>
    <row r="15" spans="2:6" x14ac:dyDescent="0.25">
      <c r="B15" s="320"/>
      <c r="C15" s="318" t="s">
        <v>32</v>
      </c>
      <c r="D15" s="322"/>
      <c r="E15" s="322"/>
      <c r="F15" s="323">
        <f>SUM(F9:F14)</f>
        <v>0</v>
      </c>
    </row>
    <row r="16" spans="2:6" x14ac:dyDescent="0.25">
      <c r="B16" s="317" t="s">
        <v>31</v>
      </c>
      <c r="C16" s="324" t="s">
        <v>30</v>
      </c>
      <c r="D16" s="322">
        <f>F15</f>
        <v>0</v>
      </c>
      <c r="E16" s="14">
        <f>'1.1 SALÁRIOS'!$F$33</f>
        <v>0</v>
      </c>
      <c r="F16" s="322">
        <f>E16*D16</f>
        <v>0</v>
      </c>
    </row>
    <row r="17" spans="2:6" x14ac:dyDescent="0.25">
      <c r="B17" s="317" t="s">
        <v>29</v>
      </c>
      <c r="C17" s="325" t="s">
        <v>28</v>
      </c>
      <c r="D17" s="322"/>
      <c r="E17" s="322"/>
      <c r="F17" s="323">
        <f>SUM(F15:F16)</f>
        <v>0</v>
      </c>
    </row>
    <row r="18" spans="2:6" x14ac:dyDescent="0.25">
      <c r="B18" s="317" t="s">
        <v>27</v>
      </c>
      <c r="C18" s="325" t="s">
        <v>26</v>
      </c>
      <c r="D18" s="322"/>
      <c r="E18" s="322"/>
      <c r="F18" s="322"/>
    </row>
    <row r="19" spans="2:6" x14ac:dyDescent="0.25">
      <c r="B19" s="9" t="s">
        <v>25</v>
      </c>
      <c r="C19" s="15" t="s">
        <v>24</v>
      </c>
      <c r="D19" s="11">
        <f>'1.1 SALÁRIOS'!$F$35</f>
        <v>0</v>
      </c>
      <c r="E19" s="11">
        <v>25.25</v>
      </c>
      <c r="F19" s="11">
        <f>IF(2*E19*D19-0.06*D9&lt;0,0,2*E19*D19-0.06*D9)</f>
        <v>0</v>
      </c>
    </row>
    <row r="20" spans="2:6" x14ac:dyDescent="0.25">
      <c r="B20" s="9" t="s">
        <v>23</v>
      </c>
      <c r="C20" s="15" t="s">
        <v>369</v>
      </c>
      <c r="D20" s="11">
        <f>('1.1 SALÁRIOS'!$F$36+'1.1 SALÁRIOS'!$F$37)/12</f>
        <v>0</v>
      </c>
      <c r="E20" s="11">
        <v>1</v>
      </c>
      <c r="F20" s="11">
        <f>E20*D20</f>
        <v>0</v>
      </c>
    </row>
    <row r="21" spans="2:6" x14ac:dyDescent="0.25">
      <c r="B21" s="9" t="s">
        <v>22</v>
      </c>
      <c r="C21" s="15" t="s">
        <v>370</v>
      </c>
      <c r="D21" s="11">
        <f>'1.1 SALÁRIOS'!$F$38</f>
        <v>0</v>
      </c>
      <c r="E21" s="11">
        <f>E19</f>
        <v>25.25</v>
      </c>
      <c r="F21" s="11">
        <f>E21*D21</f>
        <v>0</v>
      </c>
    </row>
    <row r="22" spans="2:6" x14ac:dyDescent="0.25">
      <c r="B22" s="9" t="s">
        <v>21</v>
      </c>
      <c r="C22" s="15" t="s">
        <v>371</v>
      </c>
      <c r="D22" s="11">
        <f>'1.1 SALÁRIOS'!$F$39</f>
        <v>0</v>
      </c>
      <c r="E22" s="11">
        <v>1</v>
      </c>
      <c r="F22" s="11">
        <f>E22*D22</f>
        <v>0</v>
      </c>
    </row>
    <row r="23" spans="2:6" x14ac:dyDescent="0.25">
      <c r="B23" s="9" t="s">
        <v>374</v>
      </c>
      <c r="C23" s="15" t="s">
        <v>372</v>
      </c>
      <c r="D23" s="11">
        <f>'1.1 SALÁRIOS'!$F$40</f>
        <v>0</v>
      </c>
      <c r="E23" s="11">
        <v>1</v>
      </c>
      <c r="F23" s="11">
        <f>E23*D23</f>
        <v>0</v>
      </c>
    </row>
    <row r="24" spans="2:6" x14ac:dyDescent="0.25">
      <c r="B24" s="9" t="s">
        <v>375</v>
      </c>
      <c r="C24" s="15" t="s">
        <v>373</v>
      </c>
      <c r="D24" s="11">
        <f>'1.1 SALÁRIOS'!$F$41</f>
        <v>0</v>
      </c>
      <c r="E24" s="11">
        <v>1</v>
      </c>
      <c r="F24" s="11">
        <f>E24*D24</f>
        <v>0</v>
      </c>
    </row>
    <row r="25" spans="2:6" x14ac:dyDescent="0.25">
      <c r="B25" s="320"/>
      <c r="C25" s="325" t="s">
        <v>20</v>
      </c>
      <c r="D25" s="323"/>
      <c r="E25" s="323"/>
      <c r="F25" s="323">
        <f>SUM(F19:F24)</f>
        <v>0</v>
      </c>
    </row>
    <row r="26" spans="2:6" x14ac:dyDescent="0.25">
      <c r="B26" s="317" t="s">
        <v>19</v>
      </c>
      <c r="C26" s="325" t="s">
        <v>18</v>
      </c>
      <c r="D26" s="322"/>
      <c r="E26" s="322"/>
      <c r="F26" s="322"/>
    </row>
    <row r="27" spans="2:6" x14ac:dyDescent="0.25">
      <c r="B27" s="320" t="s">
        <v>17</v>
      </c>
      <c r="C27" s="326" t="s">
        <v>16</v>
      </c>
      <c r="D27" s="11" t="e">
        <f>VLOOKUP(C27,'1.1 CUSTO FERRAME-UNIFORME-EPI'!B:C,2,FALSE)</f>
        <v>#DIV/0!</v>
      </c>
      <c r="E27" s="328">
        <v>0.17</v>
      </c>
      <c r="F27" s="322" t="e">
        <f t="shared" ref="F27:F34" si="0">E27*D27</f>
        <v>#DIV/0!</v>
      </c>
    </row>
    <row r="28" spans="2:6" x14ac:dyDescent="0.25">
      <c r="B28" s="320" t="s">
        <v>15</v>
      </c>
      <c r="C28" s="326" t="s">
        <v>14</v>
      </c>
      <c r="D28" s="11" t="e">
        <f>VLOOKUP(C28,'1.1 CUSTO FERRAME-UNIFORME-EPI'!B:C,2,FALSE)</f>
        <v>#DIV/0!</v>
      </c>
      <c r="E28" s="328">
        <v>0.33</v>
      </c>
      <c r="F28" s="322" t="e">
        <f t="shared" si="0"/>
        <v>#DIV/0!</v>
      </c>
    </row>
    <row r="29" spans="2:6" x14ac:dyDescent="0.25">
      <c r="B29" s="320" t="s">
        <v>13</v>
      </c>
      <c r="C29" s="326" t="s">
        <v>12</v>
      </c>
      <c r="D29" s="11" t="e">
        <f>VLOOKUP(C29,'1.1 CUSTO FERRAME-UNIFORME-EPI'!B:C,2,FALSE)</f>
        <v>#DIV/0!</v>
      </c>
      <c r="E29" s="328">
        <v>0.33</v>
      </c>
      <c r="F29" s="322" t="e">
        <f t="shared" si="0"/>
        <v>#DIV/0!</v>
      </c>
    </row>
    <row r="30" spans="2:6" x14ac:dyDescent="0.25">
      <c r="B30" s="320" t="s">
        <v>11</v>
      </c>
      <c r="C30" s="326" t="s">
        <v>10</v>
      </c>
      <c r="D30" s="11">
        <f>VLOOKUP(C30,'1.1 CUSTO FERRAME-UNIFORME-EPI'!B:C,2,FALSE)</f>
        <v>0</v>
      </c>
      <c r="E30" s="328">
        <v>0.17</v>
      </c>
      <c r="F30" s="322">
        <f t="shared" si="0"/>
        <v>0</v>
      </c>
    </row>
    <row r="31" spans="2:6" x14ac:dyDescent="0.25">
      <c r="B31" s="320" t="s">
        <v>9</v>
      </c>
      <c r="C31" s="326" t="s">
        <v>8</v>
      </c>
      <c r="D31" s="11">
        <f>VLOOKUP(C31,'1.1 CUSTO FERRAME-UNIFORME-EPI'!B:C,2,FALSE)</f>
        <v>0</v>
      </c>
      <c r="E31" s="328">
        <v>0.17</v>
      </c>
      <c r="F31" s="322">
        <f t="shared" si="0"/>
        <v>0</v>
      </c>
    </row>
    <row r="32" spans="2:6" x14ac:dyDescent="0.25">
      <c r="B32" s="320" t="s">
        <v>7</v>
      </c>
      <c r="C32" s="326" t="s">
        <v>6</v>
      </c>
      <c r="D32" s="11">
        <f>VLOOKUP(C32,'1.1 CUSTO FERRAME-UNIFORME-EPI'!B:C,2,FALSE)</f>
        <v>0</v>
      </c>
      <c r="E32" s="328">
        <v>0.3</v>
      </c>
      <c r="F32" s="322">
        <f t="shared" si="0"/>
        <v>0</v>
      </c>
    </row>
    <row r="33" spans="2:6" x14ac:dyDescent="0.25">
      <c r="B33" s="320" t="s">
        <v>5</v>
      </c>
      <c r="C33" s="326" t="s">
        <v>4</v>
      </c>
      <c r="D33" s="11" t="e">
        <f>VLOOKUP(C33,'1.1 CUSTO FERRAME-UNIFORME-EPI'!B:C,2,FALSE)</f>
        <v>#DIV/0!</v>
      </c>
      <c r="E33" s="328">
        <v>0</v>
      </c>
      <c r="F33" s="322" t="e">
        <f t="shared" si="0"/>
        <v>#DIV/0!</v>
      </c>
    </row>
    <row r="34" spans="2:6" x14ac:dyDescent="0.25">
      <c r="B34" s="320" t="s">
        <v>3</v>
      </c>
      <c r="C34" s="326" t="s">
        <v>202</v>
      </c>
      <c r="D34" s="11" t="e">
        <f>VLOOKUP(C34,'1.1 CUSTO FERRAME-UNIFORME-EPI'!B:C,2,FALSE)</f>
        <v>#DIV/0!</v>
      </c>
      <c r="E34" s="329">
        <v>0.08</v>
      </c>
      <c r="F34" s="322" t="e">
        <f t="shared" si="0"/>
        <v>#DIV/0!</v>
      </c>
    </row>
    <row r="35" spans="2:6" x14ac:dyDescent="0.25">
      <c r="B35" s="320"/>
      <c r="C35" s="325" t="s">
        <v>2</v>
      </c>
      <c r="D35" s="330"/>
      <c r="E35" s="330"/>
      <c r="F35" s="331" t="e">
        <f>SUM(F27:F34)</f>
        <v>#DIV/0!</v>
      </c>
    </row>
    <row r="36" spans="2:6" x14ac:dyDescent="0.25">
      <c r="B36" s="320"/>
      <c r="C36" s="332"/>
      <c r="D36" s="330"/>
      <c r="E36" s="330"/>
      <c r="F36" s="331"/>
    </row>
    <row r="37" spans="2:6" x14ac:dyDescent="0.25">
      <c r="B37" s="333" t="s">
        <v>1</v>
      </c>
      <c r="C37" s="334" t="s">
        <v>0</v>
      </c>
      <c r="D37" s="335"/>
      <c r="E37" s="335"/>
      <c r="F37" s="336" t="e">
        <f>SUM(F17,F25,F35)</f>
        <v>#DIV/0!</v>
      </c>
    </row>
    <row r="40" spans="2:6" x14ac:dyDescent="0.25">
      <c r="B40" s="313" t="s">
        <v>54</v>
      </c>
      <c r="C40" s="313" t="s">
        <v>53</v>
      </c>
      <c r="D40" s="714" t="s">
        <v>402</v>
      </c>
      <c r="E40" s="714"/>
      <c r="F40" s="714"/>
    </row>
    <row r="41" spans="2:6" x14ac:dyDescent="0.25">
      <c r="B41" s="315"/>
      <c r="C41" s="315"/>
      <c r="D41" s="713"/>
      <c r="E41" s="713"/>
      <c r="F41" s="713"/>
    </row>
    <row r="42" spans="2:6" x14ac:dyDescent="0.25">
      <c r="B42" s="317" t="s">
        <v>52</v>
      </c>
      <c r="C42" s="337" t="s">
        <v>51</v>
      </c>
      <c r="D42" s="319" t="s">
        <v>50</v>
      </c>
      <c r="E42" s="319" t="s">
        <v>49</v>
      </c>
      <c r="F42" s="319" t="s">
        <v>48</v>
      </c>
    </row>
    <row r="43" spans="2:6" x14ac:dyDescent="0.25">
      <c r="B43" s="317" t="s">
        <v>47</v>
      </c>
      <c r="C43" s="337" t="s">
        <v>46</v>
      </c>
      <c r="D43" s="319"/>
      <c r="E43" s="319"/>
      <c r="F43" s="319"/>
    </row>
    <row r="44" spans="2:6" x14ac:dyDescent="0.25">
      <c r="B44" s="320" t="s">
        <v>45</v>
      </c>
      <c r="C44" s="338" t="s">
        <v>44</v>
      </c>
      <c r="D44" s="339">
        <f>'1.1 SALÁRIOS'!F26</f>
        <v>0</v>
      </c>
      <c r="E44" s="322">
        <v>1</v>
      </c>
      <c r="F44" s="322">
        <f>E44*D44</f>
        <v>0</v>
      </c>
    </row>
    <row r="45" spans="2:6" x14ac:dyDescent="0.25">
      <c r="B45" s="320" t="s">
        <v>43</v>
      </c>
      <c r="C45" s="338" t="s">
        <v>42</v>
      </c>
      <c r="D45" s="11">
        <f>'1.1 SALÁRIOS'!$F$23</f>
        <v>0</v>
      </c>
      <c r="E45" s="34">
        <v>0</v>
      </c>
      <c r="F45" s="11">
        <f>E45*D45</f>
        <v>0</v>
      </c>
    </row>
    <row r="46" spans="2:6" x14ac:dyDescent="0.25">
      <c r="B46" s="320" t="s">
        <v>41</v>
      </c>
      <c r="C46" s="338" t="s">
        <v>56</v>
      </c>
      <c r="D46" s="322"/>
      <c r="E46" s="322"/>
      <c r="F46" s="322"/>
    </row>
    <row r="47" spans="2:6" x14ac:dyDescent="0.25">
      <c r="B47" s="320" t="s">
        <v>39</v>
      </c>
      <c r="C47" s="338" t="s">
        <v>38</v>
      </c>
      <c r="D47" s="322"/>
      <c r="E47" s="322"/>
      <c r="F47" s="322"/>
    </row>
    <row r="48" spans="2:6" x14ac:dyDescent="0.25">
      <c r="B48" s="320" t="s">
        <v>37</v>
      </c>
      <c r="C48" s="338" t="s">
        <v>36</v>
      </c>
      <c r="D48" s="322"/>
      <c r="E48" s="322"/>
      <c r="F48" s="322"/>
    </row>
    <row r="49" spans="2:6" x14ac:dyDescent="0.25">
      <c r="B49" s="320" t="s">
        <v>35</v>
      </c>
      <c r="C49" s="338" t="s">
        <v>34</v>
      </c>
      <c r="D49" s="322"/>
      <c r="E49" s="322"/>
      <c r="F49" s="322"/>
    </row>
    <row r="50" spans="2:6" x14ac:dyDescent="0.25">
      <c r="B50" s="320" t="s">
        <v>33</v>
      </c>
      <c r="C50" s="337" t="s">
        <v>32</v>
      </c>
      <c r="D50" s="322"/>
      <c r="E50" s="322"/>
      <c r="F50" s="323">
        <f>SUM(F44:F49)</f>
        <v>0</v>
      </c>
    </row>
    <row r="51" spans="2:6" x14ac:dyDescent="0.25">
      <c r="B51" s="317" t="s">
        <v>31</v>
      </c>
      <c r="C51" s="324" t="s">
        <v>30</v>
      </c>
      <c r="D51" s="322">
        <f>F50</f>
        <v>0</v>
      </c>
      <c r="E51" s="14">
        <f>'1.1 SALÁRIOS'!$F$33</f>
        <v>0</v>
      </c>
      <c r="F51" s="323">
        <f>E51*D51</f>
        <v>0</v>
      </c>
    </row>
    <row r="52" spans="2:6" x14ac:dyDescent="0.25">
      <c r="B52" s="317" t="s">
        <v>29</v>
      </c>
      <c r="C52" s="324" t="s">
        <v>28</v>
      </c>
      <c r="D52" s="322"/>
      <c r="E52" s="322"/>
      <c r="F52" s="323">
        <f>SUM(F50:F51)</f>
        <v>0</v>
      </c>
    </row>
    <row r="53" spans="2:6" x14ac:dyDescent="0.25">
      <c r="B53" s="317" t="s">
        <v>27</v>
      </c>
      <c r="C53" s="324" t="s">
        <v>26</v>
      </c>
      <c r="D53" s="322"/>
      <c r="E53" s="322"/>
      <c r="F53" s="322"/>
    </row>
    <row r="54" spans="2:6" x14ac:dyDescent="0.25">
      <c r="B54" s="9" t="s">
        <v>25</v>
      </c>
      <c r="C54" s="15" t="s">
        <v>24</v>
      </c>
      <c r="D54" s="11">
        <f>'1.1 SALÁRIOS'!$F$35</f>
        <v>0</v>
      </c>
      <c r="E54" s="11">
        <v>25.25</v>
      </c>
      <c r="F54" s="11">
        <f>IF(2*E54*D54-0.06*D44&lt;0,0,2*E54*D54-0.06*D44)</f>
        <v>0</v>
      </c>
    </row>
    <row r="55" spans="2:6" x14ac:dyDescent="0.25">
      <c r="B55" s="9" t="s">
        <v>23</v>
      </c>
      <c r="C55" s="15" t="s">
        <v>369</v>
      </c>
      <c r="D55" s="11">
        <f>('1.1 SALÁRIOS'!$F$36+'1.1 SALÁRIOS'!$F$37)/12</f>
        <v>0</v>
      </c>
      <c r="E55" s="11">
        <v>1</v>
      </c>
      <c r="F55" s="11">
        <f>E55*D55</f>
        <v>0</v>
      </c>
    </row>
    <row r="56" spans="2:6" x14ac:dyDescent="0.25">
      <c r="B56" s="9" t="s">
        <v>22</v>
      </c>
      <c r="C56" s="15" t="s">
        <v>370</v>
      </c>
      <c r="D56" s="11">
        <f>'1.1 SALÁRIOS'!$F$38</f>
        <v>0</v>
      </c>
      <c r="E56" s="11">
        <f>E54</f>
        <v>25.25</v>
      </c>
      <c r="F56" s="11">
        <f>E56*D56</f>
        <v>0</v>
      </c>
    </row>
    <row r="57" spans="2:6" x14ac:dyDescent="0.25">
      <c r="B57" s="9" t="s">
        <v>21</v>
      </c>
      <c r="C57" s="15" t="s">
        <v>371</v>
      </c>
      <c r="D57" s="11">
        <f>'1.1 SALÁRIOS'!$F$39</f>
        <v>0</v>
      </c>
      <c r="E57" s="11">
        <v>1</v>
      </c>
      <c r="F57" s="11">
        <f>E57*D57</f>
        <v>0</v>
      </c>
    </row>
    <row r="58" spans="2:6" x14ac:dyDescent="0.25">
      <c r="B58" s="9" t="s">
        <v>374</v>
      </c>
      <c r="C58" s="15" t="s">
        <v>372</v>
      </c>
      <c r="D58" s="11">
        <f>'1.1 SALÁRIOS'!$F$40</f>
        <v>0</v>
      </c>
      <c r="E58" s="11">
        <v>1</v>
      </c>
      <c r="F58" s="11">
        <f>E58*D58</f>
        <v>0</v>
      </c>
    </row>
    <row r="59" spans="2:6" x14ac:dyDescent="0.25">
      <c r="B59" s="9" t="s">
        <v>375</v>
      </c>
      <c r="C59" s="15" t="s">
        <v>373</v>
      </c>
      <c r="D59" s="11">
        <f>'1.1 SALÁRIOS'!$F$41</f>
        <v>0</v>
      </c>
      <c r="E59" s="11">
        <v>1</v>
      </c>
      <c r="F59" s="11">
        <f>E59*D59</f>
        <v>0</v>
      </c>
    </row>
    <row r="60" spans="2:6" x14ac:dyDescent="0.25">
      <c r="B60" s="320" t="s">
        <v>57</v>
      </c>
      <c r="C60" s="324" t="s">
        <v>20</v>
      </c>
      <c r="D60" s="323"/>
      <c r="E60" s="323"/>
      <c r="F60" s="323">
        <f>SUM(F54:F59)</f>
        <v>0</v>
      </c>
    </row>
    <row r="61" spans="2:6" x14ac:dyDescent="0.25">
      <c r="B61" s="317" t="s">
        <v>19</v>
      </c>
      <c r="C61" s="324" t="s">
        <v>18</v>
      </c>
      <c r="D61" s="322"/>
      <c r="E61" s="322"/>
      <c r="F61" s="322"/>
    </row>
    <row r="62" spans="2:6" x14ac:dyDescent="0.25">
      <c r="B62" s="320" t="s">
        <v>17</v>
      </c>
      <c r="C62" s="340" t="s">
        <v>16</v>
      </c>
      <c r="D62" s="11" t="e">
        <f>VLOOKUP(C62,'1.1 CUSTO FERRAME-UNIFORME-EPI'!B:C,2,FALSE)</f>
        <v>#DIV/0!</v>
      </c>
      <c r="E62" s="328">
        <v>0.17</v>
      </c>
      <c r="F62" s="322" t="e">
        <f t="shared" ref="F62:F69" si="1">E62*D62</f>
        <v>#DIV/0!</v>
      </c>
    </row>
    <row r="63" spans="2:6" x14ac:dyDescent="0.25">
      <c r="B63" s="320" t="s">
        <v>15</v>
      </c>
      <c r="C63" s="340" t="s">
        <v>14</v>
      </c>
      <c r="D63" s="11" t="e">
        <f>VLOOKUP(C63,'1.1 CUSTO FERRAME-UNIFORME-EPI'!B:C,2,FALSE)</f>
        <v>#DIV/0!</v>
      </c>
      <c r="E63" s="328">
        <v>0.33</v>
      </c>
      <c r="F63" s="322" t="e">
        <f t="shared" si="1"/>
        <v>#DIV/0!</v>
      </c>
    </row>
    <row r="64" spans="2:6" x14ac:dyDescent="0.25">
      <c r="B64" s="320" t="s">
        <v>13</v>
      </c>
      <c r="C64" s="340" t="s">
        <v>12</v>
      </c>
      <c r="D64" s="11" t="e">
        <f>VLOOKUP(C64,'1.1 CUSTO FERRAME-UNIFORME-EPI'!B:C,2,FALSE)</f>
        <v>#DIV/0!</v>
      </c>
      <c r="E64" s="328">
        <v>0.33</v>
      </c>
      <c r="F64" s="322" t="e">
        <f t="shared" si="1"/>
        <v>#DIV/0!</v>
      </c>
    </row>
    <row r="65" spans="2:6" x14ac:dyDescent="0.25">
      <c r="B65" s="320" t="s">
        <v>11</v>
      </c>
      <c r="C65" s="340" t="s">
        <v>10</v>
      </c>
      <c r="D65" s="11">
        <f>VLOOKUP(C65,'1.1 CUSTO FERRAME-UNIFORME-EPI'!B:C,2,FALSE)</f>
        <v>0</v>
      </c>
      <c r="E65" s="328">
        <v>0.17</v>
      </c>
      <c r="F65" s="322">
        <f t="shared" si="1"/>
        <v>0</v>
      </c>
    </row>
    <row r="66" spans="2:6" x14ac:dyDescent="0.25">
      <c r="B66" s="320" t="s">
        <v>9</v>
      </c>
      <c r="C66" s="340" t="s">
        <v>8</v>
      </c>
      <c r="D66" s="11">
        <f>VLOOKUP(C66,'1.1 CUSTO FERRAME-UNIFORME-EPI'!B:C,2,FALSE)</f>
        <v>0</v>
      </c>
      <c r="E66" s="328">
        <v>0.17</v>
      </c>
      <c r="F66" s="322">
        <f t="shared" si="1"/>
        <v>0</v>
      </c>
    </row>
    <row r="67" spans="2:6" x14ac:dyDescent="0.25">
      <c r="B67" s="320" t="s">
        <v>7</v>
      </c>
      <c r="C67" s="340" t="s">
        <v>6</v>
      </c>
      <c r="D67" s="11">
        <f>VLOOKUP(C67,'1.1 CUSTO FERRAME-UNIFORME-EPI'!B:C,2,FALSE)</f>
        <v>0</v>
      </c>
      <c r="E67" s="328">
        <v>0.3</v>
      </c>
      <c r="F67" s="322">
        <f t="shared" si="1"/>
        <v>0</v>
      </c>
    </row>
    <row r="68" spans="2:6" x14ac:dyDescent="0.25">
      <c r="B68" s="320" t="s">
        <v>5</v>
      </c>
      <c r="C68" s="340" t="s">
        <v>4</v>
      </c>
      <c r="D68" s="11" t="e">
        <f>VLOOKUP(C68,'1.1 CUSTO FERRAME-UNIFORME-EPI'!B:C,2,FALSE)</f>
        <v>#DIV/0!</v>
      </c>
      <c r="E68" s="328">
        <v>0</v>
      </c>
      <c r="F68" s="322" t="e">
        <f t="shared" si="1"/>
        <v>#DIV/0!</v>
      </c>
    </row>
    <row r="69" spans="2:6" x14ac:dyDescent="0.25">
      <c r="B69" s="320" t="s">
        <v>3</v>
      </c>
      <c r="C69" s="326" t="s">
        <v>202</v>
      </c>
      <c r="D69" s="11" t="e">
        <f>VLOOKUP(C69,'1.1 CUSTO FERRAME-UNIFORME-EPI'!B:C,2,FALSE)</f>
        <v>#DIV/0!</v>
      </c>
      <c r="E69" s="329">
        <v>0.08</v>
      </c>
      <c r="F69" s="322" t="e">
        <f t="shared" si="1"/>
        <v>#DIV/0!</v>
      </c>
    </row>
    <row r="70" spans="2:6" x14ac:dyDescent="0.25">
      <c r="B70" s="320"/>
      <c r="C70" s="341" t="s">
        <v>2</v>
      </c>
      <c r="D70" s="330"/>
      <c r="E70" s="330"/>
      <c r="F70" s="331" t="e">
        <f>SUM(F62:F69)</f>
        <v>#DIV/0!</v>
      </c>
    </row>
    <row r="71" spans="2:6" x14ac:dyDescent="0.25">
      <c r="B71" s="342"/>
      <c r="C71" s="343"/>
      <c r="D71" s="344"/>
      <c r="E71" s="344"/>
      <c r="F71" s="345"/>
    </row>
    <row r="72" spans="2:6" x14ac:dyDescent="0.25">
      <c r="B72" s="333" t="s">
        <v>1</v>
      </c>
      <c r="C72" s="346" t="s">
        <v>0</v>
      </c>
      <c r="D72" s="335"/>
      <c r="E72" s="335"/>
      <c r="F72" s="336" t="e">
        <f>SUM(F70,F60,F52)</f>
        <v>#DIV/0!</v>
      </c>
    </row>
    <row r="75" spans="2:6" x14ac:dyDescent="0.25">
      <c r="B75" s="313" t="s">
        <v>54</v>
      </c>
      <c r="C75" s="313" t="s">
        <v>53</v>
      </c>
      <c r="D75" s="708" t="s">
        <v>403</v>
      </c>
      <c r="E75" s="708"/>
      <c r="F75" s="708"/>
    </row>
    <row r="76" spans="2:6" x14ac:dyDescent="0.25">
      <c r="B76" s="315"/>
      <c r="C76" s="315"/>
      <c r="D76" s="713"/>
      <c r="E76" s="713"/>
      <c r="F76" s="713"/>
    </row>
    <row r="77" spans="2:6" x14ac:dyDescent="0.25">
      <c r="B77" s="317" t="s">
        <v>52</v>
      </c>
      <c r="C77" s="337" t="s">
        <v>51</v>
      </c>
      <c r="D77" s="319" t="s">
        <v>50</v>
      </c>
      <c r="E77" s="319" t="s">
        <v>49</v>
      </c>
      <c r="F77" s="319" t="s">
        <v>48</v>
      </c>
    </row>
    <row r="78" spans="2:6" x14ac:dyDescent="0.25">
      <c r="B78" s="317" t="s">
        <v>47</v>
      </c>
      <c r="C78" s="337" t="s">
        <v>46</v>
      </c>
      <c r="D78" s="319"/>
      <c r="E78" s="319"/>
      <c r="F78" s="319"/>
    </row>
    <row r="79" spans="2:6" x14ac:dyDescent="0.25">
      <c r="B79" s="320" t="s">
        <v>45</v>
      </c>
      <c r="C79" s="338" t="s">
        <v>44</v>
      </c>
      <c r="D79" s="339">
        <f>'1.1 SALÁRIOS'!F7</f>
        <v>0</v>
      </c>
      <c r="E79" s="322">
        <v>1</v>
      </c>
      <c r="F79" s="322">
        <f>E79*D79</f>
        <v>0</v>
      </c>
    </row>
    <row r="80" spans="2:6" x14ac:dyDescent="0.25">
      <c r="B80" s="320" t="s">
        <v>43</v>
      </c>
      <c r="C80" s="338" t="s">
        <v>42</v>
      </c>
      <c r="D80" s="11">
        <f>'1.1 SALÁRIOS'!$F$23</f>
        <v>0</v>
      </c>
      <c r="E80" s="34">
        <v>0.2</v>
      </c>
      <c r="F80" s="11">
        <f>E80*D80</f>
        <v>0</v>
      </c>
    </row>
    <row r="81" spans="2:6" x14ac:dyDescent="0.25">
      <c r="B81" s="320" t="s">
        <v>41</v>
      </c>
      <c r="C81" s="338" t="s">
        <v>56</v>
      </c>
      <c r="D81" s="322"/>
      <c r="E81" s="322"/>
      <c r="F81" s="322"/>
    </row>
    <row r="82" spans="2:6" x14ac:dyDescent="0.25">
      <c r="B82" s="320" t="s">
        <v>39</v>
      </c>
      <c r="C82" s="338" t="s">
        <v>38</v>
      </c>
      <c r="D82" s="322"/>
      <c r="E82" s="322"/>
      <c r="F82" s="322"/>
    </row>
    <row r="83" spans="2:6" x14ac:dyDescent="0.25">
      <c r="B83" s="320" t="s">
        <v>37</v>
      </c>
      <c r="C83" s="338" t="s">
        <v>36</v>
      </c>
      <c r="D83" s="322"/>
      <c r="E83" s="322"/>
      <c r="F83" s="322"/>
    </row>
    <row r="84" spans="2:6" x14ac:dyDescent="0.25">
      <c r="B84" s="320" t="s">
        <v>35</v>
      </c>
      <c r="C84" s="338" t="s">
        <v>34</v>
      </c>
      <c r="D84" s="322"/>
      <c r="E84" s="322"/>
      <c r="F84" s="322"/>
    </row>
    <row r="85" spans="2:6" x14ac:dyDescent="0.25">
      <c r="B85" s="320"/>
      <c r="C85" s="337" t="s">
        <v>32</v>
      </c>
      <c r="D85" s="322"/>
      <c r="E85" s="322"/>
      <c r="F85" s="323">
        <f>SUM(F79:F84)</f>
        <v>0</v>
      </c>
    </row>
    <row r="86" spans="2:6" x14ac:dyDescent="0.25">
      <c r="B86" s="317" t="s">
        <v>31</v>
      </c>
      <c r="C86" s="347" t="s">
        <v>30</v>
      </c>
      <c r="D86" s="348">
        <f>F85</f>
        <v>0</v>
      </c>
      <c r="E86" s="14">
        <f>'1.1 SALÁRIOS'!$F$33</f>
        <v>0</v>
      </c>
      <c r="F86" s="322">
        <f>E86*D86</f>
        <v>0</v>
      </c>
    </row>
    <row r="87" spans="2:6" x14ac:dyDescent="0.25">
      <c r="B87" s="317" t="s">
        <v>29</v>
      </c>
      <c r="C87" s="324" t="s">
        <v>28</v>
      </c>
      <c r="D87" s="322"/>
      <c r="E87" s="322"/>
      <c r="F87" s="323">
        <f>SUM(F85:F86)</f>
        <v>0</v>
      </c>
    </row>
    <row r="88" spans="2:6" x14ac:dyDescent="0.25">
      <c r="B88" s="317" t="s">
        <v>27</v>
      </c>
      <c r="C88" s="324" t="s">
        <v>26</v>
      </c>
      <c r="D88" s="322"/>
      <c r="E88" s="322"/>
      <c r="F88" s="322"/>
    </row>
    <row r="89" spans="2:6" x14ac:dyDescent="0.25">
      <c r="B89" s="9" t="s">
        <v>25</v>
      </c>
      <c r="C89" s="15" t="s">
        <v>24</v>
      </c>
      <c r="D89" s="11">
        <f>'1.1 SALÁRIOS'!$F$35</f>
        <v>0</v>
      </c>
      <c r="E89" s="11">
        <v>25.25</v>
      </c>
      <c r="F89" s="11">
        <f>IF(2*E89*D89-0.06*D79&lt;0,0,2*E89*D89-0.06*D79)</f>
        <v>0</v>
      </c>
    </row>
    <row r="90" spans="2:6" x14ac:dyDescent="0.25">
      <c r="B90" s="9" t="s">
        <v>23</v>
      </c>
      <c r="C90" s="15" t="s">
        <v>369</v>
      </c>
      <c r="D90" s="11">
        <f>('1.1 SALÁRIOS'!$F$36+'1.1 SALÁRIOS'!$F$37)/12</f>
        <v>0</v>
      </c>
      <c r="E90" s="11">
        <v>1</v>
      </c>
      <c r="F90" s="11">
        <f>E90*D90</f>
        <v>0</v>
      </c>
    </row>
    <row r="91" spans="2:6" x14ac:dyDescent="0.25">
      <c r="B91" s="9" t="s">
        <v>22</v>
      </c>
      <c r="C91" s="15" t="s">
        <v>370</v>
      </c>
      <c r="D91" s="11">
        <f>'1.1 SALÁRIOS'!$F$38</f>
        <v>0</v>
      </c>
      <c r="E91" s="11">
        <f>E89</f>
        <v>25.25</v>
      </c>
      <c r="F91" s="11">
        <f>E91*D91</f>
        <v>0</v>
      </c>
    </row>
    <row r="92" spans="2:6" x14ac:dyDescent="0.25">
      <c r="B92" s="9" t="s">
        <v>21</v>
      </c>
      <c r="C92" s="15" t="s">
        <v>371</v>
      </c>
      <c r="D92" s="11">
        <f>'1.1 SALÁRIOS'!$F$39</f>
        <v>0</v>
      </c>
      <c r="E92" s="11">
        <v>1</v>
      </c>
      <c r="F92" s="11">
        <f>E92*D92</f>
        <v>0</v>
      </c>
    </row>
    <row r="93" spans="2:6" x14ac:dyDescent="0.25">
      <c r="B93" s="9" t="s">
        <v>374</v>
      </c>
      <c r="C93" s="15" t="s">
        <v>372</v>
      </c>
      <c r="D93" s="11">
        <f>'1.1 SALÁRIOS'!$F$40</f>
        <v>0</v>
      </c>
      <c r="E93" s="11">
        <v>1</v>
      </c>
      <c r="F93" s="11">
        <f>E93*D93</f>
        <v>0</v>
      </c>
    </row>
    <row r="94" spans="2:6" x14ac:dyDescent="0.25">
      <c r="B94" s="9" t="s">
        <v>375</v>
      </c>
      <c r="C94" s="15" t="s">
        <v>373</v>
      </c>
      <c r="D94" s="11">
        <f>'1.1 SALÁRIOS'!$F$41</f>
        <v>0</v>
      </c>
      <c r="E94" s="11">
        <v>1</v>
      </c>
      <c r="F94" s="11">
        <f>E94*D94</f>
        <v>0</v>
      </c>
    </row>
    <row r="95" spans="2:6" x14ac:dyDescent="0.25">
      <c r="B95" s="320"/>
      <c r="C95" s="324" t="s">
        <v>20</v>
      </c>
      <c r="D95" s="323"/>
      <c r="E95" s="323"/>
      <c r="F95" s="323">
        <f>SUM(F89:F94)</f>
        <v>0</v>
      </c>
    </row>
    <row r="96" spans="2:6" x14ac:dyDescent="0.25">
      <c r="B96" s="317" t="s">
        <v>19</v>
      </c>
      <c r="C96" s="324" t="s">
        <v>18</v>
      </c>
      <c r="D96" s="322"/>
      <c r="E96" s="322"/>
      <c r="F96" s="322"/>
    </row>
    <row r="97" spans="2:6" x14ac:dyDescent="0.25">
      <c r="B97" s="320" t="s">
        <v>17</v>
      </c>
      <c r="C97" s="340" t="s">
        <v>16</v>
      </c>
      <c r="D97" s="11" t="e">
        <f>VLOOKUP(C97,'1.1 CUSTO FERRAME-UNIFORME-EPI'!B:C,2,FALSE)</f>
        <v>#DIV/0!</v>
      </c>
      <c r="E97" s="328">
        <v>0.25</v>
      </c>
      <c r="F97" s="322" t="e">
        <f t="shared" ref="F97:F106" si="2">E97*D97</f>
        <v>#DIV/0!</v>
      </c>
    </row>
    <row r="98" spans="2:6" x14ac:dyDescent="0.25">
      <c r="B98" s="320" t="s">
        <v>15</v>
      </c>
      <c r="C98" s="340" t="s">
        <v>210</v>
      </c>
      <c r="D98" s="11">
        <f>VLOOKUP(C98,'1.1 CUSTO FERRAME-UNIFORME-EPI'!B:C,2,FALSE)</f>
        <v>0</v>
      </c>
      <c r="E98" s="328">
        <v>0.5</v>
      </c>
      <c r="F98" s="322">
        <f t="shared" si="2"/>
        <v>0</v>
      </c>
    </row>
    <row r="99" spans="2:6" x14ac:dyDescent="0.25">
      <c r="B99" s="320" t="s">
        <v>13</v>
      </c>
      <c r="C99" s="340" t="s">
        <v>209</v>
      </c>
      <c r="D99" s="11">
        <f>VLOOKUP(C99,'1.1 CUSTO FERRAME-UNIFORME-EPI'!B:C,2,FALSE)</f>
        <v>0</v>
      </c>
      <c r="E99" s="328">
        <v>0.5</v>
      </c>
      <c r="F99" s="322">
        <f t="shared" si="2"/>
        <v>0</v>
      </c>
    </row>
    <row r="100" spans="2:6" x14ac:dyDescent="0.25">
      <c r="B100" s="320" t="s">
        <v>11</v>
      </c>
      <c r="C100" s="340" t="s">
        <v>205</v>
      </c>
      <c r="D100" s="11">
        <f>VLOOKUP(C100,'1.1 CUSTO FERRAME-UNIFORME-EPI'!B:C,2,FALSE)</f>
        <v>0</v>
      </c>
      <c r="E100" s="328">
        <v>0.25</v>
      </c>
      <c r="F100" s="322">
        <f t="shared" si="2"/>
        <v>0</v>
      </c>
    </row>
    <row r="101" spans="2:6" x14ac:dyDescent="0.25">
      <c r="B101" s="320" t="s">
        <v>9</v>
      </c>
      <c r="C101" s="340" t="s">
        <v>58</v>
      </c>
      <c r="D101" s="11" t="e">
        <f>VLOOKUP(C101,'1.1 CUSTO FERRAME-UNIFORME-EPI'!B:C,2,FALSE)</f>
        <v>#DIV/0!</v>
      </c>
      <c r="E101" s="328">
        <v>0.25</v>
      </c>
      <c r="F101" s="322" t="e">
        <f t="shared" si="2"/>
        <v>#DIV/0!</v>
      </c>
    </row>
    <row r="102" spans="2:6" x14ac:dyDescent="0.25">
      <c r="B102" s="320" t="s">
        <v>7</v>
      </c>
      <c r="C102" s="340" t="s">
        <v>8</v>
      </c>
      <c r="D102" s="11">
        <f>VLOOKUP(C102,'1.1 CUSTO FERRAME-UNIFORME-EPI'!B:C,2,FALSE)</f>
        <v>0</v>
      </c>
      <c r="E102" s="328">
        <v>0.17</v>
      </c>
      <c r="F102" s="322">
        <f t="shared" si="2"/>
        <v>0</v>
      </c>
    </row>
    <row r="103" spans="2:6" x14ac:dyDescent="0.25">
      <c r="B103" s="320" t="s">
        <v>5</v>
      </c>
      <c r="C103" s="340" t="s">
        <v>204</v>
      </c>
      <c r="D103" s="11">
        <f>VLOOKUP(C103,'1.1 CUSTO FERRAME-UNIFORME-EPI'!B:C,2,FALSE)</f>
        <v>0</v>
      </c>
      <c r="E103" s="328">
        <v>0.5</v>
      </c>
      <c r="F103" s="322">
        <f t="shared" si="2"/>
        <v>0</v>
      </c>
    </row>
    <row r="104" spans="2:6" x14ac:dyDescent="0.25">
      <c r="B104" s="320" t="s">
        <v>3</v>
      </c>
      <c r="C104" s="340" t="s">
        <v>203</v>
      </c>
      <c r="D104" s="11">
        <f>VLOOKUP(C104,'1.1 CUSTO FERRAME-UNIFORME-EPI'!B:C,2,FALSE)</f>
        <v>0</v>
      </c>
      <c r="E104" s="328">
        <v>2.17</v>
      </c>
      <c r="F104" s="322">
        <f t="shared" si="2"/>
        <v>0</v>
      </c>
    </row>
    <row r="105" spans="2:6" x14ac:dyDescent="0.25">
      <c r="B105" s="320" t="s">
        <v>60</v>
      </c>
      <c r="C105" s="340" t="s">
        <v>6</v>
      </c>
      <c r="D105" s="11">
        <f>VLOOKUP(C105,'1.1 CUSTO FERRAME-UNIFORME-EPI'!B:C,2,FALSE)</f>
        <v>0</v>
      </c>
      <c r="E105" s="328">
        <v>0.3</v>
      </c>
      <c r="F105" s="322">
        <f t="shared" si="2"/>
        <v>0</v>
      </c>
    </row>
    <row r="106" spans="2:6" x14ac:dyDescent="0.25">
      <c r="B106" s="320" t="s">
        <v>400</v>
      </c>
      <c r="C106" s="326" t="s">
        <v>202</v>
      </c>
      <c r="D106" s="11" t="e">
        <f>VLOOKUP(C106,'1.1 CUSTO FERRAME-UNIFORME-EPI'!B:C,2,FALSE)</f>
        <v>#DIV/0!</v>
      </c>
      <c r="E106" s="329">
        <v>0.08</v>
      </c>
      <c r="F106" s="322" t="e">
        <f t="shared" si="2"/>
        <v>#DIV/0!</v>
      </c>
    </row>
    <row r="107" spans="2:6" x14ac:dyDescent="0.25">
      <c r="B107" s="320"/>
      <c r="C107" s="341" t="s">
        <v>2</v>
      </c>
      <c r="D107" s="330"/>
      <c r="E107" s="330"/>
      <c r="F107" s="331" t="e">
        <f>SUM(F97:F106)</f>
        <v>#DIV/0!</v>
      </c>
    </row>
    <row r="108" spans="2:6" x14ac:dyDescent="0.25">
      <c r="B108" s="342"/>
      <c r="C108" s="343"/>
      <c r="D108" s="344"/>
      <c r="E108" s="344"/>
      <c r="F108" s="345"/>
    </row>
    <row r="109" spans="2:6" x14ac:dyDescent="0.25">
      <c r="B109" s="333" t="s">
        <v>1</v>
      </c>
      <c r="C109" s="346" t="s">
        <v>0</v>
      </c>
      <c r="D109" s="335"/>
      <c r="E109" s="335"/>
      <c r="F109" s="336" t="e">
        <f>F107+F95+F87</f>
        <v>#DIV/0!</v>
      </c>
    </row>
  </sheetData>
  <mergeCells count="7">
    <mergeCell ref="D76:F76"/>
    <mergeCell ref="B2:F2"/>
    <mergeCell ref="D5:F5"/>
    <mergeCell ref="D6:F6"/>
    <mergeCell ref="D40:F40"/>
    <mergeCell ref="D41:F41"/>
    <mergeCell ref="D75:F75"/>
  </mergeCells>
  <pageMargins left="0.98425196850393704" right="0.59055118110236215" top="1.1811023622047243" bottom="0.59055118110236215" header="0.11811023622047244" footer="0.51181102362204722"/>
  <pageSetup paperSize="9" scale="71" fitToHeight="0" orientation="portrait" r:id="rId1"/>
  <headerFooter>
    <oddHeader>&amp;L&amp;G</oddHeader>
  </headerFooter>
  <rowBreaks count="2" manualBreakCount="2">
    <brk id="52" max="6" man="1"/>
    <brk id="110" max="6" man="1"/>
  </rowBreaks>
  <legacyDrawingHF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5" tint="0.59999389629810485"/>
    <pageSetUpPr fitToPage="1"/>
  </sheetPr>
  <dimension ref="B1:E43"/>
  <sheetViews>
    <sheetView showGridLines="0" view="pageLayout" zoomScaleNormal="110" zoomScaleSheetLayoutView="100" workbookViewId="0">
      <selection activeCell="F6" sqref="F6"/>
    </sheetView>
  </sheetViews>
  <sheetFormatPr defaultColWidth="9" defaultRowHeight="13.5" x14ac:dyDescent="0.25"/>
  <cols>
    <col min="1" max="1" width="9" style="181"/>
    <col min="2" max="2" width="5.140625" style="181" customWidth="1"/>
    <col min="3" max="3" width="28.85546875" style="181" customWidth="1"/>
    <col min="4" max="4" width="22.28515625" style="181" customWidth="1"/>
    <col min="5" max="16384" width="9" style="181"/>
  </cols>
  <sheetData>
    <row r="1" spans="2:4" ht="11.1" customHeight="1" x14ac:dyDescent="0.25"/>
    <row r="2" spans="2:4" ht="15.75" x14ac:dyDescent="0.25">
      <c r="B2" s="642" t="s">
        <v>187</v>
      </c>
      <c r="C2" s="642"/>
      <c r="D2" s="642"/>
    </row>
    <row r="4" spans="2:4" ht="12" customHeight="1" x14ac:dyDescent="0.25">
      <c r="C4" s="220"/>
    </row>
    <row r="5" spans="2:4" ht="12.95" customHeight="1" x14ac:dyDescent="0.25"/>
    <row r="6" spans="2:4" s="193" customFormat="1" ht="52.5" customHeight="1" x14ac:dyDescent="0.25">
      <c r="B6" s="643" t="s">
        <v>54</v>
      </c>
      <c r="C6" s="644" t="s">
        <v>53</v>
      </c>
      <c r="D6" s="236" t="s">
        <v>497</v>
      </c>
    </row>
    <row r="7" spans="2:4" s="193" customFormat="1" ht="18" customHeight="1" x14ac:dyDescent="0.25">
      <c r="B7" s="643"/>
      <c r="C7" s="644"/>
      <c r="D7" s="236" t="s">
        <v>184</v>
      </c>
    </row>
    <row r="8" spans="2:4" s="193" customFormat="1" ht="14.1" customHeight="1" x14ac:dyDescent="0.25">
      <c r="B8" s="202" t="s">
        <v>183</v>
      </c>
      <c r="C8" s="201" t="s">
        <v>182</v>
      </c>
      <c r="D8" s="200" t="e">
        <f>(D9-D11)/D43/12</f>
        <v>#DIV/0!</v>
      </c>
    </row>
    <row r="9" spans="2:4" s="209" customFormat="1" ht="14.1" customHeight="1" x14ac:dyDescent="0.2">
      <c r="B9" s="208" t="s">
        <v>181</v>
      </c>
      <c r="C9" s="187" t="s">
        <v>180</v>
      </c>
      <c r="D9" s="186" t="e">
        <f>'1.1 REF EQUIPAMENTOS E DIV'!E14+'1.1 REF EQUIPAMENTOS E DIV'!E16</f>
        <v>#DIV/0!</v>
      </c>
    </row>
    <row r="10" spans="2:4" s="209" customFormat="1" ht="9.9499999999999993" customHeight="1" x14ac:dyDescent="0.2">
      <c r="B10" s="207"/>
      <c r="C10" s="187"/>
      <c r="D10" s="186"/>
    </row>
    <row r="11" spans="2:4" s="209" customFormat="1" ht="14.1" customHeight="1" x14ac:dyDescent="0.2">
      <c r="B11" s="208" t="s">
        <v>179</v>
      </c>
      <c r="C11" s="187" t="s">
        <v>148</v>
      </c>
      <c r="D11" s="186" t="e">
        <f>D9*D42</f>
        <v>#DIV/0!</v>
      </c>
    </row>
    <row r="12" spans="2:4" s="209" customFormat="1" ht="9.9499999999999993" customHeight="1" x14ac:dyDescent="0.2">
      <c r="B12" s="213"/>
      <c r="C12" s="204"/>
      <c r="D12" s="203"/>
    </row>
    <row r="13" spans="2:4" s="209" customFormat="1" ht="14.1" customHeight="1" x14ac:dyDescent="0.2">
      <c r="B13" s="212" t="s">
        <v>178</v>
      </c>
      <c r="C13" s="211" t="s">
        <v>177</v>
      </c>
      <c r="D13" s="210" t="e">
        <f>D17*D19/12</f>
        <v>#DIV/0!</v>
      </c>
    </row>
    <row r="14" spans="2:4" s="209" customFormat="1" ht="9.9499999999999993" customHeight="1" x14ac:dyDescent="0.2">
      <c r="B14" s="232"/>
      <c r="C14" s="187"/>
      <c r="D14" s="186"/>
    </row>
    <row r="15" spans="2:4" s="209" customFormat="1" ht="14.1" customHeight="1" x14ac:dyDescent="0.2">
      <c r="B15" s="188" t="s">
        <v>176</v>
      </c>
      <c r="C15" s="187" t="s">
        <v>175</v>
      </c>
      <c r="D15" s="186" t="e">
        <f>D9</f>
        <v>#DIV/0!</v>
      </c>
    </row>
    <row r="16" spans="2:4" s="209" customFormat="1" ht="9.9499999999999993" customHeight="1" x14ac:dyDescent="0.2">
      <c r="B16" s="232"/>
      <c r="C16" s="187"/>
      <c r="D16" s="186"/>
    </row>
    <row r="17" spans="2:5" s="209" customFormat="1" ht="14.1" customHeight="1" x14ac:dyDescent="0.2">
      <c r="B17" s="188" t="s">
        <v>174</v>
      </c>
      <c r="C17" s="187" t="s">
        <v>173</v>
      </c>
      <c r="D17" s="186" t="e">
        <f>(D9-D11)*((1+D43)/(2*D43))/1.25</f>
        <v>#DIV/0!</v>
      </c>
    </row>
    <row r="18" spans="2:5" s="209" customFormat="1" ht="9.9499999999999993" customHeight="1" x14ac:dyDescent="0.2">
      <c r="B18" s="232"/>
      <c r="C18" s="187"/>
      <c r="D18" s="186"/>
    </row>
    <row r="19" spans="2:5" s="209" customFormat="1" ht="14.1" customHeight="1" x14ac:dyDescent="0.2">
      <c r="B19" s="184" t="s">
        <v>146</v>
      </c>
      <c r="C19" s="183" t="s">
        <v>145</v>
      </c>
      <c r="D19" s="182">
        <v>0.13250000000000001</v>
      </c>
    </row>
    <row r="20" spans="2:5" s="209" customFormat="1" ht="11.25" x14ac:dyDescent="0.2">
      <c r="B20" s="230" t="s">
        <v>172</v>
      </c>
      <c r="C20" s="229" t="s">
        <v>171</v>
      </c>
      <c r="D20" s="228">
        <f>D25*7.33*25.25</f>
        <v>0</v>
      </c>
    </row>
    <row r="21" spans="2:5" s="193" customFormat="1" ht="14.1" customHeight="1" x14ac:dyDescent="0.25">
      <c r="B21" s="208" t="s">
        <v>170</v>
      </c>
      <c r="C21" s="187" t="s">
        <v>169</v>
      </c>
      <c r="D21" s="227">
        <f>85*0.735*0.13</f>
        <v>8.1217500000000005</v>
      </c>
      <c r="E21" s="209"/>
    </row>
    <row r="22" spans="2:5" s="193" customFormat="1" ht="14.1" customHeight="1" x14ac:dyDescent="0.25">
      <c r="B22" s="208"/>
      <c r="C22" s="187"/>
      <c r="D22" s="186"/>
      <c r="E22" s="209"/>
    </row>
    <row r="23" spans="2:5" s="193" customFormat="1" ht="14.1" customHeight="1" x14ac:dyDescent="0.25">
      <c r="B23" s="208"/>
      <c r="C23" s="187" t="s">
        <v>168</v>
      </c>
      <c r="D23" s="186">
        <f>'1.1 REF EQUIPAMENTOS E DIV'!$E$38</f>
        <v>0</v>
      </c>
      <c r="E23" s="209"/>
    </row>
    <row r="24" spans="2:5" s="209" customFormat="1" ht="14.1" customHeight="1" x14ac:dyDescent="0.2">
      <c r="B24" s="207"/>
      <c r="C24" s="187"/>
      <c r="D24" s="186"/>
    </row>
    <row r="25" spans="2:5" s="209" customFormat="1" ht="11.25" x14ac:dyDescent="0.2">
      <c r="B25" s="208" t="s">
        <v>167</v>
      </c>
      <c r="C25" s="187" t="s">
        <v>166</v>
      </c>
      <c r="D25" s="186">
        <f>D23*D21</f>
        <v>0</v>
      </c>
    </row>
    <row r="26" spans="2:5" s="193" customFormat="1" ht="14.1" customHeight="1" x14ac:dyDescent="0.25">
      <c r="B26" s="202" t="s">
        <v>165</v>
      </c>
      <c r="C26" s="201" t="s">
        <v>164</v>
      </c>
      <c r="D26" s="200">
        <f>D29</f>
        <v>0</v>
      </c>
    </row>
    <row r="27" spans="2:5" s="209" customFormat="1" ht="14.1" customHeight="1" x14ac:dyDescent="0.2">
      <c r="B27" s="208" t="s">
        <v>163</v>
      </c>
      <c r="C27" s="187" t="s">
        <v>162</v>
      </c>
      <c r="D27" s="186">
        <v>0.1</v>
      </c>
    </row>
    <row r="28" spans="2:5" s="209" customFormat="1" ht="9.9499999999999993" customHeight="1" x14ac:dyDescent="0.2">
      <c r="B28" s="207"/>
      <c r="C28" s="187"/>
      <c r="D28" s="186"/>
    </row>
    <row r="29" spans="2:5" s="209" customFormat="1" ht="14.1" customHeight="1" x14ac:dyDescent="0.2">
      <c r="B29" s="208" t="s">
        <v>161</v>
      </c>
      <c r="C29" s="187" t="s">
        <v>160</v>
      </c>
      <c r="D29" s="186">
        <f>D27*D20</f>
        <v>0</v>
      </c>
    </row>
    <row r="30" spans="2:5" s="209" customFormat="1" ht="9.9499999999999993" customHeight="1" x14ac:dyDescent="0.2">
      <c r="B30" s="207"/>
      <c r="C30" s="187"/>
      <c r="D30" s="186"/>
    </row>
    <row r="31" spans="2:5" s="209" customFormat="1" ht="14.1" customHeight="1" x14ac:dyDescent="0.2">
      <c r="B31" s="202" t="s">
        <v>159</v>
      </c>
      <c r="C31" s="201" t="s">
        <v>158</v>
      </c>
      <c r="D31" s="200" t="e">
        <f>D37</f>
        <v>#DIV/0!</v>
      </c>
    </row>
    <row r="32" spans="2:5" s="209" customFormat="1" ht="18" customHeight="1" x14ac:dyDescent="0.2">
      <c r="B32" s="208" t="s">
        <v>157</v>
      </c>
      <c r="C32" s="187" t="s">
        <v>156</v>
      </c>
      <c r="D32" s="186" t="e">
        <f>D8</f>
        <v>#DIV/0!</v>
      </c>
    </row>
    <row r="33" spans="2:4" s="193" customFormat="1" ht="21.75" customHeight="1" x14ac:dyDescent="0.25">
      <c r="B33" s="207"/>
      <c r="C33" s="187"/>
      <c r="D33" s="186"/>
    </row>
    <row r="34" spans="2:4" s="193" customFormat="1" x14ac:dyDescent="0.25">
      <c r="B34" s="208" t="s">
        <v>155</v>
      </c>
      <c r="C34" s="187" t="s">
        <v>154</v>
      </c>
      <c r="D34" s="186">
        <v>0.8</v>
      </c>
    </row>
    <row r="35" spans="2:4" s="193" customFormat="1" x14ac:dyDescent="0.25">
      <c r="B35" s="208" t="s">
        <v>153</v>
      </c>
      <c r="C35" s="187" t="s">
        <v>386</v>
      </c>
      <c r="D35" s="310"/>
    </row>
    <row r="36" spans="2:4" s="193" customFormat="1" x14ac:dyDescent="0.25">
      <c r="B36" s="207"/>
      <c r="C36" s="187"/>
      <c r="D36" s="186"/>
    </row>
    <row r="37" spans="2:4" s="193" customFormat="1" x14ac:dyDescent="0.25">
      <c r="B37" s="208" t="s">
        <v>387</v>
      </c>
      <c r="C37" s="204" t="s">
        <v>152</v>
      </c>
      <c r="D37" s="203" t="e">
        <f>(D34+D35)*D32</f>
        <v>#DIV/0!</v>
      </c>
    </row>
    <row r="38" spans="2:4" s="193" customFormat="1" x14ac:dyDescent="0.25">
      <c r="B38" s="202" t="s">
        <v>151</v>
      </c>
      <c r="C38" s="201" t="s">
        <v>150</v>
      </c>
      <c r="D38" s="200" t="e">
        <f>'1.1 REF EQUIPAMENTOS E DIV'!$E$35</f>
        <v>#DIV/0!</v>
      </c>
    </row>
    <row r="39" spans="2:4" x14ac:dyDescent="0.25">
      <c r="B39" s="225"/>
      <c r="C39" s="224" t="s">
        <v>149</v>
      </c>
      <c r="D39" s="223" t="e">
        <f>D31++D26+D20+D13+D8+D38</f>
        <v>#DIV/0!</v>
      </c>
    </row>
    <row r="40" spans="2:4" x14ac:dyDescent="0.25">
      <c r="B40" s="196"/>
      <c r="C40" s="195"/>
      <c r="D40" s="222"/>
    </row>
    <row r="42" spans="2:4" x14ac:dyDescent="0.25">
      <c r="B42" s="192"/>
      <c r="C42" s="191" t="s">
        <v>148</v>
      </c>
      <c r="D42" s="190">
        <v>0.2</v>
      </c>
    </row>
    <row r="43" spans="2:4" x14ac:dyDescent="0.25">
      <c r="B43" s="188"/>
      <c r="C43" s="187" t="s">
        <v>147</v>
      </c>
      <c r="D43" s="186">
        <v>4.99965811965812</v>
      </c>
    </row>
  </sheetData>
  <sheetProtection selectLockedCells="1" selectUnlockedCells="1"/>
  <mergeCells count="3">
    <mergeCell ref="B2:D2"/>
    <mergeCell ref="B6:B7"/>
    <mergeCell ref="C6:C7"/>
  </mergeCells>
  <pageMargins left="0.98425196850393704" right="0.59055118110236215" top="1.1811023622047243" bottom="0.59055118110236215" header="0.11811023622047244" footer="0.51181102362204722"/>
  <pageSetup paperSize="9" firstPageNumber="0" fitToHeight="0" orientation="portrait" r:id="rId1"/>
  <headerFooter alignWithMargins="0">
    <oddHeader>&amp;L&amp;G</oddHeader>
  </headerFooter>
  <legacyDrawingHF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0" tint="-0.249977111117893"/>
    <pageSetUpPr fitToPage="1"/>
  </sheetPr>
  <dimension ref="A1:L36"/>
  <sheetViews>
    <sheetView showGridLines="0" view="pageLayout" zoomScaleNormal="112" zoomScaleSheetLayoutView="100" workbookViewId="0">
      <selection activeCell="F35" sqref="F35"/>
    </sheetView>
  </sheetViews>
  <sheetFormatPr defaultColWidth="9.140625" defaultRowHeight="13.5" x14ac:dyDescent="0.25"/>
  <cols>
    <col min="1" max="1" width="8" style="47" customWidth="1"/>
    <col min="2" max="2" width="50.7109375" style="47" customWidth="1"/>
    <col min="3" max="3" width="15.140625" style="47" customWidth="1"/>
    <col min="4" max="4" width="15.140625" style="49" customWidth="1"/>
    <col min="5" max="6" width="15.140625" style="48" customWidth="1"/>
    <col min="7" max="7" width="5.7109375" style="47" bestFit="1" customWidth="1"/>
    <col min="8" max="8" width="15.85546875" style="47" bestFit="1" customWidth="1"/>
    <col min="9" max="9" width="9.140625" style="47"/>
    <col min="10" max="10" width="15.85546875" style="47" bestFit="1" customWidth="1"/>
    <col min="11" max="11" width="7.7109375" style="47" bestFit="1" customWidth="1"/>
    <col min="12" max="12" width="8" style="47" bestFit="1" customWidth="1"/>
    <col min="13" max="16384" width="9.140625" style="47"/>
  </cols>
  <sheetData>
    <row r="1" spans="1:12" ht="15" x14ac:dyDescent="0.25">
      <c r="A1" s="92"/>
    </row>
    <row r="2" spans="1:12" s="80" customFormat="1" ht="15" x14ac:dyDescent="0.25">
      <c r="D2" s="48"/>
      <c r="E2" s="48"/>
      <c r="F2" s="48"/>
      <c r="G2" s="91"/>
    </row>
    <row r="3" spans="1:12" ht="15.75" x14ac:dyDescent="0.25">
      <c r="A3" s="627" t="s">
        <v>105</v>
      </c>
      <c r="B3" s="627"/>
      <c r="C3" s="627"/>
      <c r="D3" s="627"/>
      <c r="E3" s="627"/>
      <c r="F3" s="627"/>
      <c r="G3" s="91"/>
      <c r="J3" s="80"/>
      <c r="K3" s="80"/>
      <c r="L3" s="80"/>
    </row>
    <row r="4" spans="1:12" ht="15" x14ac:dyDescent="0.25">
      <c r="A4" s="626" t="str">
        <f>'ORÇAMENTO GERAL'!B18</f>
        <v>Administração Local</v>
      </c>
      <c r="B4" s="626"/>
      <c r="C4" s="626"/>
      <c r="D4" s="626"/>
      <c r="E4" s="626"/>
      <c r="F4" s="626"/>
      <c r="G4" s="91"/>
      <c r="H4" s="89"/>
      <c r="I4" s="89"/>
      <c r="J4" s="80"/>
      <c r="K4" s="80"/>
      <c r="L4" s="80"/>
    </row>
    <row r="5" spans="1:12" ht="15.75" thickBot="1" x14ac:dyDescent="0.3">
      <c r="E5" s="90" t="s">
        <v>104</v>
      </c>
      <c r="F5" s="90" t="s">
        <v>499</v>
      </c>
      <c r="H5" s="89"/>
      <c r="I5" s="89"/>
      <c r="J5" s="80"/>
      <c r="K5" s="80"/>
      <c r="L5" s="80"/>
    </row>
    <row r="6" spans="1:12" ht="15.75" thickBot="1" x14ac:dyDescent="0.3">
      <c r="A6" s="88" t="s">
        <v>54</v>
      </c>
      <c r="B6" s="87" t="s">
        <v>53</v>
      </c>
      <c r="C6" s="86" t="s">
        <v>102</v>
      </c>
      <c r="D6" s="85" t="s">
        <v>49</v>
      </c>
      <c r="E6" s="85" t="s">
        <v>101</v>
      </c>
      <c r="F6" s="84" t="s">
        <v>100</v>
      </c>
      <c r="G6" s="83"/>
      <c r="J6" s="80"/>
      <c r="K6" s="80"/>
      <c r="L6" s="80"/>
    </row>
    <row r="7" spans="1:12" ht="15" x14ac:dyDescent="0.25">
      <c r="A7" s="78">
        <v>1</v>
      </c>
      <c r="B7" s="77" t="s">
        <v>99</v>
      </c>
      <c r="C7" s="76"/>
      <c r="D7" s="75"/>
      <c r="E7" s="75"/>
      <c r="F7" s="74"/>
      <c r="G7" s="82"/>
      <c r="J7" s="80"/>
      <c r="K7" s="80"/>
      <c r="L7" s="80"/>
    </row>
    <row r="8" spans="1:12" ht="15" x14ac:dyDescent="0.25">
      <c r="A8" s="73" t="s">
        <v>47</v>
      </c>
      <c r="B8" s="72" t="s">
        <v>144</v>
      </c>
      <c r="C8" s="71" t="s">
        <v>85</v>
      </c>
      <c r="D8" s="70">
        <v>1</v>
      </c>
      <c r="E8" s="69">
        <f>'12 EQUIP. VEICULOS'!C38</f>
        <v>0</v>
      </c>
      <c r="F8" s="68">
        <f>E8*D8</f>
        <v>0</v>
      </c>
      <c r="J8" s="80"/>
      <c r="K8" s="80"/>
      <c r="L8" s="80"/>
    </row>
    <row r="9" spans="1:12" s="48" customFormat="1" ht="15" x14ac:dyDescent="0.25">
      <c r="A9" s="73" t="s">
        <v>31</v>
      </c>
      <c r="B9" s="72" t="s">
        <v>143</v>
      </c>
      <c r="C9" s="71" t="s">
        <v>85</v>
      </c>
      <c r="D9" s="70">
        <v>1</v>
      </c>
      <c r="E9" s="69">
        <f>'12 EQUIP. VEICULOS'!D38</f>
        <v>0</v>
      </c>
      <c r="F9" s="68">
        <f>E9*D9</f>
        <v>0</v>
      </c>
      <c r="G9" s="81"/>
      <c r="J9" s="80"/>
      <c r="K9" s="80"/>
      <c r="L9" s="80"/>
    </row>
    <row r="10" spans="1:12" s="48" customFormat="1" ht="15" x14ac:dyDescent="0.25">
      <c r="A10" s="73" t="s">
        <v>29</v>
      </c>
      <c r="B10" s="72"/>
      <c r="C10" s="71"/>
      <c r="D10" s="70"/>
      <c r="E10" s="69"/>
      <c r="F10" s="68"/>
      <c r="G10" s="81"/>
      <c r="J10" s="80"/>
      <c r="K10" s="80"/>
      <c r="L10" s="80"/>
    </row>
    <row r="11" spans="1:12" s="48" customFormat="1" ht="15" x14ac:dyDescent="0.25">
      <c r="A11" s="73" t="s">
        <v>27</v>
      </c>
      <c r="B11" s="72"/>
      <c r="C11" s="71"/>
      <c r="D11" s="70"/>
      <c r="E11" s="69"/>
      <c r="F11" s="68"/>
      <c r="G11" s="81"/>
      <c r="J11" s="80"/>
      <c r="K11" s="80"/>
      <c r="L11" s="80"/>
    </row>
    <row r="12" spans="1:12" s="48" customFormat="1" ht="15" x14ac:dyDescent="0.25">
      <c r="A12" s="73" t="s">
        <v>128</v>
      </c>
      <c r="B12" s="72"/>
      <c r="C12" s="71"/>
      <c r="D12" s="70"/>
      <c r="E12" s="69"/>
      <c r="F12" s="68"/>
      <c r="J12" s="80"/>
      <c r="K12" s="80"/>
      <c r="L12" s="80"/>
    </row>
    <row r="13" spans="1:12" s="48" customFormat="1" ht="15" x14ac:dyDescent="0.25">
      <c r="A13" s="73"/>
      <c r="B13" s="72"/>
      <c r="C13" s="71"/>
      <c r="D13" s="70"/>
      <c r="E13" s="69" t="s">
        <v>96</v>
      </c>
      <c r="F13" s="68">
        <f>SUM(F8:F12)</f>
        <v>0</v>
      </c>
      <c r="J13" s="80"/>
      <c r="K13" s="80"/>
      <c r="L13" s="80"/>
    </row>
    <row r="14" spans="1:12" s="48" customFormat="1" ht="15" x14ac:dyDescent="0.25">
      <c r="A14" s="78">
        <v>2</v>
      </c>
      <c r="B14" s="77" t="s">
        <v>95</v>
      </c>
      <c r="C14" s="76"/>
      <c r="D14" s="75"/>
      <c r="E14" s="75"/>
      <c r="F14" s="74"/>
      <c r="J14" s="80"/>
      <c r="K14" s="80"/>
      <c r="L14" s="80"/>
    </row>
    <row r="15" spans="1:12" s="48" customFormat="1" x14ac:dyDescent="0.25">
      <c r="A15" s="73" t="s">
        <v>17</v>
      </c>
      <c r="B15" s="72" t="s">
        <v>142</v>
      </c>
      <c r="C15" s="71" t="s">
        <v>94</v>
      </c>
      <c r="D15" s="70">
        <v>1</v>
      </c>
      <c r="E15" s="69">
        <f>'12 CPU MO'!F30</f>
        <v>0</v>
      </c>
      <c r="F15" s="68">
        <f t="shared" ref="F15:F20" si="0">E15*D15</f>
        <v>0</v>
      </c>
    </row>
    <row r="16" spans="1:12" s="48" customFormat="1" x14ac:dyDescent="0.25">
      <c r="A16" s="73" t="s">
        <v>15</v>
      </c>
      <c r="B16" s="72" t="s">
        <v>438</v>
      </c>
      <c r="C16" s="71" t="s">
        <v>94</v>
      </c>
      <c r="D16" s="70">
        <v>1</v>
      </c>
      <c r="E16" s="69" t="e">
        <f>'12 CPU MO'!F62</f>
        <v>#DIV/0!</v>
      </c>
      <c r="F16" s="68" t="e">
        <f t="shared" si="0"/>
        <v>#DIV/0!</v>
      </c>
    </row>
    <row r="17" spans="1:6" s="48" customFormat="1" x14ac:dyDescent="0.25">
      <c r="A17" s="73" t="s">
        <v>13</v>
      </c>
      <c r="B17" s="72" t="s">
        <v>141</v>
      </c>
      <c r="C17" s="71" t="s">
        <v>94</v>
      </c>
      <c r="D17" s="70">
        <v>1</v>
      </c>
      <c r="E17" s="69" t="e">
        <f>'12 CPU MO'!F95</f>
        <v>#DIV/0!</v>
      </c>
      <c r="F17" s="68" t="e">
        <f t="shared" si="0"/>
        <v>#DIV/0!</v>
      </c>
    </row>
    <row r="18" spans="1:6" s="48" customFormat="1" x14ac:dyDescent="0.25">
      <c r="A18" s="73" t="s">
        <v>11</v>
      </c>
      <c r="B18" s="72" t="s">
        <v>481</v>
      </c>
      <c r="C18" s="71" t="s">
        <v>94</v>
      </c>
      <c r="D18" s="70">
        <v>2</v>
      </c>
      <c r="E18" s="69" t="e">
        <f>'12 CPU MO'!F128</f>
        <v>#DIV/0!</v>
      </c>
      <c r="F18" s="68" t="e">
        <f t="shared" si="0"/>
        <v>#DIV/0!</v>
      </c>
    </row>
    <row r="19" spans="1:6" s="48" customFormat="1" x14ac:dyDescent="0.25">
      <c r="A19" s="73" t="s">
        <v>9</v>
      </c>
      <c r="B19" s="72" t="s">
        <v>140</v>
      </c>
      <c r="C19" s="71" t="s">
        <v>94</v>
      </c>
      <c r="D19" s="70">
        <v>2</v>
      </c>
      <c r="E19" s="69" t="e">
        <f>'12 CPU MO'!F161</f>
        <v>#DIV/0!</v>
      </c>
      <c r="F19" s="68" t="e">
        <f t="shared" si="0"/>
        <v>#DIV/0!</v>
      </c>
    </row>
    <row r="20" spans="1:6" s="79" customFormat="1" x14ac:dyDescent="0.25">
      <c r="A20" s="73" t="s">
        <v>7</v>
      </c>
      <c r="B20" s="72" t="s">
        <v>139</v>
      </c>
      <c r="C20" s="71" t="s">
        <v>94</v>
      </c>
      <c r="D20" s="70">
        <v>2</v>
      </c>
      <c r="E20" s="69" t="e">
        <f>'12 CPU MO'!F194</f>
        <v>#DIV/0!</v>
      </c>
      <c r="F20" s="68" t="e">
        <f t="shared" si="0"/>
        <v>#DIV/0!</v>
      </c>
    </row>
    <row r="21" spans="1:6" s="79" customFormat="1" x14ac:dyDescent="0.25">
      <c r="A21" s="73"/>
      <c r="B21" s="72"/>
      <c r="C21" s="71"/>
      <c r="D21" s="70"/>
      <c r="E21" s="69"/>
      <c r="F21" s="68"/>
    </row>
    <row r="22" spans="1:6" s="48" customFormat="1" x14ac:dyDescent="0.25">
      <c r="A22" s="73"/>
      <c r="B22" s="72"/>
      <c r="C22" s="71"/>
      <c r="D22" s="70"/>
      <c r="E22" s="69" t="s">
        <v>93</v>
      </c>
      <c r="F22" s="68" t="e">
        <f>SUM(F15:F21)</f>
        <v>#DIV/0!</v>
      </c>
    </row>
    <row r="23" spans="1:6" s="48" customFormat="1" x14ac:dyDescent="0.25">
      <c r="A23" s="78">
        <v>3</v>
      </c>
      <c r="B23" s="77" t="s">
        <v>138</v>
      </c>
      <c r="C23" s="76"/>
      <c r="D23" s="75"/>
      <c r="E23" s="75"/>
      <c r="F23" s="74"/>
    </row>
    <row r="24" spans="1:6" s="48" customFormat="1" x14ac:dyDescent="0.25">
      <c r="A24" s="73" t="s">
        <v>137</v>
      </c>
      <c r="B24" s="72" t="s">
        <v>136</v>
      </c>
      <c r="C24" s="71" t="s">
        <v>85</v>
      </c>
      <c r="D24" s="70">
        <f>$D$8</f>
        <v>1</v>
      </c>
      <c r="E24" s="69" t="e">
        <f>'1.1 REF EQUIPAMENTOS E DIV'!E31</f>
        <v>#DIV/0!</v>
      </c>
      <c r="F24" s="68" t="e">
        <f>E24*D24</f>
        <v>#DIV/0!</v>
      </c>
    </row>
    <row r="25" spans="1:6" s="48" customFormat="1" x14ac:dyDescent="0.25">
      <c r="A25" s="73" t="s">
        <v>135</v>
      </c>
      <c r="B25" s="72" t="s">
        <v>483</v>
      </c>
      <c r="C25" s="71" t="s">
        <v>85</v>
      </c>
      <c r="D25" s="70">
        <v>1</v>
      </c>
      <c r="E25" s="69" t="e">
        <f>'1.1 REF EQUIPAMENTOS E DIV'!E32</f>
        <v>#DIV/0!</v>
      </c>
      <c r="F25" s="68" t="e">
        <f>E25*D25</f>
        <v>#DIV/0!</v>
      </c>
    </row>
    <row r="26" spans="1:6" s="48" customFormat="1" x14ac:dyDescent="0.25">
      <c r="A26" s="73" t="s">
        <v>133</v>
      </c>
      <c r="B26" s="72" t="s">
        <v>132</v>
      </c>
      <c r="C26" s="71" t="s">
        <v>85</v>
      </c>
      <c r="D26" s="70">
        <f>$D$8</f>
        <v>1</v>
      </c>
      <c r="E26" s="69" t="e">
        <f>'1.1 REF EQUIPAMENTOS E DIV'!E33</f>
        <v>#DIV/0!</v>
      </c>
      <c r="F26" s="68" t="e">
        <f>E26*D26</f>
        <v>#DIV/0!</v>
      </c>
    </row>
    <row r="27" spans="1:6" s="48" customFormat="1" x14ac:dyDescent="0.25">
      <c r="A27" s="73"/>
      <c r="B27" s="72"/>
      <c r="C27" s="71"/>
      <c r="D27" s="70"/>
      <c r="E27" s="69" t="s">
        <v>84</v>
      </c>
      <c r="F27" s="68" t="e">
        <f>SUM(F24:F26)</f>
        <v>#DIV/0!</v>
      </c>
    </row>
    <row r="28" spans="1:6" s="48" customFormat="1" x14ac:dyDescent="0.25">
      <c r="A28" s="54"/>
      <c r="B28" s="54" t="s">
        <v>83</v>
      </c>
      <c r="C28" s="54"/>
      <c r="D28" s="54"/>
      <c r="E28" s="54"/>
      <c r="F28" s="67"/>
    </row>
    <row r="29" spans="1:6" s="48" customFormat="1" x14ac:dyDescent="0.25">
      <c r="A29" s="59"/>
      <c r="B29" s="60" t="s">
        <v>82</v>
      </c>
      <c r="C29" s="57" t="s">
        <v>81</v>
      </c>
      <c r="D29" s="64"/>
      <c r="E29" s="57"/>
      <c r="F29" s="66" t="e">
        <f>SUM(F27,F22,F13)</f>
        <v>#DIV/0!</v>
      </c>
    </row>
    <row r="30" spans="1:6" s="48" customFormat="1" x14ac:dyDescent="0.25">
      <c r="A30" s="59"/>
      <c r="B30" s="65" t="s">
        <v>80</v>
      </c>
      <c r="C30" s="59" t="s">
        <v>439</v>
      </c>
      <c r="E30" s="62"/>
      <c r="F30" s="64">
        <v>1</v>
      </c>
    </row>
    <row r="31" spans="1:6" s="48" customFormat="1" x14ac:dyDescent="0.25">
      <c r="A31" s="59"/>
      <c r="B31" s="60" t="s">
        <v>78</v>
      </c>
      <c r="C31" s="59" t="s">
        <v>440</v>
      </c>
      <c r="D31" s="63"/>
      <c r="E31" s="62"/>
      <c r="F31" s="61" t="e">
        <f>ROUND(F29/F30,2)</f>
        <v>#DIV/0!</v>
      </c>
    </row>
    <row r="32" spans="1:6" s="48" customFormat="1" x14ac:dyDescent="0.25">
      <c r="A32" s="59"/>
      <c r="B32" s="60" t="s">
        <v>77</v>
      </c>
      <c r="C32" s="59" t="s">
        <v>76</v>
      </c>
      <c r="D32" s="58">
        <f>'BDI '!$C$22</f>
        <v>5.2600000000000001E-2</v>
      </c>
      <c r="E32" s="57"/>
      <c r="F32" s="56" t="e">
        <f>ROUND(F31*D32,2)</f>
        <v>#DIV/0!</v>
      </c>
    </row>
    <row r="33" spans="1:6" s="48" customFormat="1" x14ac:dyDescent="0.25">
      <c r="A33" s="54"/>
      <c r="B33" s="54" t="s">
        <v>75</v>
      </c>
      <c r="C33" s="55" t="s">
        <v>441</v>
      </c>
      <c r="D33" s="54"/>
      <c r="E33" s="54"/>
      <c r="F33" s="53" t="e">
        <f>SUM(F31:F32)</f>
        <v>#DIV/0!</v>
      </c>
    </row>
    <row r="34" spans="1:6" s="48" customFormat="1" x14ac:dyDescent="0.25">
      <c r="A34" s="47"/>
      <c r="B34" s="47"/>
      <c r="C34" s="47"/>
      <c r="D34" s="52"/>
      <c r="E34" s="47"/>
      <c r="F34" s="51"/>
    </row>
    <row r="36" spans="1:6" s="48" customFormat="1" ht="11.25" x14ac:dyDescent="0.25">
      <c r="F36" s="50"/>
    </row>
  </sheetData>
  <mergeCells count="2">
    <mergeCell ref="A3:F3"/>
    <mergeCell ref="A4:F4"/>
  </mergeCells>
  <printOptions horizontalCentered="1"/>
  <pageMargins left="0.98425196850393704" right="0.59055118110236215" top="1.1811023622047243" bottom="0.59055118110236215" header="0.11811023622047244" footer="0.51181102362204722"/>
  <pageSetup paperSize="9" scale="71" firstPageNumber="0" fitToHeight="0" orientation="portrait" r:id="rId1"/>
  <headerFooter alignWithMargins="0">
    <oddHeader>&amp;L&amp;G</oddHeader>
  </headerFooter>
  <legacyDrawingHF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0" tint="-0.249977111117893"/>
    <pageSetUpPr fitToPage="1"/>
  </sheetPr>
  <dimension ref="B1:I194"/>
  <sheetViews>
    <sheetView view="pageLayout" zoomScaleNormal="100" zoomScaleSheetLayoutView="85" workbookViewId="0">
      <selection activeCell="C120" sqref="C120"/>
    </sheetView>
  </sheetViews>
  <sheetFormatPr defaultColWidth="9" defaultRowHeight="15" x14ac:dyDescent="0.25"/>
  <cols>
    <col min="1" max="1" width="9" style="311"/>
    <col min="2" max="2" width="8.42578125" style="311" customWidth="1"/>
    <col min="3" max="3" width="69.85546875" style="311" customWidth="1"/>
    <col min="4" max="6" width="14.140625" style="311" customWidth="1"/>
    <col min="7" max="16384" width="9" style="311"/>
  </cols>
  <sheetData>
    <row r="1" spans="2:9" x14ac:dyDescent="0.25">
      <c r="C1" s="312"/>
    </row>
    <row r="2" spans="2:9" x14ac:dyDescent="0.25">
      <c r="B2" s="717" t="s">
        <v>55</v>
      </c>
      <c r="C2" s="717"/>
      <c r="D2" s="717"/>
      <c r="E2" s="717"/>
      <c r="F2" s="717"/>
      <c r="G2" s="717"/>
      <c r="H2" s="717"/>
      <c r="I2" s="717"/>
    </row>
    <row r="4" spans="2:9" x14ac:dyDescent="0.25">
      <c r="B4" s="388" t="s">
        <v>54</v>
      </c>
      <c r="C4" s="389" t="s">
        <v>53</v>
      </c>
      <c r="D4" s="705" t="s">
        <v>69</v>
      </c>
      <c r="E4" s="706"/>
      <c r="F4" s="707"/>
    </row>
    <row r="5" spans="2:9" x14ac:dyDescent="0.25">
      <c r="B5" s="390"/>
      <c r="C5" s="391"/>
      <c r="D5" s="709"/>
      <c r="E5" s="710"/>
      <c r="F5" s="711"/>
    </row>
    <row r="6" spans="2:9" x14ac:dyDescent="0.25">
      <c r="B6" s="392" t="s">
        <v>52</v>
      </c>
      <c r="C6" s="393" t="s">
        <v>51</v>
      </c>
      <c r="D6" s="319" t="s">
        <v>50</v>
      </c>
      <c r="E6" s="319" t="s">
        <v>49</v>
      </c>
      <c r="F6" s="319" t="s">
        <v>48</v>
      </c>
    </row>
    <row r="7" spans="2:9" x14ac:dyDescent="0.25">
      <c r="B7" s="392" t="s">
        <v>47</v>
      </c>
      <c r="C7" s="393" t="s">
        <v>46</v>
      </c>
      <c r="D7" s="319"/>
      <c r="E7" s="319"/>
      <c r="F7" s="319"/>
    </row>
    <row r="8" spans="2:9" x14ac:dyDescent="0.25">
      <c r="B8" s="394" t="s">
        <v>45</v>
      </c>
      <c r="C8" s="395" t="s">
        <v>44</v>
      </c>
      <c r="D8" s="322">
        <f>'1.1 SALÁRIOS'!F30</f>
        <v>0</v>
      </c>
      <c r="E8" s="322">
        <v>1</v>
      </c>
      <c r="F8" s="322">
        <f>E8*D8</f>
        <v>0</v>
      </c>
    </row>
    <row r="9" spans="2:9" x14ac:dyDescent="0.25">
      <c r="B9" s="394" t="s">
        <v>43</v>
      </c>
      <c r="C9" s="395" t="s">
        <v>42</v>
      </c>
      <c r="D9" s="322">
        <v>0</v>
      </c>
      <c r="E9" s="322">
        <v>1</v>
      </c>
      <c r="F9" s="322">
        <f>E9*D9</f>
        <v>0</v>
      </c>
    </row>
    <row r="10" spans="2:9" x14ac:dyDescent="0.25">
      <c r="B10" s="394" t="s">
        <v>41</v>
      </c>
      <c r="C10" s="395" t="s">
        <v>40</v>
      </c>
      <c r="D10" s="322">
        <v>0</v>
      </c>
      <c r="E10" s="322">
        <v>1</v>
      </c>
      <c r="F10" s="322">
        <f>E10*D10</f>
        <v>0</v>
      </c>
    </row>
    <row r="11" spans="2:9" x14ac:dyDescent="0.25">
      <c r="B11" s="394" t="s">
        <v>39</v>
      </c>
      <c r="C11" s="395" t="s">
        <v>38</v>
      </c>
      <c r="D11" s="322"/>
      <c r="E11" s="322"/>
      <c r="F11" s="322"/>
    </row>
    <row r="12" spans="2:9" x14ac:dyDescent="0.25">
      <c r="B12" s="394" t="s">
        <v>37</v>
      </c>
      <c r="C12" s="395" t="s">
        <v>36</v>
      </c>
      <c r="D12" s="322"/>
      <c r="E12" s="322"/>
      <c r="F12" s="322"/>
    </row>
    <row r="13" spans="2:9" x14ac:dyDescent="0.25">
      <c r="B13" s="394" t="s">
        <v>35</v>
      </c>
      <c r="C13" s="395" t="s">
        <v>34</v>
      </c>
      <c r="D13" s="322"/>
      <c r="E13" s="322"/>
      <c r="F13" s="322"/>
    </row>
    <row r="14" spans="2:9" x14ac:dyDescent="0.25">
      <c r="B14" s="394" t="s">
        <v>33</v>
      </c>
      <c r="C14" s="393" t="s">
        <v>32</v>
      </c>
      <c r="D14" s="322"/>
      <c r="E14" s="322"/>
      <c r="F14" s="323">
        <f>SUM(F8:F13)</f>
        <v>0</v>
      </c>
    </row>
    <row r="15" spans="2:9" x14ac:dyDescent="0.25">
      <c r="B15" s="392" t="s">
        <v>31</v>
      </c>
      <c r="C15" s="396" t="s">
        <v>30</v>
      </c>
      <c r="D15" s="322">
        <f>F14</f>
        <v>0</v>
      </c>
      <c r="E15" s="397">
        <f>'1.1 SALÁRIOS'!$F$33</f>
        <v>0</v>
      </c>
      <c r="F15" s="322">
        <f>E15*D15</f>
        <v>0</v>
      </c>
    </row>
    <row r="16" spans="2:9" x14ac:dyDescent="0.25">
      <c r="B16" s="392" t="s">
        <v>29</v>
      </c>
      <c r="C16" s="396" t="s">
        <v>28</v>
      </c>
      <c r="D16" s="322"/>
      <c r="E16" s="322"/>
      <c r="F16" s="323">
        <f>SUM(F14:F15)</f>
        <v>0</v>
      </c>
    </row>
    <row r="17" spans="2:6" x14ac:dyDescent="0.25">
      <c r="B17" s="392" t="s">
        <v>27</v>
      </c>
      <c r="C17" s="396" t="s">
        <v>26</v>
      </c>
      <c r="D17" s="322"/>
      <c r="E17" s="322"/>
      <c r="F17" s="322"/>
    </row>
    <row r="18" spans="2:6" x14ac:dyDescent="0.25">
      <c r="B18" s="9" t="s">
        <v>25</v>
      </c>
      <c r="C18" s="15" t="s">
        <v>24</v>
      </c>
      <c r="D18" s="11">
        <f>'1.1 SALÁRIOS'!$F$35</f>
        <v>0</v>
      </c>
      <c r="E18" s="11">
        <v>25.25</v>
      </c>
      <c r="F18" s="11">
        <f>IF(2*E18*D18-0.06*D8&lt;0,0,2*E18*D18-0.06*D8)</f>
        <v>0</v>
      </c>
    </row>
    <row r="19" spans="2:6" x14ac:dyDescent="0.25">
      <c r="B19" s="9" t="s">
        <v>23</v>
      </c>
      <c r="C19" s="15" t="s">
        <v>369</v>
      </c>
      <c r="D19" s="11">
        <f>('1.1 SALÁRIOS'!$F$36+'1.1 SALÁRIOS'!$F$37)/12</f>
        <v>0</v>
      </c>
      <c r="E19" s="11">
        <v>1</v>
      </c>
      <c r="F19" s="11">
        <f>E19*D19</f>
        <v>0</v>
      </c>
    </row>
    <row r="20" spans="2:6" x14ac:dyDescent="0.25">
      <c r="B20" s="9" t="s">
        <v>22</v>
      </c>
      <c r="C20" s="15" t="s">
        <v>370</v>
      </c>
      <c r="D20" s="11">
        <f>'1.1 SALÁRIOS'!$F$38</f>
        <v>0</v>
      </c>
      <c r="E20" s="11">
        <f>E18</f>
        <v>25.25</v>
      </c>
      <c r="F20" s="11">
        <f>E20*D20</f>
        <v>0</v>
      </c>
    </row>
    <row r="21" spans="2:6" x14ac:dyDescent="0.25">
      <c r="B21" s="9" t="s">
        <v>21</v>
      </c>
      <c r="C21" s="15" t="s">
        <v>371</v>
      </c>
      <c r="D21" s="11">
        <f>'1.1 SALÁRIOS'!$F$39</f>
        <v>0</v>
      </c>
      <c r="E21" s="11">
        <v>1</v>
      </c>
      <c r="F21" s="11">
        <f>E21*D21</f>
        <v>0</v>
      </c>
    </row>
    <row r="22" spans="2:6" x14ac:dyDescent="0.25">
      <c r="B22" s="9" t="s">
        <v>374</v>
      </c>
      <c r="C22" s="15" t="s">
        <v>372</v>
      </c>
      <c r="D22" s="11">
        <f>'1.1 SALÁRIOS'!$F$40</f>
        <v>0</v>
      </c>
      <c r="E22" s="11">
        <v>1</v>
      </c>
      <c r="F22" s="11">
        <f>E22*D22</f>
        <v>0</v>
      </c>
    </row>
    <row r="23" spans="2:6" x14ac:dyDescent="0.25">
      <c r="B23" s="9" t="s">
        <v>375</v>
      </c>
      <c r="C23" s="15" t="s">
        <v>373</v>
      </c>
      <c r="D23" s="11">
        <f>'1.1 SALÁRIOS'!$F$41</f>
        <v>0</v>
      </c>
      <c r="E23" s="11">
        <v>1</v>
      </c>
      <c r="F23" s="11">
        <f>E23*D23</f>
        <v>0</v>
      </c>
    </row>
    <row r="24" spans="2:6" x14ac:dyDescent="0.25">
      <c r="B24" s="394"/>
      <c r="C24" s="396" t="s">
        <v>20</v>
      </c>
      <c r="D24" s="323"/>
      <c r="E24" s="323"/>
      <c r="F24" s="323">
        <f>SUM(F18:F23)</f>
        <v>0</v>
      </c>
    </row>
    <row r="25" spans="2:6" x14ac:dyDescent="0.25">
      <c r="B25" s="392" t="s">
        <v>19</v>
      </c>
      <c r="C25" s="396" t="s">
        <v>18</v>
      </c>
      <c r="D25" s="322"/>
      <c r="E25" s="322"/>
      <c r="F25" s="322"/>
    </row>
    <row r="26" spans="2:6" x14ac:dyDescent="0.25">
      <c r="B26" s="320" t="s">
        <v>17</v>
      </c>
      <c r="C26" s="398" t="s">
        <v>10</v>
      </c>
      <c r="D26" s="11">
        <f>VLOOKUP(C26,'1.1 CUSTO FERRAME-UNIFORME-EPI'!B:C,2,FALSE)</f>
        <v>0</v>
      </c>
      <c r="E26" s="328">
        <v>0.17</v>
      </c>
      <c r="F26" s="322">
        <f>E26*D26</f>
        <v>0</v>
      </c>
    </row>
    <row r="27" spans="2:6" x14ac:dyDescent="0.25">
      <c r="B27" s="320" t="s">
        <v>15</v>
      </c>
      <c r="C27" s="398" t="s">
        <v>8</v>
      </c>
      <c r="D27" s="11">
        <f>VLOOKUP(C27,'1.1 CUSTO FERRAME-UNIFORME-EPI'!B:C,2,FALSE)</f>
        <v>0</v>
      </c>
      <c r="E27" s="328">
        <v>0.17</v>
      </c>
      <c r="F27" s="322">
        <f>E27*D27</f>
        <v>0</v>
      </c>
    </row>
    <row r="28" spans="2:6" x14ac:dyDescent="0.25">
      <c r="B28" s="394"/>
      <c r="C28" s="396" t="s">
        <v>2</v>
      </c>
      <c r="D28" s="330"/>
      <c r="E28" s="330"/>
      <c r="F28" s="331">
        <f>SUM(F26:F27)</f>
        <v>0</v>
      </c>
    </row>
    <row r="29" spans="2:6" x14ac:dyDescent="0.25">
      <c r="B29" s="394"/>
      <c r="C29" s="399"/>
      <c r="D29" s="335"/>
      <c r="E29" s="335"/>
      <c r="F29" s="336"/>
    </row>
    <row r="30" spans="2:6" x14ac:dyDescent="0.25">
      <c r="B30" s="400" t="s">
        <v>1</v>
      </c>
      <c r="C30" s="401" t="s">
        <v>0</v>
      </c>
      <c r="D30" s="335"/>
      <c r="E30" s="335"/>
      <c r="F30" s="336">
        <f>SUM(F16,F24,F28)</f>
        <v>0</v>
      </c>
    </row>
    <row r="33" spans="2:6" x14ac:dyDescent="0.25">
      <c r="B33" s="313" t="s">
        <v>54</v>
      </c>
      <c r="C33" s="314" t="s">
        <v>53</v>
      </c>
      <c r="D33" s="747" t="s">
        <v>436</v>
      </c>
      <c r="E33" s="748"/>
      <c r="F33" s="749"/>
    </row>
    <row r="34" spans="2:6" x14ac:dyDescent="0.25">
      <c r="B34" s="315"/>
      <c r="C34" s="316"/>
      <c r="D34" s="750"/>
      <c r="E34" s="751"/>
      <c r="F34" s="752"/>
    </row>
    <row r="35" spans="2:6" x14ac:dyDescent="0.25">
      <c r="B35" s="317" t="s">
        <v>52</v>
      </c>
      <c r="C35" s="318" t="s">
        <v>51</v>
      </c>
      <c r="D35" s="402" t="s">
        <v>50</v>
      </c>
      <c r="E35" s="402" t="s">
        <v>49</v>
      </c>
      <c r="F35" s="402" t="s">
        <v>48</v>
      </c>
    </row>
    <row r="36" spans="2:6" x14ac:dyDescent="0.25">
      <c r="B36" s="317" t="s">
        <v>47</v>
      </c>
      <c r="C36" s="318" t="s">
        <v>46</v>
      </c>
      <c r="D36" s="402"/>
      <c r="E36" s="402"/>
      <c r="F36" s="402"/>
    </row>
    <row r="37" spans="2:6" x14ac:dyDescent="0.25">
      <c r="B37" s="320" t="s">
        <v>45</v>
      </c>
      <c r="C37" s="321" t="s">
        <v>44</v>
      </c>
      <c r="D37" s="348">
        <f>'1.1 SALÁRIOS'!F25</f>
        <v>0</v>
      </c>
      <c r="E37" s="348">
        <v>1</v>
      </c>
      <c r="F37" s="348">
        <f t="shared" ref="F37:F42" si="0">E37*D37</f>
        <v>0</v>
      </c>
    </row>
    <row r="38" spans="2:6" x14ac:dyDescent="0.25">
      <c r="B38" s="320" t="s">
        <v>43</v>
      </c>
      <c r="C38" s="321" t="s">
        <v>42</v>
      </c>
      <c r="D38" s="348">
        <v>0</v>
      </c>
      <c r="E38" s="348">
        <v>1</v>
      </c>
      <c r="F38" s="348">
        <f t="shared" si="0"/>
        <v>0</v>
      </c>
    </row>
    <row r="39" spans="2:6" x14ac:dyDescent="0.25">
      <c r="B39" s="320" t="s">
        <v>41</v>
      </c>
      <c r="C39" s="321" t="s">
        <v>40</v>
      </c>
      <c r="D39" s="348">
        <v>0</v>
      </c>
      <c r="E39" s="348">
        <v>1</v>
      </c>
      <c r="F39" s="348">
        <f t="shared" si="0"/>
        <v>0</v>
      </c>
    </row>
    <row r="40" spans="2:6" x14ac:dyDescent="0.25">
      <c r="B40" s="320" t="s">
        <v>39</v>
      </c>
      <c r="C40" s="321" t="s">
        <v>38</v>
      </c>
      <c r="D40" s="348">
        <v>0</v>
      </c>
      <c r="E40" s="348">
        <v>1</v>
      </c>
      <c r="F40" s="348">
        <f t="shared" si="0"/>
        <v>0</v>
      </c>
    </row>
    <row r="41" spans="2:6" x14ac:dyDescent="0.25">
      <c r="B41" s="320" t="s">
        <v>37</v>
      </c>
      <c r="C41" s="321" t="s">
        <v>36</v>
      </c>
      <c r="D41" s="348">
        <v>0</v>
      </c>
      <c r="E41" s="348">
        <v>1</v>
      </c>
      <c r="F41" s="348">
        <f t="shared" si="0"/>
        <v>0</v>
      </c>
    </row>
    <row r="42" spans="2:6" x14ac:dyDescent="0.25">
      <c r="B42" s="320" t="s">
        <v>35</v>
      </c>
      <c r="C42" s="321" t="s">
        <v>34</v>
      </c>
      <c r="D42" s="348">
        <v>0</v>
      </c>
      <c r="E42" s="348">
        <v>1</v>
      </c>
      <c r="F42" s="348">
        <f t="shared" si="0"/>
        <v>0</v>
      </c>
    </row>
    <row r="43" spans="2:6" x14ac:dyDescent="0.25">
      <c r="B43" s="320"/>
      <c r="C43" s="318" t="s">
        <v>32</v>
      </c>
      <c r="D43" s="348"/>
      <c r="E43" s="348"/>
      <c r="F43" s="403">
        <f>SUM(F37:F42)</f>
        <v>0</v>
      </c>
    </row>
    <row r="44" spans="2:6" x14ac:dyDescent="0.25">
      <c r="B44" s="317" t="s">
        <v>31</v>
      </c>
      <c r="C44" s="324" t="s">
        <v>30</v>
      </c>
      <c r="D44" s="348">
        <f>F43</f>
        <v>0</v>
      </c>
      <c r="E44" s="397">
        <f>'1.1 SALÁRIOS'!$F$33</f>
        <v>0</v>
      </c>
      <c r="F44" s="403">
        <f>E44*D44</f>
        <v>0</v>
      </c>
    </row>
    <row r="45" spans="2:6" x14ac:dyDescent="0.25">
      <c r="B45" s="317" t="s">
        <v>29</v>
      </c>
      <c r="C45" s="325" t="s">
        <v>28</v>
      </c>
      <c r="D45" s="348"/>
      <c r="E45" s="348"/>
      <c r="F45" s="403">
        <f>SUM(F43:F44)</f>
        <v>0</v>
      </c>
    </row>
    <row r="46" spans="2:6" x14ac:dyDescent="0.25">
      <c r="B46" s="317" t="s">
        <v>27</v>
      </c>
      <c r="C46" s="325" t="s">
        <v>26</v>
      </c>
      <c r="D46" s="348"/>
      <c r="E46" s="348"/>
      <c r="F46" s="348"/>
    </row>
    <row r="47" spans="2:6" x14ac:dyDescent="0.25">
      <c r="B47" s="9" t="s">
        <v>25</v>
      </c>
      <c r="C47" s="15" t="s">
        <v>24</v>
      </c>
      <c r="D47" s="11">
        <f>'1.1 SALÁRIOS'!$F$35</f>
        <v>0</v>
      </c>
      <c r="E47" s="11">
        <v>25.25</v>
      </c>
      <c r="F47" s="11">
        <f>IF(2*E47*D47-0.06*D37&lt;0,0,2*E47*D47-0.06*D37)</f>
        <v>0</v>
      </c>
    </row>
    <row r="48" spans="2:6" x14ac:dyDescent="0.25">
      <c r="B48" s="9" t="s">
        <v>23</v>
      </c>
      <c r="C48" s="15" t="s">
        <v>369</v>
      </c>
      <c r="D48" s="11">
        <f>('1.1 SALÁRIOS'!$F$36+'1.1 SALÁRIOS'!$F$37)/12</f>
        <v>0</v>
      </c>
      <c r="E48" s="11">
        <v>1</v>
      </c>
      <c r="F48" s="11">
        <f>E48*D48</f>
        <v>0</v>
      </c>
    </row>
    <row r="49" spans="2:6" x14ac:dyDescent="0.25">
      <c r="B49" s="9" t="s">
        <v>22</v>
      </c>
      <c r="C49" s="15" t="s">
        <v>370</v>
      </c>
      <c r="D49" s="11">
        <f>'1.1 SALÁRIOS'!$F$38</f>
        <v>0</v>
      </c>
      <c r="E49" s="11">
        <f>E47</f>
        <v>25.25</v>
      </c>
      <c r="F49" s="11">
        <f>E49*D49</f>
        <v>0</v>
      </c>
    </row>
    <row r="50" spans="2:6" x14ac:dyDescent="0.25">
      <c r="B50" s="9" t="s">
        <v>21</v>
      </c>
      <c r="C50" s="15" t="s">
        <v>371</v>
      </c>
      <c r="D50" s="11">
        <f>'1.1 SALÁRIOS'!$F$39</f>
        <v>0</v>
      </c>
      <c r="E50" s="11">
        <v>1</v>
      </c>
      <c r="F50" s="11">
        <f>E50*D50</f>
        <v>0</v>
      </c>
    </row>
    <row r="51" spans="2:6" x14ac:dyDescent="0.25">
      <c r="B51" s="9" t="s">
        <v>374</v>
      </c>
      <c r="C51" s="15" t="s">
        <v>372</v>
      </c>
      <c r="D51" s="11">
        <f>'1.1 SALÁRIOS'!$F$40</f>
        <v>0</v>
      </c>
      <c r="E51" s="11">
        <v>1</v>
      </c>
      <c r="F51" s="11">
        <f>E51*D51</f>
        <v>0</v>
      </c>
    </row>
    <row r="52" spans="2:6" x14ac:dyDescent="0.25">
      <c r="B52" s="9" t="s">
        <v>375</v>
      </c>
      <c r="C52" s="15" t="s">
        <v>373</v>
      </c>
      <c r="D52" s="11">
        <f>'1.1 SALÁRIOS'!$F$41</f>
        <v>0</v>
      </c>
      <c r="E52" s="11">
        <v>1</v>
      </c>
      <c r="F52" s="11">
        <f>E52*D52</f>
        <v>0</v>
      </c>
    </row>
    <row r="53" spans="2:6" x14ac:dyDescent="0.25">
      <c r="B53" s="320"/>
      <c r="C53" s="325" t="s">
        <v>20</v>
      </c>
      <c r="D53" s="403"/>
      <c r="E53" s="403"/>
      <c r="F53" s="403">
        <f>SUM(F47:F52)</f>
        <v>0</v>
      </c>
    </row>
    <row r="54" spans="2:6" x14ac:dyDescent="0.25">
      <c r="B54" s="317" t="s">
        <v>19</v>
      </c>
      <c r="C54" s="325" t="s">
        <v>18</v>
      </c>
      <c r="D54" s="348"/>
      <c r="E54" s="348"/>
      <c r="F54" s="348"/>
    </row>
    <row r="55" spans="2:6" x14ac:dyDescent="0.25">
      <c r="B55" s="320" t="s">
        <v>17</v>
      </c>
      <c r="C55" s="326" t="s">
        <v>16</v>
      </c>
      <c r="D55" s="11" t="e">
        <f>VLOOKUP(C55,'1.1 CUSTO FERRAME-UNIFORME-EPI'!B:C,2,FALSE)</f>
        <v>#DIV/0!</v>
      </c>
      <c r="E55" s="404">
        <v>0.17</v>
      </c>
      <c r="F55" s="348" t="e">
        <f>E55*D55</f>
        <v>#DIV/0!</v>
      </c>
    </row>
    <row r="56" spans="2:6" x14ac:dyDescent="0.25">
      <c r="B56" s="320" t="s">
        <v>15</v>
      </c>
      <c r="C56" s="326" t="s">
        <v>14</v>
      </c>
      <c r="D56" s="11" t="e">
        <f>VLOOKUP(C56,'1.1 CUSTO FERRAME-UNIFORME-EPI'!B:C,2,FALSE)</f>
        <v>#DIV/0!</v>
      </c>
      <c r="E56" s="404">
        <v>0.33</v>
      </c>
      <c r="F56" s="348" t="e">
        <f>E56*D56</f>
        <v>#DIV/0!</v>
      </c>
    </row>
    <row r="57" spans="2:6" x14ac:dyDescent="0.25">
      <c r="B57" s="320" t="s">
        <v>13</v>
      </c>
      <c r="C57" s="326" t="s">
        <v>12</v>
      </c>
      <c r="D57" s="11" t="e">
        <f>VLOOKUP(C57,'1.1 CUSTO FERRAME-UNIFORME-EPI'!B:C,2,FALSE)</f>
        <v>#DIV/0!</v>
      </c>
      <c r="E57" s="404">
        <v>0.33</v>
      </c>
      <c r="F57" s="348" t="e">
        <f>E57*D57</f>
        <v>#DIV/0!</v>
      </c>
    </row>
    <row r="58" spans="2:6" x14ac:dyDescent="0.25">
      <c r="B58" s="320" t="s">
        <v>11</v>
      </c>
      <c r="C58" s="326" t="s">
        <v>10</v>
      </c>
      <c r="D58" s="11">
        <f>VLOOKUP(C58,'1.1 CUSTO FERRAME-UNIFORME-EPI'!B:C,2,FALSE)</f>
        <v>0</v>
      </c>
      <c r="E58" s="404">
        <v>0.17</v>
      </c>
      <c r="F58" s="348">
        <f>E58*D58</f>
        <v>0</v>
      </c>
    </row>
    <row r="59" spans="2:6" x14ac:dyDescent="0.25">
      <c r="B59" s="320" t="s">
        <v>9</v>
      </c>
      <c r="C59" s="326" t="s">
        <v>8</v>
      </c>
      <c r="D59" s="11">
        <f>VLOOKUP(C59,'1.1 CUSTO FERRAME-UNIFORME-EPI'!B:C,2,FALSE)</f>
        <v>0</v>
      </c>
      <c r="E59" s="404">
        <v>0.17</v>
      </c>
      <c r="F59" s="348">
        <f>E59*D59</f>
        <v>0</v>
      </c>
    </row>
    <row r="60" spans="2:6" x14ac:dyDescent="0.25">
      <c r="B60" s="320"/>
      <c r="C60" s="325" t="s">
        <v>2</v>
      </c>
      <c r="D60" s="405"/>
      <c r="E60" s="405"/>
      <c r="F60" s="406" t="e">
        <f>SUM(F55:F59)</f>
        <v>#DIV/0!</v>
      </c>
    </row>
    <row r="61" spans="2:6" x14ac:dyDescent="0.25">
      <c r="B61" s="320"/>
      <c r="C61" s="332"/>
      <c r="D61" s="405"/>
      <c r="E61" s="405"/>
      <c r="F61" s="406"/>
    </row>
    <row r="62" spans="2:6" x14ac:dyDescent="0.25">
      <c r="B62" s="333" t="s">
        <v>1</v>
      </c>
      <c r="C62" s="334" t="s">
        <v>0</v>
      </c>
      <c r="D62" s="407"/>
      <c r="E62" s="407"/>
      <c r="F62" s="408" t="e">
        <f>SUM(F45,F53,F60)</f>
        <v>#DIV/0!</v>
      </c>
    </row>
    <row r="66" spans="2:6" x14ac:dyDescent="0.25">
      <c r="B66" s="313" t="s">
        <v>54</v>
      </c>
      <c r="C66" s="314" t="s">
        <v>53</v>
      </c>
      <c r="D66" s="747" t="s">
        <v>70</v>
      </c>
      <c r="E66" s="748"/>
      <c r="F66" s="749"/>
    </row>
    <row r="67" spans="2:6" x14ac:dyDescent="0.25">
      <c r="B67" s="315"/>
      <c r="C67" s="316"/>
      <c r="D67" s="750"/>
      <c r="E67" s="751"/>
      <c r="F67" s="752"/>
    </row>
    <row r="68" spans="2:6" x14ac:dyDescent="0.25">
      <c r="B68" s="317" t="s">
        <v>52</v>
      </c>
      <c r="C68" s="318" t="s">
        <v>51</v>
      </c>
      <c r="D68" s="402" t="s">
        <v>50</v>
      </c>
      <c r="E68" s="402" t="s">
        <v>49</v>
      </c>
      <c r="F68" s="402" t="s">
        <v>48</v>
      </c>
    </row>
    <row r="69" spans="2:6" x14ac:dyDescent="0.25">
      <c r="B69" s="317" t="s">
        <v>47</v>
      </c>
      <c r="C69" s="318" t="s">
        <v>46</v>
      </c>
      <c r="D69" s="402"/>
      <c r="E69" s="402"/>
      <c r="F69" s="402"/>
    </row>
    <row r="70" spans="2:6" x14ac:dyDescent="0.25">
      <c r="B70" s="320" t="s">
        <v>45</v>
      </c>
      <c r="C70" s="321" t="s">
        <v>44</v>
      </c>
      <c r="D70" s="348">
        <f>'1.1 SALÁRIOS'!F31</f>
        <v>0</v>
      </c>
      <c r="E70" s="348">
        <v>1</v>
      </c>
      <c r="F70" s="348">
        <f t="shared" ref="F70:F75" si="1">E70*D70</f>
        <v>0</v>
      </c>
    </row>
    <row r="71" spans="2:6" x14ac:dyDescent="0.25">
      <c r="B71" s="320" t="s">
        <v>43</v>
      </c>
      <c r="C71" s="321" t="s">
        <v>42</v>
      </c>
      <c r="D71" s="348">
        <v>0</v>
      </c>
      <c r="E71" s="348">
        <v>1</v>
      </c>
      <c r="F71" s="348">
        <f t="shared" si="1"/>
        <v>0</v>
      </c>
    </row>
    <row r="72" spans="2:6" x14ac:dyDescent="0.25">
      <c r="B72" s="320" t="s">
        <v>41</v>
      </c>
      <c r="C72" s="321" t="s">
        <v>40</v>
      </c>
      <c r="D72" s="348">
        <v>0</v>
      </c>
      <c r="E72" s="348">
        <v>1</v>
      </c>
      <c r="F72" s="348">
        <f t="shared" si="1"/>
        <v>0</v>
      </c>
    </row>
    <row r="73" spans="2:6" x14ac:dyDescent="0.25">
      <c r="B73" s="320" t="s">
        <v>39</v>
      </c>
      <c r="C73" s="321" t="s">
        <v>38</v>
      </c>
      <c r="D73" s="348">
        <v>0</v>
      </c>
      <c r="E73" s="348">
        <v>1</v>
      </c>
      <c r="F73" s="348">
        <f t="shared" si="1"/>
        <v>0</v>
      </c>
    </row>
    <row r="74" spans="2:6" x14ac:dyDescent="0.25">
      <c r="B74" s="320" t="s">
        <v>37</v>
      </c>
      <c r="C74" s="321" t="s">
        <v>36</v>
      </c>
      <c r="D74" s="348">
        <v>0</v>
      </c>
      <c r="E74" s="348">
        <v>1</v>
      </c>
      <c r="F74" s="348">
        <f t="shared" si="1"/>
        <v>0</v>
      </c>
    </row>
    <row r="75" spans="2:6" x14ac:dyDescent="0.25">
      <c r="B75" s="320" t="s">
        <v>35</v>
      </c>
      <c r="C75" s="321" t="s">
        <v>34</v>
      </c>
      <c r="D75" s="348">
        <v>0</v>
      </c>
      <c r="E75" s="348">
        <v>1</v>
      </c>
      <c r="F75" s="348">
        <f t="shared" si="1"/>
        <v>0</v>
      </c>
    </row>
    <row r="76" spans="2:6" x14ac:dyDescent="0.25">
      <c r="B76" s="320"/>
      <c r="C76" s="318" t="s">
        <v>32</v>
      </c>
      <c r="D76" s="348"/>
      <c r="E76" s="348"/>
      <c r="F76" s="403">
        <f>SUM(F70:F75)</f>
        <v>0</v>
      </c>
    </row>
    <row r="77" spans="2:6" x14ac:dyDescent="0.25">
      <c r="B77" s="317" t="s">
        <v>31</v>
      </c>
      <c r="C77" s="324" t="s">
        <v>30</v>
      </c>
      <c r="D77" s="348">
        <f>F76</f>
        <v>0</v>
      </c>
      <c r="E77" s="397">
        <f>'1.1 SALÁRIOS'!$F$33</f>
        <v>0</v>
      </c>
      <c r="F77" s="403">
        <f>E77*D77</f>
        <v>0</v>
      </c>
    </row>
    <row r="78" spans="2:6" x14ac:dyDescent="0.25">
      <c r="B78" s="317" t="s">
        <v>29</v>
      </c>
      <c r="C78" s="325" t="s">
        <v>28</v>
      </c>
      <c r="D78" s="348"/>
      <c r="E78" s="348"/>
      <c r="F78" s="403">
        <f>SUM(F76:F77)</f>
        <v>0</v>
      </c>
    </row>
    <row r="79" spans="2:6" x14ac:dyDescent="0.25">
      <c r="B79" s="317" t="s">
        <v>27</v>
      </c>
      <c r="C79" s="325" t="s">
        <v>26</v>
      </c>
      <c r="D79" s="348"/>
      <c r="E79" s="348"/>
      <c r="F79" s="348"/>
    </row>
    <row r="80" spans="2:6" x14ac:dyDescent="0.25">
      <c r="B80" s="9" t="s">
        <v>25</v>
      </c>
      <c r="C80" s="15" t="s">
        <v>24</v>
      </c>
      <c r="D80" s="11">
        <f>'1.1 SALÁRIOS'!$F$35</f>
        <v>0</v>
      </c>
      <c r="E80" s="11">
        <v>25.25</v>
      </c>
      <c r="F80" s="11">
        <f>IF(2*E80*D80-0.06*D70&lt;0,0,2*E80*D80-0.06*D70)</f>
        <v>0</v>
      </c>
    </row>
    <row r="81" spans="2:9" x14ac:dyDescent="0.25">
      <c r="B81" s="9" t="s">
        <v>23</v>
      </c>
      <c r="C81" s="15" t="s">
        <v>369</v>
      </c>
      <c r="D81" s="11">
        <f>('1.1 SALÁRIOS'!$F$36+'1.1 SALÁRIOS'!$F$37)/12</f>
        <v>0</v>
      </c>
      <c r="E81" s="11">
        <v>1</v>
      </c>
      <c r="F81" s="11">
        <f>E81*D81</f>
        <v>0</v>
      </c>
    </row>
    <row r="82" spans="2:9" x14ac:dyDescent="0.25">
      <c r="B82" s="9" t="s">
        <v>22</v>
      </c>
      <c r="C82" s="15" t="s">
        <v>370</v>
      </c>
      <c r="D82" s="11">
        <f>'1.1 SALÁRIOS'!$F$38</f>
        <v>0</v>
      </c>
      <c r="E82" s="11">
        <f>E80</f>
        <v>25.25</v>
      </c>
      <c r="F82" s="11">
        <f>E82*D82</f>
        <v>0</v>
      </c>
    </row>
    <row r="83" spans="2:9" x14ac:dyDescent="0.25">
      <c r="B83" s="9" t="s">
        <v>21</v>
      </c>
      <c r="C83" s="15" t="s">
        <v>371</v>
      </c>
      <c r="D83" s="11">
        <f>'1.1 SALÁRIOS'!$F$39</f>
        <v>0</v>
      </c>
      <c r="E83" s="11">
        <v>1</v>
      </c>
      <c r="F83" s="11">
        <f>E83*D83</f>
        <v>0</v>
      </c>
    </row>
    <row r="84" spans="2:9" x14ac:dyDescent="0.25">
      <c r="B84" s="9" t="s">
        <v>374</v>
      </c>
      <c r="C84" s="15" t="s">
        <v>372</v>
      </c>
      <c r="D84" s="11">
        <f>'1.1 SALÁRIOS'!$F$40</f>
        <v>0</v>
      </c>
      <c r="E84" s="11">
        <v>1</v>
      </c>
      <c r="F84" s="11">
        <f>E84*D84</f>
        <v>0</v>
      </c>
    </row>
    <row r="85" spans="2:9" x14ac:dyDescent="0.25">
      <c r="B85" s="9" t="s">
        <v>375</v>
      </c>
      <c r="C85" s="15" t="s">
        <v>373</v>
      </c>
      <c r="D85" s="11">
        <f>'1.1 SALÁRIOS'!$F$41</f>
        <v>0</v>
      </c>
      <c r="E85" s="11">
        <v>1</v>
      </c>
      <c r="F85" s="11">
        <f>E85*D85</f>
        <v>0</v>
      </c>
    </row>
    <row r="86" spans="2:9" x14ac:dyDescent="0.25">
      <c r="B86" s="320"/>
      <c r="C86" s="325" t="s">
        <v>20</v>
      </c>
      <c r="D86" s="403"/>
      <c r="E86" s="403"/>
      <c r="F86" s="403">
        <f>SUM(F80:F85)</f>
        <v>0</v>
      </c>
    </row>
    <row r="87" spans="2:9" x14ac:dyDescent="0.25">
      <c r="B87" s="317" t="s">
        <v>19</v>
      </c>
      <c r="C87" s="325" t="s">
        <v>18</v>
      </c>
      <c r="D87" s="348"/>
      <c r="E87" s="348"/>
      <c r="F87" s="348"/>
    </row>
    <row r="88" spans="2:9" x14ac:dyDescent="0.25">
      <c r="B88" s="320" t="s">
        <v>17</v>
      </c>
      <c r="C88" s="326" t="s">
        <v>16</v>
      </c>
      <c r="D88" s="11" t="e">
        <f>VLOOKUP(C88,'1.1 CUSTO FERRAME-UNIFORME-EPI'!B:C,2,FALSE)</f>
        <v>#DIV/0!</v>
      </c>
      <c r="E88" s="404">
        <v>0.17</v>
      </c>
      <c r="F88" s="348" t="e">
        <f>E88*D88</f>
        <v>#DIV/0!</v>
      </c>
    </row>
    <row r="89" spans="2:9" x14ac:dyDescent="0.25">
      <c r="B89" s="320" t="s">
        <v>15</v>
      </c>
      <c r="C89" s="326" t="s">
        <v>14</v>
      </c>
      <c r="D89" s="11" t="e">
        <f>VLOOKUP(C89,'1.1 CUSTO FERRAME-UNIFORME-EPI'!B:C,2,FALSE)</f>
        <v>#DIV/0!</v>
      </c>
      <c r="E89" s="404">
        <v>0.33</v>
      </c>
      <c r="F89" s="348" t="e">
        <f>E89*D89</f>
        <v>#DIV/0!</v>
      </c>
    </row>
    <row r="90" spans="2:9" x14ac:dyDescent="0.25">
      <c r="B90" s="320" t="s">
        <v>13</v>
      </c>
      <c r="C90" s="326" t="s">
        <v>12</v>
      </c>
      <c r="D90" s="11" t="e">
        <f>VLOOKUP(C90,'1.1 CUSTO FERRAME-UNIFORME-EPI'!B:C,2,FALSE)</f>
        <v>#DIV/0!</v>
      </c>
      <c r="E90" s="404">
        <v>0.33</v>
      </c>
      <c r="F90" s="348" t="e">
        <f>E90*D90</f>
        <v>#DIV/0!</v>
      </c>
    </row>
    <row r="91" spans="2:9" x14ac:dyDescent="0.25">
      <c r="B91" s="320" t="s">
        <v>11</v>
      </c>
      <c r="C91" s="326" t="s">
        <v>10</v>
      </c>
      <c r="D91" s="11">
        <f>VLOOKUP(C91,'1.1 CUSTO FERRAME-UNIFORME-EPI'!B:C,2,FALSE)</f>
        <v>0</v>
      </c>
      <c r="E91" s="404">
        <v>0.17</v>
      </c>
      <c r="F91" s="348">
        <f>E91*D91</f>
        <v>0</v>
      </c>
    </row>
    <row r="92" spans="2:9" x14ac:dyDescent="0.25">
      <c r="B92" s="320" t="s">
        <v>9</v>
      </c>
      <c r="C92" s="326" t="s">
        <v>8</v>
      </c>
      <c r="D92" s="11">
        <f>VLOOKUP(C92,'1.1 CUSTO FERRAME-UNIFORME-EPI'!B:C,2,FALSE)</f>
        <v>0</v>
      </c>
      <c r="E92" s="404">
        <v>0.17</v>
      </c>
      <c r="F92" s="348">
        <f>E92*D92</f>
        <v>0</v>
      </c>
    </row>
    <row r="93" spans="2:9" x14ac:dyDescent="0.25">
      <c r="B93" s="320"/>
      <c r="C93" s="325" t="s">
        <v>2</v>
      </c>
      <c r="D93" s="405"/>
      <c r="E93" s="405"/>
      <c r="F93" s="406" t="e">
        <f>SUM(F88:F92)</f>
        <v>#DIV/0!</v>
      </c>
    </row>
    <row r="94" spans="2:9" x14ac:dyDescent="0.25">
      <c r="B94" s="320"/>
      <c r="C94" s="332"/>
      <c r="D94" s="405"/>
      <c r="E94" s="405"/>
      <c r="F94" s="406"/>
    </row>
    <row r="95" spans="2:9" x14ac:dyDescent="0.25">
      <c r="B95" s="333" t="s">
        <v>1</v>
      </c>
      <c r="C95" s="334" t="s">
        <v>0</v>
      </c>
      <c r="D95" s="407"/>
      <c r="E95" s="407"/>
      <c r="F95" s="408" t="e">
        <f>SUM(F78,F86,F93)</f>
        <v>#DIV/0!</v>
      </c>
    </row>
    <row r="96" spans="2:9" x14ac:dyDescent="0.25">
      <c r="B96" s="434"/>
      <c r="C96" s="433"/>
      <c r="F96" s="432"/>
      <c r="I96" s="432"/>
    </row>
    <row r="98" spans="2:6" x14ac:dyDescent="0.25">
      <c r="B98" s="313" t="s">
        <v>54</v>
      </c>
      <c r="C98" s="313" t="s">
        <v>53</v>
      </c>
      <c r="D98" s="714" t="s">
        <v>71</v>
      </c>
      <c r="E98" s="714"/>
      <c r="F98" s="714"/>
    </row>
    <row r="99" spans="2:6" x14ac:dyDescent="0.25">
      <c r="B99" s="315"/>
      <c r="C99" s="315"/>
      <c r="D99" s="713"/>
      <c r="E99" s="713"/>
      <c r="F99" s="713"/>
    </row>
    <row r="100" spans="2:6" x14ac:dyDescent="0.25">
      <c r="B100" s="317" t="s">
        <v>52</v>
      </c>
      <c r="C100" s="337" t="s">
        <v>51</v>
      </c>
      <c r="D100" s="319" t="s">
        <v>50</v>
      </c>
      <c r="E100" s="319" t="s">
        <v>49</v>
      </c>
      <c r="F100" s="319" t="s">
        <v>48</v>
      </c>
    </row>
    <row r="101" spans="2:6" x14ac:dyDescent="0.25">
      <c r="B101" s="317" t="s">
        <v>47</v>
      </c>
      <c r="C101" s="337" t="s">
        <v>46</v>
      </c>
      <c r="D101" s="319"/>
      <c r="E101" s="319"/>
      <c r="F101" s="319"/>
    </row>
    <row r="102" spans="2:6" x14ac:dyDescent="0.25">
      <c r="B102" s="320" t="s">
        <v>45</v>
      </c>
      <c r="C102" s="338" t="s">
        <v>44</v>
      </c>
      <c r="D102" s="339">
        <f>'1.1 SALÁRIOS'!F32</f>
        <v>0</v>
      </c>
      <c r="E102" s="322">
        <v>1</v>
      </c>
      <c r="F102" s="322">
        <f>E102*D102</f>
        <v>0</v>
      </c>
    </row>
    <row r="103" spans="2:6" x14ac:dyDescent="0.25">
      <c r="B103" s="320" t="s">
        <v>43</v>
      </c>
      <c r="C103" s="338" t="s">
        <v>42</v>
      </c>
      <c r="D103" s="322"/>
      <c r="E103" s="34"/>
      <c r="F103" s="11"/>
    </row>
    <row r="104" spans="2:6" x14ac:dyDescent="0.25">
      <c r="B104" s="320" t="s">
        <v>41</v>
      </c>
      <c r="C104" s="338" t="s">
        <v>56</v>
      </c>
      <c r="D104" s="322"/>
      <c r="E104" s="322"/>
      <c r="F104" s="322"/>
    </row>
    <row r="105" spans="2:6" x14ac:dyDescent="0.25">
      <c r="B105" s="320" t="s">
        <v>39</v>
      </c>
      <c r="C105" s="338" t="s">
        <v>38</v>
      </c>
      <c r="D105" s="322"/>
      <c r="E105" s="322"/>
      <c r="F105" s="322"/>
    </row>
    <row r="106" spans="2:6" x14ac:dyDescent="0.25">
      <c r="B106" s="320" t="s">
        <v>37</v>
      </c>
      <c r="C106" s="338" t="s">
        <v>36</v>
      </c>
      <c r="D106" s="322"/>
      <c r="E106" s="322"/>
      <c r="F106" s="322"/>
    </row>
    <row r="107" spans="2:6" x14ac:dyDescent="0.25">
      <c r="B107" s="320" t="s">
        <v>35</v>
      </c>
      <c r="C107" s="338" t="s">
        <v>34</v>
      </c>
      <c r="D107" s="322"/>
      <c r="E107" s="322"/>
      <c r="F107" s="322"/>
    </row>
    <row r="108" spans="2:6" x14ac:dyDescent="0.25">
      <c r="B108" s="320" t="s">
        <v>33</v>
      </c>
      <c r="C108" s="337" t="s">
        <v>32</v>
      </c>
      <c r="D108" s="322"/>
      <c r="E108" s="322"/>
      <c r="F108" s="323">
        <f>SUM(F102:F107)</f>
        <v>0</v>
      </c>
    </row>
    <row r="109" spans="2:6" x14ac:dyDescent="0.25">
      <c r="B109" s="317" t="s">
        <v>31</v>
      </c>
      <c r="C109" s="324" t="s">
        <v>30</v>
      </c>
      <c r="D109" s="322">
        <f>F108</f>
        <v>0</v>
      </c>
      <c r="E109" s="397">
        <f>'1.1 SALÁRIOS'!$F$33</f>
        <v>0</v>
      </c>
      <c r="F109" s="323">
        <f>E109*D109</f>
        <v>0</v>
      </c>
    </row>
    <row r="110" spans="2:6" x14ac:dyDescent="0.25">
      <c r="B110" s="317" t="s">
        <v>29</v>
      </c>
      <c r="C110" s="324" t="s">
        <v>28</v>
      </c>
      <c r="D110" s="322"/>
      <c r="E110" s="322"/>
      <c r="F110" s="323">
        <f>SUM(F108:F109)</f>
        <v>0</v>
      </c>
    </row>
    <row r="111" spans="2:6" x14ac:dyDescent="0.25">
      <c r="B111" s="317" t="s">
        <v>27</v>
      </c>
      <c r="C111" s="324" t="s">
        <v>26</v>
      </c>
      <c r="D111" s="322"/>
      <c r="E111" s="322"/>
      <c r="F111" s="322"/>
    </row>
    <row r="112" spans="2:6" x14ac:dyDescent="0.25">
      <c r="B112" s="9" t="s">
        <v>25</v>
      </c>
      <c r="C112" s="15" t="s">
        <v>24</v>
      </c>
      <c r="D112" s="11">
        <f>'1.1 SALÁRIOS'!$F$35</f>
        <v>0</v>
      </c>
      <c r="E112" s="11">
        <v>25.25</v>
      </c>
      <c r="F112" s="11">
        <f>IF(2*E112*D112-0.06*D102&lt;0,0,2*E112*D112-0.06*D102)</f>
        <v>0</v>
      </c>
    </row>
    <row r="113" spans="2:6" x14ac:dyDescent="0.25">
      <c r="B113" s="9" t="s">
        <v>23</v>
      </c>
      <c r="C113" s="15" t="s">
        <v>369</v>
      </c>
      <c r="D113" s="11">
        <f>('1.1 SALÁRIOS'!$F$36+'1.1 SALÁRIOS'!$F$37)/12</f>
        <v>0</v>
      </c>
      <c r="E113" s="11">
        <v>1</v>
      </c>
      <c r="F113" s="11">
        <f>E113*D113</f>
        <v>0</v>
      </c>
    </row>
    <row r="114" spans="2:6" x14ac:dyDescent="0.25">
      <c r="B114" s="9" t="s">
        <v>22</v>
      </c>
      <c r="C114" s="15" t="s">
        <v>370</v>
      </c>
      <c r="D114" s="11">
        <f>'1.1 SALÁRIOS'!$F$38</f>
        <v>0</v>
      </c>
      <c r="E114" s="11">
        <f>E112</f>
        <v>25.25</v>
      </c>
      <c r="F114" s="11">
        <f>E114*D114</f>
        <v>0</v>
      </c>
    </row>
    <row r="115" spans="2:6" x14ac:dyDescent="0.25">
      <c r="B115" s="9" t="s">
        <v>21</v>
      </c>
      <c r="C115" s="15" t="s">
        <v>371</v>
      </c>
      <c r="D115" s="11">
        <f>'1.1 SALÁRIOS'!$F$39</f>
        <v>0</v>
      </c>
      <c r="E115" s="11">
        <v>1</v>
      </c>
      <c r="F115" s="11">
        <f>E115*D115</f>
        <v>0</v>
      </c>
    </row>
    <row r="116" spans="2:6" x14ac:dyDescent="0.25">
      <c r="B116" s="9" t="s">
        <v>374</v>
      </c>
      <c r="C116" s="15" t="s">
        <v>372</v>
      </c>
      <c r="D116" s="11">
        <f>'1.1 SALÁRIOS'!$F$40</f>
        <v>0</v>
      </c>
      <c r="E116" s="11">
        <v>1</v>
      </c>
      <c r="F116" s="11">
        <f>E116*D116</f>
        <v>0</v>
      </c>
    </row>
    <row r="117" spans="2:6" x14ac:dyDescent="0.25">
      <c r="B117" s="9" t="s">
        <v>375</v>
      </c>
      <c r="C117" s="15" t="s">
        <v>373</v>
      </c>
      <c r="D117" s="11">
        <f>'1.1 SALÁRIOS'!$F$41</f>
        <v>0</v>
      </c>
      <c r="E117" s="11">
        <v>1</v>
      </c>
      <c r="F117" s="11">
        <f>E117*D117</f>
        <v>0</v>
      </c>
    </row>
    <row r="118" spans="2:6" x14ac:dyDescent="0.25">
      <c r="B118" s="320" t="s">
        <v>57</v>
      </c>
      <c r="C118" s="324" t="s">
        <v>20</v>
      </c>
      <c r="D118" s="323"/>
      <c r="E118" s="323"/>
      <c r="F118" s="323">
        <f>SUM(F112:F117)</f>
        <v>0</v>
      </c>
    </row>
    <row r="119" spans="2:6" x14ac:dyDescent="0.25">
      <c r="B119" s="317" t="s">
        <v>19</v>
      </c>
      <c r="C119" s="324" t="s">
        <v>18</v>
      </c>
      <c r="D119" s="322"/>
      <c r="E119" s="322"/>
      <c r="F119" s="322"/>
    </row>
    <row r="120" spans="2:6" x14ac:dyDescent="0.25">
      <c r="B120" s="320" t="s">
        <v>17</v>
      </c>
      <c r="C120" s="340" t="s">
        <v>16</v>
      </c>
      <c r="D120" s="11" t="e">
        <f>VLOOKUP(C120,'1.1 CUSTO FERRAME-UNIFORME-EPI'!B:C,2,FALSE)</f>
        <v>#DIV/0!</v>
      </c>
      <c r="E120" s="328">
        <v>0.17</v>
      </c>
      <c r="F120" s="322" t="e">
        <f t="shared" ref="F120:F125" si="2">E120*D120</f>
        <v>#DIV/0!</v>
      </c>
    </row>
    <row r="121" spans="2:6" x14ac:dyDescent="0.25">
      <c r="B121" s="320" t="s">
        <v>15</v>
      </c>
      <c r="C121" s="340" t="s">
        <v>14</v>
      </c>
      <c r="D121" s="11" t="e">
        <f>VLOOKUP(C121,'1.1 CUSTO FERRAME-UNIFORME-EPI'!B:C,2,FALSE)</f>
        <v>#DIV/0!</v>
      </c>
      <c r="E121" s="328">
        <v>0.33</v>
      </c>
      <c r="F121" s="322" t="e">
        <f t="shared" si="2"/>
        <v>#DIV/0!</v>
      </c>
    </row>
    <row r="122" spans="2:6" x14ac:dyDescent="0.25">
      <c r="B122" s="320" t="s">
        <v>13</v>
      </c>
      <c r="C122" s="340" t="s">
        <v>12</v>
      </c>
      <c r="D122" s="11" t="e">
        <f>VLOOKUP(C122,'1.1 CUSTO FERRAME-UNIFORME-EPI'!B:C,2,FALSE)</f>
        <v>#DIV/0!</v>
      </c>
      <c r="E122" s="328">
        <v>0.33</v>
      </c>
      <c r="F122" s="322" t="e">
        <f t="shared" si="2"/>
        <v>#DIV/0!</v>
      </c>
    </row>
    <row r="123" spans="2:6" x14ac:dyDescent="0.25">
      <c r="B123" s="320" t="s">
        <v>11</v>
      </c>
      <c r="C123" s="340" t="s">
        <v>10</v>
      </c>
      <c r="D123" s="11">
        <f>VLOOKUP(C123,'1.1 CUSTO FERRAME-UNIFORME-EPI'!B:C,2,FALSE)</f>
        <v>0</v>
      </c>
      <c r="E123" s="328">
        <v>0.17</v>
      </c>
      <c r="F123" s="322">
        <f t="shared" si="2"/>
        <v>0</v>
      </c>
    </row>
    <row r="124" spans="2:6" x14ac:dyDescent="0.25">
      <c r="B124" s="320" t="s">
        <v>9</v>
      </c>
      <c r="C124" s="340" t="s">
        <v>8</v>
      </c>
      <c r="D124" s="11">
        <f>VLOOKUP(C124,'1.1 CUSTO FERRAME-UNIFORME-EPI'!B:C,2,FALSE)</f>
        <v>0</v>
      </c>
      <c r="E124" s="328">
        <v>0.17</v>
      </c>
      <c r="F124" s="322">
        <f t="shared" si="2"/>
        <v>0</v>
      </c>
    </row>
    <row r="125" spans="2:6" x14ac:dyDescent="0.25">
      <c r="B125" s="320" t="s">
        <v>3</v>
      </c>
      <c r="C125" s="326" t="s">
        <v>202</v>
      </c>
      <c r="D125" s="11" t="e">
        <f>VLOOKUP(C125,'1.1 CUSTO FERRAME-UNIFORME-EPI'!B:C,2,FALSE)</f>
        <v>#DIV/0!</v>
      </c>
      <c r="E125" s="329">
        <v>0.08</v>
      </c>
      <c r="F125" s="322" t="e">
        <f t="shared" si="2"/>
        <v>#DIV/0!</v>
      </c>
    </row>
    <row r="126" spans="2:6" x14ac:dyDescent="0.25">
      <c r="B126" s="320"/>
      <c r="C126" s="341" t="s">
        <v>2</v>
      </c>
      <c r="D126" s="330"/>
      <c r="E126" s="330"/>
      <c r="F126" s="331" t="e">
        <f>SUM(F120:F125)</f>
        <v>#DIV/0!</v>
      </c>
    </row>
    <row r="127" spans="2:6" x14ac:dyDescent="0.25">
      <c r="B127" s="342"/>
      <c r="C127" s="343"/>
      <c r="D127" s="344"/>
      <c r="E127" s="344"/>
      <c r="F127" s="345"/>
    </row>
    <row r="128" spans="2:6" x14ac:dyDescent="0.25">
      <c r="B128" s="333" t="s">
        <v>1</v>
      </c>
      <c r="C128" s="346" t="s">
        <v>0</v>
      </c>
      <c r="D128" s="335"/>
      <c r="E128" s="335"/>
      <c r="F128" s="336" t="e">
        <f>SUM(F126,F118,F110)</f>
        <v>#DIV/0!</v>
      </c>
    </row>
    <row r="131" spans="2:6" x14ac:dyDescent="0.25">
      <c r="B131" s="313" t="s">
        <v>54</v>
      </c>
      <c r="C131" s="313" t="s">
        <v>53</v>
      </c>
      <c r="D131" s="708" t="s">
        <v>73</v>
      </c>
      <c r="E131" s="708"/>
      <c r="F131" s="708"/>
    </row>
    <row r="132" spans="2:6" x14ac:dyDescent="0.25">
      <c r="B132" s="315"/>
      <c r="C132" s="315"/>
      <c r="D132" s="713"/>
      <c r="E132" s="713"/>
      <c r="F132" s="713"/>
    </row>
    <row r="133" spans="2:6" x14ac:dyDescent="0.25">
      <c r="B133" s="317" t="s">
        <v>52</v>
      </c>
      <c r="C133" s="337" t="s">
        <v>51</v>
      </c>
      <c r="D133" s="319" t="s">
        <v>50</v>
      </c>
      <c r="E133" s="319" t="s">
        <v>49</v>
      </c>
      <c r="F133" s="319" t="s">
        <v>48</v>
      </c>
    </row>
    <row r="134" spans="2:6" x14ac:dyDescent="0.25">
      <c r="B134" s="317" t="s">
        <v>47</v>
      </c>
      <c r="C134" s="337" t="s">
        <v>46</v>
      </c>
      <c r="D134" s="319"/>
      <c r="E134" s="319"/>
      <c r="F134" s="319"/>
    </row>
    <row r="135" spans="2:6" x14ac:dyDescent="0.25">
      <c r="B135" s="320" t="s">
        <v>45</v>
      </c>
      <c r="C135" s="338" t="s">
        <v>44</v>
      </c>
      <c r="D135" s="339">
        <f>'1.1 SALÁRIOS'!$F$22</f>
        <v>0</v>
      </c>
      <c r="E135" s="322">
        <v>1</v>
      </c>
      <c r="F135" s="322">
        <f>E135*D135</f>
        <v>0</v>
      </c>
    </row>
    <row r="136" spans="2:6" x14ac:dyDescent="0.25">
      <c r="B136" s="320" t="s">
        <v>43</v>
      </c>
      <c r="C136" s="338" t="s">
        <v>42</v>
      </c>
      <c r="D136" s="322">
        <f>'1.1 SALÁRIOS'!F24</f>
        <v>0</v>
      </c>
      <c r="E136" s="387">
        <v>0.2</v>
      </c>
      <c r="F136" s="322">
        <f>E136*D136</f>
        <v>0</v>
      </c>
    </row>
    <row r="137" spans="2:6" x14ac:dyDescent="0.25">
      <c r="B137" s="320" t="s">
        <v>41</v>
      </c>
      <c r="C137" s="338" t="s">
        <v>56</v>
      </c>
      <c r="D137" s="322"/>
      <c r="E137" s="322"/>
      <c r="F137" s="322"/>
    </row>
    <row r="138" spans="2:6" x14ac:dyDescent="0.25">
      <c r="B138" s="320" t="s">
        <v>39</v>
      </c>
      <c r="C138" s="338" t="s">
        <v>38</v>
      </c>
      <c r="D138" s="322"/>
      <c r="E138" s="322"/>
      <c r="F138" s="322"/>
    </row>
    <row r="139" spans="2:6" x14ac:dyDescent="0.25">
      <c r="B139" s="320" t="s">
        <v>37</v>
      </c>
      <c r="C139" s="338" t="s">
        <v>36</v>
      </c>
      <c r="D139" s="322"/>
      <c r="E139" s="322"/>
      <c r="F139" s="322"/>
    </row>
    <row r="140" spans="2:6" x14ac:dyDescent="0.25">
      <c r="B140" s="320" t="s">
        <v>35</v>
      </c>
      <c r="C140" s="338" t="s">
        <v>34</v>
      </c>
      <c r="D140" s="322"/>
      <c r="E140" s="322"/>
      <c r="F140" s="322"/>
    </row>
    <row r="141" spans="2:6" x14ac:dyDescent="0.25">
      <c r="B141" s="320"/>
      <c r="C141" s="337" t="s">
        <v>32</v>
      </c>
      <c r="D141" s="322"/>
      <c r="E141" s="322"/>
      <c r="F141" s="323">
        <f>SUM(F135:F140)</f>
        <v>0</v>
      </c>
    </row>
    <row r="142" spans="2:6" x14ac:dyDescent="0.25">
      <c r="B142" s="317" t="s">
        <v>31</v>
      </c>
      <c r="C142" s="347" t="s">
        <v>30</v>
      </c>
      <c r="D142" s="348">
        <f>F141</f>
        <v>0</v>
      </c>
      <c r="E142" s="397">
        <f>'1.1 SALÁRIOS'!$F$33</f>
        <v>0</v>
      </c>
      <c r="F142" s="322">
        <f>E142*D142</f>
        <v>0</v>
      </c>
    </row>
    <row r="143" spans="2:6" x14ac:dyDescent="0.25">
      <c r="B143" s="317" t="s">
        <v>29</v>
      </c>
      <c r="C143" s="324" t="s">
        <v>28</v>
      </c>
      <c r="D143" s="322"/>
      <c r="E143" s="322"/>
      <c r="F143" s="323">
        <f>SUM(F141:F142)</f>
        <v>0</v>
      </c>
    </row>
    <row r="144" spans="2:6" x14ac:dyDescent="0.25">
      <c r="B144" s="317" t="s">
        <v>27</v>
      </c>
      <c r="C144" s="324" t="s">
        <v>26</v>
      </c>
      <c r="D144" s="322"/>
      <c r="E144" s="322"/>
      <c r="F144" s="322"/>
    </row>
    <row r="145" spans="2:6" x14ac:dyDescent="0.25">
      <c r="B145" s="9" t="s">
        <v>25</v>
      </c>
      <c r="C145" s="15" t="s">
        <v>24</v>
      </c>
      <c r="D145" s="11">
        <f>'1.1 SALÁRIOS'!$F$35</f>
        <v>0</v>
      </c>
      <c r="E145" s="11">
        <v>25.25</v>
      </c>
      <c r="F145" s="11">
        <f>IF(2*E145*D145-0.06*D135&lt;0,0,2*E145*D145-0.06*D135)</f>
        <v>0</v>
      </c>
    </row>
    <row r="146" spans="2:6" x14ac:dyDescent="0.25">
      <c r="B146" s="9" t="s">
        <v>23</v>
      </c>
      <c r="C146" s="15" t="s">
        <v>369</v>
      </c>
      <c r="D146" s="11">
        <f>('1.1 SALÁRIOS'!$F$36+'1.1 SALÁRIOS'!$F$37)/12</f>
        <v>0</v>
      </c>
      <c r="E146" s="11">
        <v>1</v>
      </c>
      <c r="F146" s="11">
        <f>E146*D146</f>
        <v>0</v>
      </c>
    </row>
    <row r="147" spans="2:6" x14ac:dyDescent="0.25">
      <c r="B147" s="9" t="s">
        <v>22</v>
      </c>
      <c r="C147" s="15" t="s">
        <v>370</v>
      </c>
      <c r="D147" s="11">
        <f>'1.1 SALÁRIOS'!$F$38</f>
        <v>0</v>
      </c>
      <c r="E147" s="11">
        <f>E145</f>
        <v>25.25</v>
      </c>
      <c r="F147" s="11">
        <f>E147*D147</f>
        <v>0</v>
      </c>
    </row>
    <row r="148" spans="2:6" x14ac:dyDescent="0.25">
      <c r="B148" s="9" t="s">
        <v>21</v>
      </c>
      <c r="C148" s="15" t="s">
        <v>371</v>
      </c>
      <c r="D148" s="11">
        <f>'1.1 SALÁRIOS'!$F$39</f>
        <v>0</v>
      </c>
      <c r="E148" s="11">
        <v>1</v>
      </c>
      <c r="F148" s="11">
        <f>E148*D148</f>
        <v>0</v>
      </c>
    </row>
    <row r="149" spans="2:6" x14ac:dyDescent="0.25">
      <c r="B149" s="9" t="s">
        <v>374</v>
      </c>
      <c r="C149" s="15" t="s">
        <v>372</v>
      </c>
      <c r="D149" s="11">
        <f>'1.1 SALÁRIOS'!$F$40</f>
        <v>0</v>
      </c>
      <c r="E149" s="11">
        <v>1</v>
      </c>
      <c r="F149" s="11">
        <f>E149*D149</f>
        <v>0</v>
      </c>
    </row>
    <row r="150" spans="2:6" x14ac:dyDescent="0.25">
      <c r="B150" s="9" t="s">
        <v>375</v>
      </c>
      <c r="C150" s="15" t="s">
        <v>373</v>
      </c>
      <c r="D150" s="11">
        <f>'1.1 SALÁRIOS'!$F$41</f>
        <v>0</v>
      </c>
      <c r="E150" s="11">
        <v>1</v>
      </c>
      <c r="F150" s="11">
        <f>E150*D150</f>
        <v>0</v>
      </c>
    </row>
    <row r="151" spans="2:6" x14ac:dyDescent="0.25">
      <c r="B151" s="320"/>
      <c r="C151" s="324" t="s">
        <v>20</v>
      </c>
      <c r="D151" s="323"/>
      <c r="E151" s="323"/>
      <c r="F151" s="323">
        <f>SUM(F145:F150)</f>
        <v>0</v>
      </c>
    </row>
    <row r="152" spans="2:6" x14ac:dyDescent="0.25">
      <c r="B152" s="317" t="s">
        <v>19</v>
      </c>
      <c r="C152" s="324" t="s">
        <v>18</v>
      </c>
      <c r="D152" s="322"/>
      <c r="E152" s="322"/>
      <c r="F152" s="322"/>
    </row>
    <row r="153" spans="2:6" x14ac:dyDescent="0.25">
      <c r="B153" s="320" t="s">
        <v>17</v>
      </c>
      <c r="C153" s="340" t="s">
        <v>16</v>
      </c>
      <c r="D153" s="11" t="e">
        <f>VLOOKUP(C153,'1.1 CUSTO FERRAME-UNIFORME-EPI'!B:C,2,FALSE)</f>
        <v>#DIV/0!</v>
      </c>
      <c r="E153" s="328">
        <v>0.25</v>
      </c>
      <c r="F153" s="322" t="e">
        <f t="shared" ref="F153:F158" si="3">E153*D153</f>
        <v>#DIV/0!</v>
      </c>
    </row>
    <row r="154" spans="2:6" x14ac:dyDescent="0.25">
      <c r="B154" s="320" t="s">
        <v>15</v>
      </c>
      <c r="C154" s="340" t="s">
        <v>210</v>
      </c>
      <c r="D154" s="11">
        <f>VLOOKUP(C154,'1.1 CUSTO FERRAME-UNIFORME-EPI'!B:C,2,FALSE)</f>
        <v>0</v>
      </c>
      <c r="E154" s="328">
        <v>0.5</v>
      </c>
      <c r="F154" s="322">
        <f t="shared" si="3"/>
        <v>0</v>
      </c>
    </row>
    <row r="155" spans="2:6" x14ac:dyDescent="0.25">
      <c r="B155" s="320" t="s">
        <v>13</v>
      </c>
      <c r="C155" s="340" t="s">
        <v>209</v>
      </c>
      <c r="D155" s="11">
        <f>VLOOKUP(C155,'1.1 CUSTO FERRAME-UNIFORME-EPI'!B:C,2,FALSE)</f>
        <v>0</v>
      </c>
      <c r="E155" s="328">
        <v>0.5</v>
      </c>
      <c r="F155" s="322">
        <f t="shared" si="3"/>
        <v>0</v>
      </c>
    </row>
    <row r="156" spans="2:6" x14ac:dyDescent="0.25">
      <c r="B156" s="320" t="s">
        <v>11</v>
      </c>
      <c r="C156" s="340" t="s">
        <v>205</v>
      </c>
      <c r="D156" s="11">
        <f>VLOOKUP(C156,'1.1 CUSTO FERRAME-UNIFORME-EPI'!B:C,2,FALSE)</f>
        <v>0</v>
      </c>
      <c r="E156" s="328">
        <v>0.25</v>
      </c>
      <c r="F156" s="322">
        <f t="shared" si="3"/>
        <v>0</v>
      </c>
    </row>
    <row r="157" spans="2:6" x14ac:dyDescent="0.25">
      <c r="B157" s="320" t="s">
        <v>9</v>
      </c>
      <c r="C157" s="340" t="s">
        <v>8</v>
      </c>
      <c r="D157" s="11">
        <f>VLOOKUP(C157,'1.1 CUSTO FERRAME-UNIFORME-EPI'!B:C,2,FALSE)</f>
        <v>0</v>
      </c>
      <c r="E157" s="328">
        <v>0.17</v>
      </c>
      <c r="F157" s="322">
        <f t="shared" si="3"/>
        <v>0</v>
      </c>
    </row>
    <row r="158" spans="2:6" x14ac:dyDescent="0.25">
      <c r="B158" s="320" t="s">
        <v>7</v>
      </c>
      <c r="C158" s="326" t="s">
        <v>202</v>
      </c>
      <c r="D158" s="11" t="e">
        <f>VLOOKUP(C158,'1.1 CUSTO FERRAME-UNIFORME-EPI'!B:C,2,FALSE)</f>
        <v>#DIV/0!</v>
      </c>
      <c r="E158" s="329">
        <v>0.08</v>
      </c>
      <c r="F158" s="322" t="e">
        <f t="shared" si="3"/>
        <v>#DIV/0!</v>
      </c>
    </row>
    <row r="159" spans="2:6" x14ac:dyDescent="0.25">
      <c r="B159" s="320"/>
      <c r="C159" s="341" t="s">
        <v>2</v>
      </c>
      <c r="D159" s="330"/>
      <c r="E159" s="330"/>
      <c r="F159" s="331" t="e">
        <f>SUM(F153:F158)</f>
        <v>#DIV/0!</v>
      </c>
    </row>
    <row r="160" spans="2:6" x14ac:dyDescent="0.25">
      <c r="B160" s="342"/>
      <c r="C160" s="343"/>
      <c r="D160" s="344"/>
      <c r="E160" s="344"/>
      <c r="F160" s="345"/>
    </row>
    <row r="161" spans="2:6" x14ac:dyDescent="0.25">
      <c r="B161" s="333" t="s">
        <v>1</v>
      </c>
      <c r="C161" s="346" t="s">
        <v>0</v>
      </c>
      <c r="D161" s="335"/>
      <c r="E161" s="335"/>
      <c r="F161" s="336" t="e">
        <f>F159+F151+F143</f>
        <v>#DIV/0!</v>
      </c>
    </row>
    <row r="164" spans="2:6" x14ac:dyDescent="0.25">
      <c r="B164" s="313" t="s">
        <v>54</v>
      </c>
      <c r="C164" s="313" t="s">
        <v>53</v>
      </c>
      <c r="D164" s="708" t="s">
        <v>72</v>
      </c>
      <c r="E164" s="708"/>
      <c r="F164" s="708"/>
    </row>
    <row r="165" spans="2:6" x14ac:dyDescent="0.25">
      <c r="B165" s="315"/>
      <c r="C165" s="315"/>
      <c r="D165" s="713"/>
      <c r="E165" s="713"/>
      <c r="F165" s="713"/>
    </row>
    <row r="166" spans="2:6" x14ac:dyDescent="0.25">
      <c r="B166" s="317" t="s">
        <v>52</v>
      </c>
      <c r="C166" s="337" t="s">
        <v>51</v>
      </c>
      <c r="D166" s="319" t="s">
        <v>50</v>
      </c>
      <c r="E166" s="319" t="s">
        <v>49</v>
      </c>
      <c r="F166" s="319" t="s">
        <v>48</v>
      </c>
    </row>
    <row r="167" spans="2:6" x14ac:dyDescent="0.25">
      <c r="B167" s="317" t="s">
        <v>47</v>
      </c>
      <c r="C167" s="337" t="s">
        <v>46</v>
      </c>
      <c r="D167" s="319"/>
      <c r="E167" s="319"/>
      <c r="F167" s="319"/>
    </row>
    <row r="168" spans="2:6" x14ac:dyDescent="0.25">
      <c r="B168" s="320" t="s">
        <v>45</v>
      </c>
      <c r="C168" s="338" t="s">
        <v>44</v>
      </c>
      <c r="D168" s="339">
        <f>'1.1 SALÁRIOS'!$F$22</f>
        <v>0</v>
      </c>
      <c r="E168" s="322">
        <v>1</v>
      </c>
      <c r="F168" s="322">
        <f>E168*D168</f>
        <v>0</v>
      </c>
    </row>
    <row r="169" spans="2:6" x14ac:dyDescent="0.25">
      <c r="B169" s="320" t="s">
        <v>43</v>
      </c>
      <c r="C169" s="338" t="s">
        <v>42</v>
      </c>
      <c r="D169" s="322">
        <f>'1.1 SALÁRIOS'!$F$24</f>
        <v>0</v>
      </c>
      <c r="E169" s="387">
        <v>0.2</v>
      </c>
      <c r="F169" s="322">
        <f>E169*D169</f>
        <v>0</v>
      </c>
    </row>
    <row r="170" spans="2:6" x14ac:dyDescent="0.25">
      <c r="B170" s="320" t="s">
        <v>41</v>
      </c>
      <c r="C170" s="338" t="s">
        <v>56</v>
      </c>
      <c r="D170" s="322">
        <f>(F169+F168)*0.2</f>
        <v>0</v>
      </c>
      <c r="E170" s="322">
        <v>1</v>
      </c>
      <c r="F170" s="322">
        <f>E170*D170</f>
        <v>0</v>
      </c>
    </row>
    <row r="171" spans="2:6" x14ac:dyDescent="0.25">
      <c r="B171" s="320" t="s">
        <v>39</v>
      </c>
      <c r="C171" s="338" t="s">
        <v>38</v>
      </c>
      <c r="D171" s="322"/>
      <c r="E171" s="322"/>
      <c r="F171" s="322"/>
    </row>
    <row r="172" spans="2:6" x14ac:dyDescent="0.25">
      <c r="B172" s="320" t="s">
        <v>37</v>
      </c>
      <c r="C172" s="338" t="s">
        <v>36</v>
      </c>
      <c r="D172" s="322"/>
      <c r="E172" s="322"/>
      <c r="F172" s="322"/>
    </row>
    <row r="173" spans="2:6" x14ac:dyDescent="0.25">
      <c r="B173" s="320" t="s">
        <v>35</v>
      </c>
      <c r="C173" s="338" t="s">
        <v>34</v>
      </c>
      <c r="D173" s="322"/>
      <c r="E173" s="322"/>
      <c r="F173" s="322"/>
    </row>
    <row r="174" spans="2:6" x14ac:dyDescent="0.25">
      <c r="B174" s="320"/>
      <c r="C174" s="337" t="s">
        <v>32</v>
      </c>
      <c r="D174" s="322"/>
      <c r="E174" s="322"/>
      <c r="F174" s="323">
        <f>SUM(F168:F173)</f>
        <v>0</v>
      </c>
    </row>
    <row r="175" spans="2:6" x14ac:dyDescent="0.25">
      <c r="B175" s="317" t="s">
        <v>31</v>
      </c>
      <c r="C175" s="347" t="s">
        <v>30</v>
      </c>
      <c r="D175" s="322">
        <f>F174</f>
        <v>0</v>
      </c>
      <c r="E175" s="397">
        <f>'1.1 SALÁRIOS'!$F$33</f>
        <v>0</v>
      </c>
      <c r="F175" s="322">
        <f>E175*D175</f>
        <v>0</v>
      </c>
    </row>
    <row r="176" spans="2:6" x14ac:dyDescent="0.25">
      <c r="B176" s="317" t="s">
        <v>29</v>
      </c>
      <c r="C176" s="324" t="s">
        <v>28</v>
      </c>
      <c r="D176" s="322"/>
      <c r="E176" s="322"/>
      <c r="F176" s="323">
        <f>SUM(F174:F175)</f>
        <v>0</v>
      </c>
    </row>
    <row r="177" spans="2:6" x14ac:dyDescent="0.25">
      <c r="B177" s="317" t="s">
        <v>27</v>
      </c>
      <c r="C177" s="324" t="s">
        <v>26</v>
      </c>
      <c r="D177" s="322"/>
      <c r="E177" s="322"/>
      <c r="F177" s="322"/>
    </row>
    <row r="178" spans="2:6" x14ac:dyDescent="0.25">
      <c r="B178" s="9" t="s">
        <v>25</v>
      </c>
      <c r="C178" s="15" t="s">
        <v>24</v>
      </c>
      <c r="D178" s="11">
        <f>'1.1 SALÁRIOS'!$F$35</f>
        <v>0</v>
      </c>
      <c r="E178" s="11">
        <v>25.25</v>
      </c>
      <c r="F178" s="11">
        <f>IF(2*E178*D178-0.06*D168&lt;0,0,2*E178*D178-0.06*D168)</f>
        <v>0</v>
      </c>
    </row>
    <row r="179" spans="2:6" x14ac:dyDescent="0.25">
      <c r="B179" s="9" t="s">
        <v>23</v>
      </c>
      <c r="C179" s="15" t="s">
        <v>369</v>
      </c>
      <c r="D179" s="11">
        <f>('1.1 SALÁRIOS'!$F$36+'1.1 SALÁRIOS'!$F$37)/12</f>
        <v>0</v>
      </c>
      <c r="E179" s="11">
        <v>1</v>
      </c>
      <c r="F179" s="11">
        <f>E179*D179</f>
        <v>0</v>
      </c>
    </row>
    <row r="180" spans="2:6" x14ac:dyDescent="0.25">
      <c r="B180" s="9" t="s">
        <v>22</v>
      </c>
      <c r="C180" s="15" t="s">
        <v>370</v>
      </c>
      <c r="D180" s="11">
        <f>'1.1 SALÁRIOS'!$F$38</f>
        <v>0</v>
      </c>
      <c r="E180" s="11">
        <f>E178</f>
        <v>25.25</v>
      </c>
      <c r="F180" s="11">
        <f>E180*D180</f>
        <v>0</v>
      </c>
    </row>
    <row r="181" spans="2:6" x14ac:dyDescent="0.25">
      <c r="B181" s="9" t="s">
        <v>21</v>
      </c>
      <c r="C181" s="15" t="s">
        <v>371</v>
      </c>
      <c r="D181" s="11">
        <f>'1.1 SALÁRIOS'!$F$39</f>
        <v>0</v>
      </c>
      <c r="E181" s="11">
        <v>1</v>
      </c>
      <c r="F181" s="11">
        <f>E181*D181</f>
        <v>0</v>
      </c>
    </row>
    <row r="182" spans="2:6" x14ac:dyDescent="0.25">
      <c r="B182" s="9" t="s">
        <v>374</v>
      </c>
      <c r="C182" s="15" t="s">
        <v>372</v>
      </c>
      <c r="D182" s="11">
        <f>'1.1 SALÁRIOS'!$F$40</f>
        <v>0</v>
      </c>
      <c r="E182" s="11">
        <v>1</v>
      </c>
      <c r="F182" s="11">
        <f>E182*D182</f>
        <v>0</v>
      </c>
    </row>
    <row r="183" spans="2:6" x14ac:dyDescent="0.25">
      <c r="B183" s="9" t="s">
        <v>375</v>
      </c>
      <c r="C183" s="15" t="s">
        <v>373</v>
      </c>
      <c r="D183" s="11">
        <f>'1.1 SALÁRIOS'!$F$41</f>
        <v>0</v>
      </c>
      <c r="E183" s="11">
        <v>1</v>
      </c>
      <c r="F183" s="11">
        <f>E183*D183</f>
        <v>0</v>
      </c>
    </row>
    <row r="184" spans="2:6" x14ac:dyDescent="0.25">
      <c r="B184" s="320"/>
      <c r="C184" s="324" t="s">
        <v>20</v>
      </c>
      <c r="D184" s="323"/>
      <c r="E184" s="323"/>
      <c r="F184" s="323">
        <f>SUM(F178:F183)</f>
        <v>0</v>
      </c>
    </row>
    <row r="185" spans="2:6" x14ac:dyDescent="0.25">
      <c r="B185" s="317" t="s">
        <v>19</v>
      </c>
      <c r="C185" s="324" t="s">
        <v>18</v>
      </c>
      <c r="D185" s="322"/>
      <c r="E185" s="322"/>
      <c r="F185" s="322"/>
    </row>
    <row r="186" spans="2:6" x14ac:dyDescent="0.25">
      <c r="B186" s="320" t="s">
        <v>17</v>
      </c>
      <c r="C186" s="340" t="s">
        <v>16</v>
      </c>
      <c r="D186" s="11" t="e">
        <f>VLOOKUP(C186,'1.1 CUSTO FERRAME-UNIFORME-EPI'!B:C,2,FALSE)</f>
        <v>#DIV/0!</v>
      </c>
      <c r="E186" s="328">
        <v>0.25</v>
      </c>
      <c r="F186" s="322" t="e">
        <f t="shared" ref="F186:F191" si="4">E186*D186</f>
        <v>#DIV/0!</v>
      </c>
    </row>
    <row r="187" spans="2:6" x14ac:dyDescent="0.25">
      <c r="B187" s="320" t="s">
        <v>15</v>
      </c>
      <c r="C187" s="340" t="s">
        <v>210</v>
      </c>
      <c r="D187" s="11">
        <f>VLOOKUP(C187,'1.1 CUSTO FERRAME-UNIFORME-EPI'!B:C,2,FALSE)</f>
        <v>0</v>
      </c>
      <c r="E187" s="328">
        <v>0.5</v>
      </c>
      <c r="F187" s="322">
        <f t="shared" si="4"/>
        <v>0</v>
      </c>
    </row>
    <row r="188" spans="2:6" x14ac:dyDescent="0.25">
      <c r="B188" s="320" t="s">
        <v>13</v>
      </c>
      <c r="C188" s="340" t="s">
        <v>209</v>
      </c>
      <c r="D188" s="11">
        <f>VLOOKUP(C188,'1.1 CUSTO FERRAME-UNIFORME-EPI'!B:C,2,FALSE)</f>
        <v>0</v>
      </c>
      <c r="E188" s="328">
        <v>0.5</v>
      </c>
      <c r="F188" s="322">
        <f t="shared" si="4"/>
        <v>0</v>
      </c>
    </row>
    <row r="189" spans="2:6" x14ac:dyDescent="0.25">
      <c r="B189" s="320" t="s">
        <v>11</v>
      </c>
      <c r="C189" s="340" t="s">
        <v>205</v>
      </c>
      <c r="D189" s="11">
        <f>VLOOKUP(C189,'1.1 CUSTO FERRAME-UNIFORME-EPI'!B:C,2,FALSE)</f>
        <v>0</v>
      </c>
      <c r="E189" s="328">
        <v>0.25</v>
      </c>
      <c r="F189" s="322">
        <f t="shared" si="4"/>
        <v>0</v>
      </c>
    </row>
    <row r="190" spans="2:6" x14ac:dyDescent="0.25">
      <c r="B190" s="320" t="s">
        <v>9</v>
      </c>
      <c r="C190" s="340" t="s">
        <v>8</v>
      </c>
      <c r="D190" s="11">
        <f>VLOOKUP(C190,'1.1 CUSTO FERRAME-UNIFORME-EPI'!B:C,2,FALSE)</f>
        <v>0</v>
      </c>
      <c r="E190" s="328">
        <v>0.17</v>
      </c>
      <c r="F190" s="322">
        <f t="shared" si="4"/>
        <v>0</v>
      </c>
    </row>
    <row r="191" spans="2:6" x14ac:dyDescent="0.25">
      <c r="B191" s="320" t="s">
        <v>7</v>
      </c>
      <c r="C191" s="326" t="s">
        <v>202</v>
      </c>
      <c r="D191" s="11" t="e">
        <f>VLOOKUP(C191,'1.1 CUSTO FERRAME-UNIFORME-EPI'!B:C,2,FALSE)</f>
        <v>#DIV/0!</v>
      </c>
      <c r="E191" s="386">
        <v>0.08</v>
      </c>
      <c r="F191" s="322" t="e">
        <f t="shared" si="4"/>
        <v>#DIV/0!</v>
      </c>
    </row>
    <row r="192" spans="2:6" x14ac:dyDescent="0.25">
      <c r="B192" s="320"/>
      <c r="C192" s="341" t="s">
        <v>2</v>
      </c>
      <c r="D192" s="330"/>
      <c r="E192" s="330"/>
      <c r="F192" s="331" t="e">
        <f>SUM(F186:F191)</f>
        <v>#DIV/0!</v>
      </c>
    </row>
    <row r="193" spans="2:6" x14ac:dyDescent="0.25">
      <c r="B193" s="342"/>
      <c r="C193" s="343"/>
      <c r="D193" s="344"/>
      <c r="E193" s="344"/>
      <c r="F193" s="345"/>
    </row>
    <row r="194" spans="2:6" x14ac:dyDescent="0.25">
      <c r="B194" s="333" t="s">
        <v>1</v>
      </c>
      <c r="C194" s="346" t="s">
        <v>0</v>
      </c>
      <c r="D194" s="335"/>
      <c r="E194" s="335"/>
      <c r="F194" s="336" t="e">
        <f>F192+F184+F176</f>
        <v>#DIV/0!</v>
      </c>
    </row>
  </sheetData>
  <mergeCells count="13">
    <mergeCell ref="B2:I2"/>
    <mergeCell ref="D33:F33"/>
    <mergeCell ref="D34:F34"/>
    <mergeCell ref="D4:F4"/>
    <mergeCell ref="D5:F5"/>
    <mergeCell ref="D66:F66"/>
    <mergeCell ref="D67:F67"/>
    <mergeCell ref="D132:F132"/>
    <mergeCell ref="D165:F165"/>
    <mergeCell ref="D98:F98"/>
    <mergeCell ref="D99:F99"/>
    <mergeCell ref="D131:F131"/>
    <mergeCell ref="D164:F164"/>
  </mergeCells>
  <pageMargins left="0.98425196850393704" right="0.59055118110236215" top="1.1811023622047243" bottom="0.59055118110236215" header="0.11811023622047244" footer="0.51181102362204722"/>
  <pageSetup paperSize="9" scale="54" fitToHeight="0" orientation="portrait" r:id="rId1"/>
  <headerFooter>
    <oddHeader>&amp;L&amp;G</oddHeader>
  </headerFooter>
  <rowBreaks count="2" manualBreakCount="2">
    <brk id="64" max="6" man="1"/>
    <brk id="129" max="6" man="1"/>
  </rowBreaks>
  <legacyDrawingHF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0" tint="-0.249977111117893"/>
    <pageSetUpPr fitToPage="1"/>
  </sheetPr>
  <dimension ref="A1:J42"/>
  <sheetViews>
    <sheetView showGridLines="0" view="pageLayout" zoomScaleNormal="110" zoomScaleSheetLayoutView="100" workbookViewId="0">
      <selection activeCell="H9" sqref="H9"/>
    </sheetView>
  </sheetViews>
  <sheetFormatPr defaultColWidth="9" defaultRowHeight="13.5" x14ac:dyDescent="0.25"/>
  <cols>
    <col min="1" max="1" width="5.140625" style="181" customWidth="1"/>
    <col min="2" max="2" width="28.85546875" style="181" customWidth="1"/>
    <col min="3" max="4" width="17.85546875" style="181" customWidth="1"/>
    <col min="5" max="16384" width="9" style="181"/>
  </cols>
  <sheetData>
    <row r="1" spans="1:4" ht="11.1" customHeight="1" x14ac:dyDescent="0.25"/>
    <row r="2" spans="1:4" ht="15.75" x14ac:dyDescent="0.25">
      <c r="A2" s="642" t="s">
        <v>187</v>
      </c>
      <c r="B2" s="642"/>
      <c r="C2" s="642"/>
      <c r="D2" s="642"/>
    </row>
    <row r="3" spans="1:4" x14ac:dyDescent="0.25">
      <c r="C3" s="221"/>
      <c r="D3" s="221"/>
    </row>
    <row r="4" spans="1:4" ht="12" customHeight="1" x14ac:dyDescent="0.25">
      <c r="B4" s="220"/>
      <c r="C4" s="220"/>
      <c r="D4" s="220"/>
    </row>
    <row r="5" spans="1:4" ht="12.95" customHeight="1" x14ac:dyDescent="0.25">
      <c r="C5" s="219"/>
      <c r="D5" s="219"/>
    </row>
    <row r="6" spans="1:4" s="193" customFormat="1" ht="52.5" customHeight="1" x14ac:dyDescent="0.25">
      <c r="A6" s="643" t="s">
        <v>54</v>
      </c>
      <c r="B6" s="644" t="s">
        <v>53</v>
      </c>
      <c r="C6" s="217" t="s">
        <v>199</v>
      </c>
      <c r="D6" s="217" t="s">
        <v>198</v>
      </c>
    </row>
    <row r="7" spans="1:4" s="193" customFormat="1" ht="18" customHeight="1" x14ac:dyDescent="0.25">
      <c r="A7" s="643"/>
      <c r="B7" s="644"/>
      <c r="C7" s="217" t="s">
        <v>184</v>
      </c>
      <c r="D7" s="217" t="s">
        <v>184</v>
      </c>
    </row>
    <row r="8" spans="1:4" s="193" customFormat="1" ht="14.1" customHeight="1" x14ac:dyDescent="0.25">
      <c r="A8" s="202" t="s">
        <v>183</v>
      </c>
      <c r="B8" s="201" t="s">
        <v>182</v>
      </c>
      <c r="C8" s="200">
        <f>(C9-C11)/C42/12</f>
        <v>0</v>
      </c>
      <c r="D8" s="200">
        <f>(D9-D11)/D42/12</f>
        <v>0</v>
      </c>
    </row>
    <row r="9" spans="1:4" s="209" customFormat="1" ht="14.1" customHeight="1" x14ac:dyDescent="0.2">
      <c r="A9" s="208" t="s">
        <v>181</v>
      </c>
      <c r="B9" s="187" t="s">
        <v>180</v>
      </c>
      <c r="C9" s="186">
        <f>'1.1 REF EQUIPAMENTOS E DIV'!E17</f>
        <v>0</v>
      </c>
      <c r="D9" s="186">
        <f>'1.1 REF EQUIPAMENTOS E DIV'!E19</f>
        <v>0</v>
      </c>
    </row>
    <row r="10" spans="1:4" s="209" customFormat="1" ht="9.9499999999999993" customHeight="1" x14ac:dyDescent="0.2">
      <c r="A10" s="207"/>
      <c r="B10" s="187"/>
      <c r="C10" s="186"/>
      <c r="D10" s="186"/>
    </row>
    <row r="11" spans="1:4" s="209" customFormat="1" ht="14.1" customHeight="1" x14ac:dyDescent="0.2">
      <c r="A11" s="208" t="s">
        <v>179</v>
      </c>
      <c r="B11" s="187" t="s">
        <v>148</v>
      </c>
      <c r="C11" s="186">
        <f>C9*C41</f>
        <v>0</v>
      </c>
      <c r="D11" s="186">
        <f>D9*D41</f>
        <v>0</v>
      </c>
    </row>
    <row r="12" spans="1:4" s="209" customFormat="1" ht="9.9499999999999993" customHeight="1" x14ac:dyDescent="0.2">
      <c r="A12" s="213"/>
      <c r="B12" s="204"/>
      <c r="C12" s="203"/>
      <c r="D12" s="203"/>
    </row>
    <row r="13" spans="1:4" s="209" customFormat="1" ht="14.1" customHeight="1" x14ac:dyDescent="0.2">
      <c r="A13" s="212" t="s">
        <v>178</v>
      </c>
      <c r="B13" s="211" t="s">
        <v>177</v>
      </c>
      <c r="C13" s="210">
        <f>C17*C19/12</f>
        <v>0</v>
      </c>
      <c r="D13" s="210">
        <f>D17*D19/12</f>
        <v>0</v>
      </c>
    </row>
    <row r="14" spans="1:4" s="209" customFormat="1" ht="9.9499999999999993" customHeight="1" x14ac:dyDescent="0.2">
      <c r="A14" s="232"/>
      <c r="B14" s="187"/>
      <c r="C14" s="186"/>
      <c r="D14" s="186"/>
    </row>
    <row r="15" spans="1:4" s="209" customFormat="1" ht="14.1" customHeight="1" x14ac:dyDescent="0.2">
      <c r="A15" s="188" t="s">
        <v>176</v>
      </c>
      <c r="B15" s="187" t="s">
        <v>175</v>
      </c>
      <c r="C15" s="186">
        <f>C9</f>
        <v>0</v>
      </c>
      <c r="D15" s="186">
        <f>D9</f>
        <v>0</v>
      </c>
    </row>
    <row r="16" spans="1:4" s="209" customFormat="1" ht="9.9499999999999993" customHeight="1" x14ac:dyDescent="0.2">
      <c r="A16" s="232"/>
      <c r="B16" s="187"/>
      <c r="C16" s="186"/>
      <c r="D16" s="186"/>
    </row>
    <row r="17" spans="1:10" s="209" customFormat="1" ht="14.1" customHeight="1" x14ac:dyDescent="0.2">
      <c r="A17" s="188" t="s">
        <v>174</v>
      </c>
      <c r="B17" s="187" t="s">
        <v>173</v>
      </c>
      <c r="C17" s="186">
        <f>(C9-C11)*((1+C42)/(2*C42))/1.25</f>
        <v>0</v>
      </c>
      <c r="D17" s="186">
        <f>(D9-D11)*((1+D42)/(2*D42))/1.25</f>
        <v>0</v>
      </c>
    </row>
    <row r="18" spans="1:10" s="209" customFormat="1" ht="9.9499999999999993" customHeight="1" x14ac:dyDescent="0.2">
      <c r="A18" s="232"/>
      <c r="B18" s="187"/>
      <c r="C18" s="186"/>
      <c r="D18" s="186"/>
    </row>
    <row r="19" spans="1:10" s="209" customFormat="1" ht="14.1" customHeight="1" x14ac:dyDescent="0.2">
      <c r="A19" s="184" t="s">
        <v>146</v>
      </c>
      <c r="B19" s="183" t="s">
        <v>145</v>
      </c>
      <c r="C19" s="182">
        <v>0.13250000000000001</v>
      </c>
      <c r="D19" s="182">
        <v>0.13250000000000001</v>
      </c>
    </row>
    <row r="20" spans="1:10" s="209" customFormat="1" ht="11.25" x14ac:dyDescent="0.2">
      <c r="A20" s="230" t="s">
        <v>172</v>
      </c>
      <c r="B20" s="229" t="s">
        <v>171</v>
      </c>
      <c r="C20" s="228">
        <f>C25*2*26.08</f>
        <v>0</v>
      </c>
      <c r="D20" s="228">
        <f>D25*2*26.08</f>
        <v>0</v>
      </c>
    </row>
    <row r="21" spans="1:10" s="193" customFormat="1" ht="14.1" customHeight="1" x14ac:dyDescent="0.25">
      <c r="A21" s="208" t="s">
        <v>170</v>
      </c>
      <c r="B21" s="187" t="s">
        <v>169</v>
      </c>
      <c r="C21" s="186">
        <f>160*0.735*0.07</f>
        <v>8.2320000000000011</v>
      </c>
      <c r="D21" s="186">
        <f>80*0.735*0.07</f>
        <v>4.1160000000000005</v>
      </c>
      <c r="F21" s="209"/>
      <c r="G21" s="209"/>
      <c r="H21" s="209"/>
      <c r="I21" s="209"/>
      <c r="J21" s="209"/>
    </row>
    <row r="22" spans="1:10" s="193" customFormat="1" ht="14.1" customHeight="1" x14ac:dyDescent="0.25">
      <c r="A22" s="208"/>
      <c r="B22" s="187"/>
      <c r="C22" s="186"/>
      <c r="D22" s="186"/>
      <c r="F22" s="209"/>
      <c r="G22" s="209"/>
      <c r="H22" s="209"/>
      <c r="I22" s="209"/>
      <c r="J22" s="209"/>
    </row>
    <row r="23" spans="1:10" s="193" customFormat="1" ht="14.1" customHeight="1" x14ac:dyDescent="0.25">
      <c r="A23" s="208"/>
      <c r="B23" s="187" t="s">
        <v>197</v>
      </c>
      <c r="C23" s="186">
        <f>'1.1 REF EQUIPAMENTOS E DIV'!$E$38</f>
        <v>0</v>
      </c>
      <c r="D23" s="186">
        <f>'1.1 REF EQUIPAMENTOS E DIV'!$E$39</f>
        <v>0</v>
      </c>
      <c r="F23" s="209"/>
      <c r="G23" s="209"/>
      <c r="H23" s="209"/>
      <c r="I23" s="209"/>
      <c r="J23" s="209"/>
    </row>
    <row r="24" spans="1:10" s="209" customFormat="1" ht="14.1" customHeight="1" x14ac:dyDescent="0.2">
      <c r="A24" s="207"/>
      <c r="B24" s="187"/>
      <c r="C24" s="186"/>
      <c r="D24" s="186"/>
    </row>
    <row r="25" spans="1:10" s="209" customFormat="1" ht="11.25" x14ac:dyDescent="0.2">
      <c r="A25" s="208" t="s">
        <v>167</v>
      </c>
      <c r="B25" s="187" t="s">
        <v>166</v>
      </c>
      <c r="C25" s="186">
        <f>C23*C21</f>
        <v>0</v>
      </c>
      <c r="D25" s="186">
        <f>D23*D21</f>
        <v>0</v>
      </c>
    </row>
    <row r="26" spans="1:10" s="193" customFormat="1" ht="14.1" customHeight="1" x14ac:dyDescent="0.25">
      <c r="A26" s="202" t="s">
        <v>165</v>
      </c>
      <c r="B26" s="201" t="s">
        <v>164</v>
      </c>
      <c r="C26" s="200">
        <f>C29</f>
        <v>0</v>
      </c>
      <c r="D26" s="200">
        <f>D29</f>
        <v>0</v>
      </c>
    </row>
    <row r="27" spans="1:10" s="209" customFormat="1" ht="14.1" customHeight="1" x14ac:dyDescent="0.2">
      <c r="A27" s="208" t="s">
        <v>163</v>
      </c>
      <c r="B27" s="187" t="s">
        <v>162</v>
      </c>
      <c r="C27" s="186">
        <v>0.1</v>
      </c>
      <c r="D27" s="186">
        <v>0.1</v>
      </c>
    </row>
    <row r="28" spans="1:10" s="209" customFormat="1" ht="9.9499999999999993" customHeight="1" x14ac:dyDescent="0.2">
      <c r="A28" s="207"/>
      <c r="B28" s="187"/>
      <c r="C28" s="186"/>
      <c r="D28" s="186"/>
    </row>
    <row r="29" spans="1:10" s="209" customFormat="1" ht="14.1" customHeight="1" x14ac:dyDescent="0.2">
      <c r="A29" s="208" t="s">
        <v>161</v>
      </c>
      <c r="B29" s="187" t="s">
        <v>160</v>
      </c>
      <c r="C29" s="186">
        <f>C27*C20</f>
        <v>0</v>
      </c>
      <c r="D29" s="186">
        <f>D27*D20</f>
        <v>0</v>
      </c>
    </row>
    <row r="30" spans="1:10" s="209" customFormat="1" ht="9.9499999999999993" customHeight="1" x14ac:dyDescent="0.2">
      <c r="A30" s="207"/>
      <c r="B30" s="187"/>
      <c r="C30" s="186"/>
      <c r="D30" s="186"/>
    </row>
    <row r="31" spans="1:10" s="209" customFormat="1" ht="14.1" customHeight="1" x14ac:dyDescent="0.2">
      <c r="A31" s="202" t="s">
        <v>159</v>
      </c>
      <c r="B31" s="201" t="s">
        <v>158</v>
      </c>
      <c r="C31" s="200">
        <f>C37</f>
        <v>0</v>
      </c>
      <c r="D31" s="200">
        <f>D37</f>
        <v>0</v>
      </c>
    </row>
    <row r="32" spans="1:10" s="209" customFormat="1" ht="18" customHeight="1" x14ac:dyDescent="0.2">
      <c r="A32" s="208" t="s">
        <v>157</v>
      </c>
      <c r="B32" s="187" t="s">
        <v>156</v>
      </c>
      <c r="C32" s="186">
        <f>C8</f>
        <v>0</v>
      </c>
      <c r="D32" s="186">
        <f>D8</f>
        <v>0</v>
      </c>
    </row>
    <row r="33" spans="1:4" s="193" customFormat="1" ht="21.75" customHeight="1" x14ac:dyDescent="0.25">
      <c r="A33" s="207"/>
      <c r="B33" s="187"/>
      <c r="C33" s="186"/>
      <c r="D33" s="186"/>
    </row>
    <row r="34" spans="1:4" s="193" customFormat="1" x14ac:dyDescent="0.25">
      <c r="A34" s="208" t="s">
        <v>155</v>
      </c>
      <c r="B34" s="187" t="s">
        <v>154</v>
      </c>
      <c r="C34" s="186">
        <v>0.6</v>
      </c>
      <c r="D34" s="186">
        <v>0.6</v>
      </c>
    </row>
    <row r="35" spans="1:4" s="193" customFormat="1" x14ac:dyDescent="0.25">
      <c r="A35" s="208" t="s">
        <v>153</v>
      </c>
      <c r="B35" s="187" t="s">
        <v>386</v>
      </c>
      <c r="C35" s="310">
        <v>2.5000000000000001E-2</v>
      </c>
      <c r="D35" s="310">
        <v>2.5000000000000001E-2</v>
      </c>
    </row>
    <row r="36" spans="1:4" s="193" customFormat="1" x14ac:dyDescent="0.25">
      <c r="A36" s="207"/>
      <c r="B36" s="187"/>
      <c r="C36" s="186"/>
      <c r="D36" s="186"/>
    </row>
    <row r="37" spans="1:4" s="193" customFormat="1" x14ac:dyDescent="0.25">
      <c r="A37" s="208" t="s">
        <v>387</v>
      </c>
      <c r="B37" s="204" t="s">
        <v>152</v>
      </c>
      <c r="C37" s="203">
        <f>(C34+C35)*C32</f>
        <v>0</v>
      </c>
      <c r="D37" s="203">
        <f>(D34+D35)*D32</f>
        <v>0</v>
      </c>
    </row>
    <row r="38" spans="1:4" x14ac:dyDescent="0.25">
      <c r="A38" s="199"/>
      <c r="B38" s="198" t="s">
        <v>149</v>
      </c>
      <c r="C38" s="197">
        <f>C31++C26+C20+C13+C8</f>
        <v>0</v>
      </c>
      <c r="D38" s="197">
        <f>D31++D26+D20+D13+D8</f>
        <v>0</v>
      </c>
    </row>
    <row r="39" spans="1:4" x14ac:dyDescent="0.25">
      <c r="A39" s="196"/>
      <c r="B39" s="195"/>
      <c r="C39" s="194"/>
      <c r="D39" s="194"/>
    </row>
    <row r="41" spans="1:4" x14ac:dyDescent="0.25">
      <c r="A41" s="192"/>
      <c r="B41" s="191" t="s">
        <v>148</v>
      </c>
      <c r="C41" s="190">
        <v>0.4</v>
      </c>
      <c r="D41" s="190">
        <v>0.4</v>
      </c>
    </row>
    <row r="42" spans="1:4" x14ac:dyDescent="0.25">
      <c r="A42" s="188"/>
      <c r="B42" s="187" t="s">
        <v>147</v>
      </c>
      <c r="C42" s="186">
        <v>4.9999499499499498</v>
      </c>
      <c r="D42" s="186">
        <v>4.9999499499499498</v>
      </c>
    </row>
  </sheetData>
  <sheetProtection selectLockedCells="1" selectUnlockedCells="1"/>
  <mergeCells count="3">
    <mergeCell ref="A2:D2"/>
    <mergeCell ref="A6:A7"/>
    <mergeCell ref="B6:B7"/>
  </mergeCells>
  <pageMargins left="0.98425196850393704" right="0.59055118110236215" top="1.1811023622047243" bottom="0.59055118110236215" header="0.11811023622047244" footer="0.51181102362204722"/>
  <pageSetup paperSize="9" firstPageNumber="0" fitToHeight="0" orientation="portrait" r:id="rId1"/>
  <headerFooter alignWithMargins="0">
    <oddHeader>&amp;L&amp;G</oddHeader>
  </headerFooter>
  <legacyDrawingHF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B2:F47"/>
  <sheetViews>
    <sheetView showGridLines="0" view="pageLayout" zoomScaleNormal="100" zoomScaleSheetLayoutView="100" workbookViewId="0">
      <selection activeCell="F35" sqref="F35:F41"/>
    </sheetView>
  </sheetViews>
  <sheetFormatPr defaultColWidth="9.140625" defaultRowHeight="15" x14ac:dyDescent="0.25"/>
  <cols>
    <col min="1" max="1" width="4.42578125" style="241" customWidth="1"/>
    <col min="2" max="3" width="11.85546875" style="242" customWidth="1"/>
    <col min="4" max="4" width="54" style="242" customWidth="1"/>
    <col min="5" max="5" width="17" style="242" customWidth="1"/>
    <col min="6" max="6" width="16.5703125" style="242" customWidth="1"/>
    <col min="7" max="7" width="12.7109375" style="241" bestFit="1" customWidth="1"/>
    <col min="8" max="16384" width="9.140625" style="241"/>
  </cols>
  <sheetData>
    <row r="2" spans="2:6" x14ac:dyDescent="0.25">
      <c r="B2" s="753" t="s">
        <v>201</v>
      </c>
      <c r="C2" s="753"/>
      <c r="D2" s="753"/>
      <c r="E2" s="753"/>
      <c r="F2" s="753"/>
    </row>
    <row r="3" spans="2:6" x14ac:dyDescent="0.25">
      <c r="B3" s="248"/>
      <c r="C3" s="248"/>
      <c r="D3" s="248"/>
      <c r="E3" s="248"/>
      <c r="F3" s="248"/>
    </row>
    <row r="4" spans="2:6" s="242" customFormat="1" x14ac:dyDescent="0.25">
      <c r="B4" s="556" t="s">
        <v>251</v>
      </c>
      <c r="C4" s="556" t="s">
        <v>280</v>
      </c>
      <c r="D4" s="556" t="s">
        <v>277</v>
      </c>
      <c r="E4" s="556" t="s">
        <v>247</v>
      </c>
      <c r="F4" s="556" t="s">
        <v>50</v>
      </c>
    </row>
    <row r="5" spans="2:6" s="242" customFormat="1" ht="18" customHeight="1" x14ac:dyDescent="0.25">
      <c r="B5" s="246" t="s">
        <v>281</v>
      </c>
      <c r="C5" s="246"/>
      <c r="D5" s="246" t="s">
        <v>254</v>
      </c>
      <c r="E5" s="275" t="s">
        <v>278</v>
      </c>
      <c r="F5" s="274"/>
    </row>
    <row r="6" spans="2:6" s="242" customFormat="1" x14ac:dyDescent="0.25">
      <c r="B6" s="243" t="s">
        <v>281</v>
      </c>
      <c r="C6" s="243"/>
      <c r="D6" s="243" t="s">
        <v>255</v>
      </c>
      <c r="E6" s="276" t="s">
        <v>278</v>
      </c>
      <c r="F6" s="273"/>
    </row>
    <row r="7" spans="2:6" s="242" customFormat="1" x14ac:dyDescent="0.25">
      <c r="B7" s="243" t="s">
        <v>281</v>
      </c>
      <c r="C7" s="243"/>
      <c r="D7" s="243" t="s">
        <v>269</v>
      </c>
      <c r="E7" s="276" t="s">
        <v>278</v>
      </c>
      <c r="F7" s="273"/>
    </row>
    <row r="8" spans="2:6" s="242" customFormat="1" x14ac:dyDescent="0.25">
      <c r="B8" s="243" t="s">
        <v>281</v>
      </c>
      <c r="C8" s="243"/>
      <c r="D8" s="243" t="s">
        <v>256</v>
      </c>
      <c r="E8" s="276" t="s">
        <v>278</v>
      </c>
      <c r="F8" s="273"/>
    </row>
    <row r="9" spans="2:6" s="242" customFormat="1" x14ac:dyDescent="0.25">
      <c r="B9" s="243" t="s">
        <v>281</v>
      </c>
      <c r="C9" s="243"/>
      <c r="D9" s="243" t="s">
        <v>257</v>
      </c>
      <c r="E9" s="276" t="s">
        <v>278</v>
      </c>
      <c r="F9" s="273"/>
    </row>
    <row r="10" spans="2:6" s="242" customFormat="1" x14ac:dyDescent="0.25">
      <c r="B10" s="243" t="s">
        <v>281</v>
      </c>
      <c r="C10" s="243"/>
      <c r="D10" s="243" t="s">
        <v>258</v>
      </c>
      <c r="E10" s="276" t="s">
        <v>278</v>
      </c>
      <c r="F10" s="273"/>
    </row>
    <row r="11" spans="2:6" s="242" customFormat="1" x14ac:dyDescent="0.25">
      <c r="B11" s="243" t="s">
        <v>281</v>
      </c>
      <c r="C11" s="243"/>
      <c r="D11" s="243" t="s">
        <v>259</v>
      </c>
      <c r="E11" s="276" t="s">
        <v>278</v>
      </c>
      <c r="F11" s="273"/>
    </row>
    <row r="12" spans="2:6" s="242" customFormat="1" x14ac:dyDescent="0.25">
      <c r="B12" s="243" t="s">
        <v>281</v>
      </c>
      <c r="C12" s="243"/>
      <c r="D12" s="243" t="s">
        <v>260</v>
      </c>
      <c r="E12" s="276" t="s">
        <v>278</v>
      </c>
      <c r="F12" s="273"/>
    </row>
    <row r="13" spans="2:6" s="242" customFormat="1" x14ac:dyDescent="0.25">
      <c r="B13" s="243" t="s">
        <v>281</v>
      </c>
      <c r="C13" s="243"/>
      <c r="D13" s="243" t="s">
        <v>261</v>
      </c>
      <c r="E13" s="276" t="s">
        <v>278</v>
      </c>
      <c r="F13" s="273"/>
    </row>
    <row r="14" spans="2:6" s="242" customFormat="1" x14ac:dyDescent="0.25">
      <c r="B14" s="243" t="s">
        <v>281</v>
      </c>
      <c r="C14" s="243"/>
      <c r="D14" s="243" t="s">
        <v>262</v>
      </c>
      <c r="E14" s="276" t="s">
        <v>278</v>
      </c>
      <c r="F14" s="273"/>
    </row>
    <row r="15" spans="2:6" s="242" customFormat="1" x14ac:dyDescent="0.25">
      <c r="B15" s="243" t="s">
        <v>281</v>
      </c>
      <c r="C15" s="243"/>
      <c r="D15" s="243" t="s">
        <v>263</v>
      </c>
      <c r="E15" s="276" t="s">
        <v>278</v>
      </c>
      <c r="F15" s="273"/>
    </row>
    <row r="16" spans="2:6" s="242" customFormat="1" x14ac:dyDescent="0.25">
      <c r="B16" s="243" t="s">
        <v>281</v>
      </c>
      <c r="C16" s="243"/>
      <c r="D16" s="243" t="s">
        <v>264</v>
      </c>
      <c r="E16" s="276" t="s">
        <v>278</v>
      </c>
      <c r="F16" s="273"/>
    </row>
    <row r="17" spans="2:6" s="242" customFormat="1" x14ac:dyDescent="0.25">
      <c r="B17" s="243" t="s">
        <v>281</v>
      </c>
      <c r="C17" s="243"/>
      <c r="D17" s="243" t="s">
        <v>265</v>
      </c>
      <c r="E17" s="276" t="s">
        <v>278</v>
      </c>
      <c r="F17" s="273"/>
    </row>
    <row r="18" spans="2:6" s="242" customFormat="1" x14ac:dyDescent="0.25">
      <c r="B18" s="243" t="s">
        <v>281</v>
      </c>
      <c r="C18" s="243"/>
      <c r="D18" s="243" t="s">
        <v>266</v>
      </c>
      <c r="E18" s="276" t="s">
        <v>278</v>
      </c>
      <c r="F18" s="273"/>
    </row>
    <row r="19" spans="2:6" s="242" customFormat="1" x14ac:dyDescent="0.25">
      <c r="B19" s="243" t="s">
        <v>281</v>
      </c>
      <c r="C19" s="243"/>
      <c r="D19" s="243" t="s">
        <v>267</v>
      </c>
      <c r="E19" s="276" t="s">
        <v>278</v>
      </c>
      <c r="F19" s="273"/>
    </row>
    <row r="20" spans="2:6" s="242" customFormat="1" x14ac:dyDescent="0.25">
      <c r="B20" s="243" t="s">
        <v>281</v>
      </c>
      <c r="C20" s="243"/>
      <c r="D20" s="243" t="s">
        <v>268</v>
      </c>
      <c r="E20" s="276" t="s">
        <v>278</v>
      </c>
      <c r="F20" s="273"/>
    </row>
    <row r="21" spans="2:6" s="242" customFormat="1" x14ac:dyDescent="0.25">
      <c r="B21" s="243" t="s">
        <v>281</v>
      </c>
      <c r="C21" s="243"/>
      <c r="D21" s="243" t="s">
        <v>282</v>
      </c>
      <c r="E21" s="276" t="s">
        <v>278</v>
      </c>
      <c r="F21" s="273"/>
    </row>
    <row r="22" spans="2:6" s="242" customFormat="1" x14ac:dyDescent="0.25">
      <c r="B22" s="243" t="s">
        <v>281</v>
      </c>
      <c r="C22" s="243"/>
      <c r="D22" s="243" t="s">
        <v>283</v>
      </c>
      <c r="E22" s="276" t="s">
        <v>278</v>
      </c>
      <c r="F22" s="273"/>
    </row>
    <row r="23" spans="2:6" s="242" customFormat="1" x14ac:dyDescent="0.25">
      <c r="B23" s="243" t="s">
        <v>281</v>
      </c>
      <c r="C23" s="243"/>
      <c r="D23" s="243" t="s">
        <v>284</v>
      </c>
      <c r="E23" s="276" t="s">
        <v>278</v>
      </c>
      <c r="F23" s="273"/>
    </row>
    <row r="24" spans="2:6" s="242" customFormat="1" x14ac:dyDescent="0.25">
      <c r="B24" s="243"/>
      <c r="C24" s="243"/>
      <c r="D24" s="243" t="s">
        <v>200</v>
      </c>
      <c r="E24" s="276" t="s">
        <v>278</v>
      </c>
      <c r="F24" s="273"/>
    </row>
    <row r="25" spans="2:6" s="242" customFormat="1" x14ac:dyDescent="0.25">
      <c r="B25" s="243" t="s">
        <v>252</v>
      </c>
      <c r="C25" s="243">
        <v>40818</v>
      </c>
      <c r="D25" s="243" t="s">
        <v>286</v>
      </c>
      <c r="E25" s="276" t="s">
        <v>278</v>
      </c>
      <c r="F25" s="273"/>
    </row>
    <row r="26" spans="2:6" s="242" customFormat="1" x14ac:dyDescent="0.25">
      <c r="B26" s="243" t="s">
        <v>252</v>
      </c>
      <c r="C26" s="243">
        <v>41038</v>
      </c>
      <c r="D26" s="243" t="s">
        <v>376</v>
      </c>
      <c r="E26" s="276" t="s">
        <v>278</v>
      </c>
      <c r="F26" s="273"/>
    </row>
    <row r="27" spans="2:6" s="242" customFormat="1" x14ac:dyDescent="0.25">
      <c r="B27" s="243" t="s">
        <v>252</v>
      </c>
      <c r="C27" s="243">
        <v>40990</v>
      </c>
      <c r="D27" s="243" t="s">
        <v>377</v>
      </c>
      <c r="E27" s="276" t="s">
        <v>278</v>
      </c>
      <c r="F27" s="273"/>
    </row>
    <row r="28" spans="2:6" s="242" customFormat="1" x14ac:dyDescent="0.25">
      <c r="B28" s="243" t="s">
        <v>252</v>
      </c>
      <c r="C28" s="243">
        <v>40998</v>
      </c>
      <c r="D28" s="243" t="s">
        <v>404</v>
      </c>
      <c r="E28" s="276" t="s">
        <v>278</v>
      </c>
      <c r="F28" s="273"/>
    </row>
    <row r="29" spans="2:6" s="242" customFormat="1" x14ac:dyDescent="0.25">
      <c r="B29" s="243" t="s">
        <v>252</v>
      </c>
      <c r="C29" s="243">
        <v>41033</v>
      </c>
      <c r="D29" s="243" t="s">
        <v>405</v>
      </c>
      <c r="E29" s="276" t="s">
        <v>278</v>
      </c>
      <c r="F29" s="273"/>
    </row>
    <row r="30" spans="2:6" s="242" customFormat="1" x14ac:dyDescent="0.25">
      <c r="B30" s="243" t="s">
        <v>252</v>
      </c>
      <c r="C30" s="243">
        <v>40813</v>
      </c>
      <c r="D30" s="243" t="s">
        <v>435</v>
      </c>
      <c r="E30" s="276" t="s">
        <v>278</v>
      </c>
      <c r="F30" s="273"/>
    </row>
    <row r="31" spans="2:6" s="242" customFormat="1" x14ac:dyDescent="0.25">
      <c r="B31" s="243" t="s">
        <v>252</v>
      </c>
      <c r="C31" s="243">
        <v>40944</v>
      </c>
      <c r="D31" s="243" t="s">
        <v>437</v>
      </c>
      <c r="E31" s="276" t="s">
        <v>278</v>
      </c>
      <c r="F31" s="273"/>
    </row>
    <row r="32" spans="2:6" s="242" customFormat="1" x14ac:dyDescent="0.25">
      <c r="B32" s="243" t="s">
        <v>252</v>
      </c>
      <c r="C32" s="243">
        <v>40812</v>
      </c>
      <c r="D32" s="243" t="s">
        <v>482</v>
      </c>
      <c r="E32" s="276" t="s">
        <v>278</v>
      </c>
      <c r="F32" s="273"/>
    </row>
    <row r="33" spans="2:6" s="242" customFormat="1" x14ac:dyDescent="0.25">
      <c r="B33" s="243" t="s">
        <v>252</v>
      </c>
      <c r="C33" s="243"/>
      <c r="D33" s="243" t="s">
        <v>368</v>
      </c>
      <c r="E33" s="276" t="s">
        <v>278</v>
      </c>
      <c r="F33" s="308">
        <f>'E. S.'!$C$39</f>
        <v>0</v>
      </c>
    </row>
    <row r="34" spans="2:6" x14ac:dyDescent="0.25">
      <c r="B34" s="243"/>
      <c r="C34" s="243"/>
      <c r="D34" s="243"/>
      <c r="E34" s="243"/>
      <c r="F34" s="273"/>
    </row>
    <row r="35" spans="2:6" x14ac:dyDescent="0.25">
      <c r="B35" s="243" t="s">
        <v>281</v>
      </c>
      <c r="C35" s="243"/>
      <c r="D35" s="243" t="s">
        <v>270</v>
      </c>
      <c r="E35" s="276" t="s">
        <v>247</v>
      </c>
      <c r="F35" s="273"/>
    </row>
    <row r="36" spans="2:6" x14ac:dyDescent="0.25">
      <c r="B36" s="243" t="s">
        <v>281</v>
      </c>
      <c r="C36" s="243"/>
      <c r="D36" s="243" t="s">
        <v>271</v>
      </c>
      <c r="E36" s="276" t="s">
        <v>278</v>
      </c>
      <c r="F36" s="273"/>
    </row>
    <row r="37" spans="2:6" x14ac:dyDescent="0.25">
      <c r="B37" s="243" t="s">
        <v>281</v>
      </c>
      <c r="C37" s="243"/>
      <c r="D37" s="243" t="s">
        <v>272</v>
      </c>
      <c r="E37" s="276" t="s">
        <v>278</v>
      </c>
      <c r="F37" s="273"/>
    </row>
    <row r="38" spans="2:6" x14ac:dyDescent="0.25">
      <c r="B38" s="243" t="s">
        <v>281</v>
      </c>
      <c r="C38" s="243"/>
      <c r="D38" s="243" t="s">
        <v>276</v>
      </c>
      <c r="E38" s="276" t="s">
        <v>279</v>
      </c>
      <c r="F38" s="273"/>
    </row>
    <row r="39" spans="2:6" x14ac:dyDescent="0.25">
      <c r="B39" s="243" t="s">
        <v>281</v>
      </c>
      <c r="C39" s="243"/>
      <c r="D39" s="243" t="s">
        <v>273</v>
      </c>
      <c r="E39" s="276" t="s">
        <v>278</v>
      </c>
      <c r="F39" s="273"/>
    </row>
    <row r="40" spans="2:6" x14ac:dyDescent="0.25">
      <c r="B40" s="243" t="s">
        <v>281</v>
      </c>
      <c r="C40" s="243"/>
      <c r="D40" s="243" t="s">
        <v>274</v>
      </c>
      <c r="E40" s="276" t="s">
        <v>278</v>
      </c>
      <c r="F40" s="273"/>
    </row>
    <row r="41" spans="2:6" x14ac:dyDescent="0.25">
      <c r="B41" s="243" t="s">
        <v>281</v>
      </c>
      <c r="C41" s="243"/>
      <c r="D41" s="243" t="s">
        <v>275</v>
      </c>
      <c r="E41" s="276" t="s">
        <v>278</v>
      </c>
      <c r="F41" s="273"/>
    </row>
    <row r="42" spans="2:6" x14ac:dyDescent="0.25">
      <c r="B42" s="243"/>
      <c r="C42" s="243"/>
      <c r="D42" s="243"/>
      <c r="E42" s="243"/>
      <c r="F42" s="273"/>
    </row>
    <row r="43" spans="2:6" x14ac:dyDescent="0.25">
      <c r="B43" s="243"/>
      <c r="C43" s="243"/>
      <c r="D43" s="243"/>
      <c r="E43" s="243"/>
      <c r="F43" s="273"/>
    </row>
    <row r="44" spans="2:6" x14ac:dyDescent="0.25">
      <c r="B44" s="243"/>
      <c r="C44" s="243"/>
      <c r="D44" s="243"/>
      <c r="E44" s="243"/>
      <c r="F44" s="273"/>
    </row>
    <row r="45" spans="2:6" x14ac:dyDescent="0.25">
      <c r="B45" s="243"/>
      <c r="C45" s="243"/>
      <c r="D45" s="243"/>
      <c r="E45" s="243"/>
      <c r="F45" s="273"/>
    </row>
    <row r="46" spans="2:6" x14ac:dyDescent="0.25">
      <c r="B46" s="243"/>
      <c r="C46" s="243"/>
      <c r="D46" s="243"/>
      <c r="E46" s="243"/>
      <c r="F46" s="273"/>
    </row>
    <row r="47" spans="2:6" x14ac:dyDescent="0.25">
      <c r="B47" s="243"/>
      <c r="C47" s="243"/>
      <c r="D47" s="243"/>
      <c r="E47" s="243"/>
      <c r="F47" s="273"/>
    </row>
  </sheetData>
  <mergeCells count="1">
    <mergeCell ref="B2:F2"/>
  </mergeCells>
  <pageMargins left="0.98425196850393704" right="0.59055118110236215" top="1.1811023622047243" bottom="0.59055118110236215" header="0.11811023622047244" footer="0.51181102362204722"/>
  <pageSetup paperSize="9" scale="73" fitToHeight="0" orientation="portrait" r:id="rId1"/>
  <headerFooter>
    <oddHeader>&amp;L&amp;G</oddHeader>
  </headerFooter>
  <legacyDrawingHF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A1:H39"/>
  <sheetViews>
    <sheetView view="pageLayout" zoomScaleNormal="85" workbookViewId="0">
      <selection activeCell="A14" sqref="A14"/>
    </sheetView>
  </sheetViews>
  <sheetFormatPr defaultColWidth="9.140625" defaultRowHeight="15" x14ac:dyDescent="0.25"/>
  <cols>
    <col min="1" max="2" width="16.85546875" style="262" customWidth="1"/>
    <col min="3" max="3" width="77.85546875" style="260" customWidth="1"/>
    <col min="4" max="4" width="12.7109375" style="260" customWidth="1"/>
    <col min="5" max="5" width="25" style="261" customWidth="1"/>
    <col min="6" max="7" width="9.140625" style="260"/>
    <col min="8" max="8" width="18.42578125" style="260" customWidth="1"/>
    <col min="9" max="16384" width="9.140625" style="260"/>
  </cols>
  <sheetData>
    <row r="1" spans="1:8" x14ac:dyDescent="0.25">
      <c r="E1" s="260"/>
    </row>
    <row r="2" spans="1:8" ht="30" x14ac:dyDescent="0.25">
      <c r="A2" s="268" t="s">
        <v>243</v>
      </c>
      <c r="B2" s="271" t="s">
        <v>251</v>
      </c>
      <c r="C2" s="264" t="s">
        <v>54</v>
      </c>
      <c r="D2" s="264" t="s">
        <v>242</v>
      </c>
      <c r="E2" s="264" t="s">
        <v>241</v>
      </c>
    </row>
    <row r="3" spans="1:8" x14ac:dyDescent="0.25">
      <c r="A3" s="265"/>
      <c r="B3" s="265"/>
      <c r="C3" s="264"/>
      <c r="D3" s="264"/>
      <c r="E3" s="263"/>
    </row>
    <row r="4" spans="1:8" x14ac:dyDescent="0.25">
      <c r="A4" s="265">
        <v>37757</v>
      </c>
      <c r="B4" s="270" t="s">
        <v>252</v>
      </c>
      <c r="C4" s="264" t="s">
        <v>240</v>
      </c>
      <c r="D4" s="264" t="s">
        <v>222</v>
      </c>
      <c r="E4" s="263"/>
    </row>
    <row r="5" spans="1:8" x14ac:dyDescent="0.25">
      <c r="A5" s="265">
        <v>37758</v>
      </c>
      <c r="B5" s="270" t="s">
        <v>252</v>
      </c>
      <c r="C5" s="264" t="s">
        <v>235</v>
      </c>
      <c r="D5" s="264" t="s">
        <v>222</v>
      </c>
      <c r="E5" s="263"/>
    </row>
    <row r="6" spans="1:8" x14ac:dyDescent="0.25">
      <c r="A6" s="265">
        <v>37734</v>
      </c>
      <c r="B6" s="270" t="s">
        <v>252</v>
      </c>
      <c r="C6" s="264" t="s">
        <v>586</v>
      </c>
      <c r="D6" s="264" t="s">
        <v>222</v>
      </c>
      <c r="E6" s="263"/>
      <c r="H6" s="261"/>
    </row>
    <row r="7" spans="1:8" x14ac:dyDescent="0.25">
      <c r="A7" s="265">
        <v>37733</v>
      </c>
      <c r="B7" s="270" t="s">
        <v>252</v>
      </c>
      <c r="C7" s="264" t="s">
        <v>239</v>
      </c>
      <c r="D7" s="264" t="s">
        <v>222</v>
      </c>
      <c r="E7" s="263"/>
      <c r="H7" s="261"/>
    </row>
    <row r="8" spans="1:8" x14ac:dyDescent="0.25">
      <c r="A8" s="265"/>
      <c r="B8" s="265"/>
      <c r="C8" s="264" t="s">
        <v>238</v>
      </c>
      <c r="D8" s="264" t="s">
        <v>222</v>
      </c>
      <c r="E8" s="263"/>
    </row>
    <row r="9" spans="1:8" x14ac:dyDescent="0.25">
      <c r="A9" s="265">
        <v>37729</v>
      </c>
      <c r="B9" s="270" t="s">
        <v>252</v>
      </c>
      <c r="C9" s="264" t="s">
        <v>237</v>
      </c>
      <c r="D9" s="264" t="s">
        <v>222</v>
      </c>
      <c r="E9" s="263"/>
    </row>
    <row r="11" spans="1:8" x14ac:dyDescent="0.25">
      <c r="A11" s="270" t="s">
        <v>250</v>
      </c>
      <c r="B11" s="265" t="s">
        <v>6633</v>
      </c>
      <c r="C11" s="264" t="s">
        <v>236</v>
      </c>
      <c r="D11" s="264" t="s">
        <v>222</v>
      </c>
      <c r="E11" s="263" t="e">
        <f>VLOOKUP(B11,'MAPA DE COTACOES'!A:H,8,FALSE)</f>
        <v>#DIV/0!</v>
      </c>
    </row>
    <row r="12" spans="1:8" x14ac:dyDescent="0.25">
      <c r="A12" s="270" t="s">
        <v>250</v>
      </c>
      <c r="B12" s="265" t="s">
        <v>6634</v>
      </c>
      <c r="C12" s="272" t="s">
        <v>397</v>
      </c>
      <c r="D12" s="264" t="s">
        <v>222</v>
      </c>
      <c r="E12" s="263" t="e">
        <f>VLOOKUP(B12,'MAPA DE COTACOES'!A:H,8,FALSE)</f>
        <v>#DIV/0!</v>
      </c>
    </row>
    <row r="13" spans="1:8" x14ac:dyDescent="0.25">
      <c r="A13" s="270" t="s">
        <v>250</v>
      </c>
      <c r="B13" s="265" t="s">
        <v>6635</v>
      </c>
      <c r="C13" s="272" t="s">
        <v>484</v>
      </c>
      <c r="D13" s="264" t="s">
        <v>222</v>
      </c>
      <c r="E13" s="263" t="e">
        <f>VLOOKUP(B13,'MAPA DE COTACOES'!A:H,8,FALSE)</f>
        <v>#DIV/0!</v>
      </c>
    </row>
    <row r="14" spans="1:8" x14ac:dyDescent="0.25">
      <c r="A14" s="270" t="s">
        <v>250</v>
      </c>
      <c r="B14" s="265" t="s">
        <v>6636</v>
      </c>
      <c r="C14" s="272" t="s">
        <v>495</v>
      </c>
      <c r="D14" s="264" t="s">
        <v>222</v>
      </c>
      <c r="E14" s="263" t="e">
        <f>VLOOKUP(B14,'MAPA DE COTACOES'!A:H,8,FALSE)</f>
        <v>#DIV/0!</v>
      </c>
    </row>
    <row r="15" spans="1:8" x14ac:dyDescent="0.25">
      <c r="A15" s="270"/>
      <c r="B15" s="265"/>
      <c r="C15" s="272"/>
      <c r="D15" s="264"/>
      <c r="E15" s="263"/>
    </row>
    <row r="16" spans="1:8" x14ac:dyDescent="0.25">
      <c r="A16" s="265">
        <v>7640</v>
      </c>
      <c r="B16" s="270" t="s">
        <v>252</v>
      </c>
      <c r="C16" s="272" t="s">
        <v>496</v>
      </c>
      <c r="D16" s="264" t="s">
        <v>222</v>
      </c>
      <c r="E16" s="263"/>
    </row>
    <row r="17" spans="1:6" x14ac:dyDescent="0.25">
      <c r="A17" s="265">
        <v>1159</v>
      </c>
      <c r="B17" s="270" t="s">
        <v>252</v>
      </c>
      <c r="C17" s="264" t="s">
        <v>227</v>
      </c>
      <c r="D17" s="264" t="s">
        <v>226</v>
      </c>
      <c r="E17" s="263"/>
      <c r="F17" s="267"/>
    </row>
    <row r="18" spans="1:6" x14ac:dyDescent="0.25">
      <c r="A18" s="265" t="s">
        <v>234</v>
      </c>
      <c r="B18" s="265" t="s">
        <v>6637</v>
      </c>
      <c r="C18" s="264" t="s">
        <v>233</v>
      </c>
      <c r="D18" s="264" t="s">
        <v>222</v>
      </c>
      <c r="E18" s="263"/>
      <c r="F18" s="267"/>
    </row>
    <row r="19" spans="1:6" x14ac:dyDescent="0.25">
      <c r="A19" s="265" t="s">
        <v>232</v>
      </c>
      <c r="B19" s="265" t="s">
        <v>6638</v>
      </c>
      <c r="C19" s="264" t="s">
        <v>231</v>
      </c>
      <c r="D19" s="264" t="s">
        <v>222</v>
      </c>
      <c r="E19" s="263"/>
      <c r="F19" s="267"/>
    </row>
    <row r="20" spans="1:6" x14ac:dyDescent="0.25">
      <c r="A20" s="265"/>
      <c r="B20" s="265"/>
      <c r="C20" s="264"/>
      <c r="D20" s="264"/>
      <c r="E20" s="264"/>
      <c r="F20" s="267"/>
    </row>
    <row r="21" spans="1:6" ht="30" x14ac:dyDescent="0.25">
      <c r="A21" s="265">
        <v>4262</v>
      </c>
      <c r="B21" s="270" t="s">
        <v>252</v>
      </c>
      <c r="C21" s="266" t="s">
        <v>230</v>
      </c>
      <c r="D21" s="264" t="s">
        <v>222</v>
      </c>
      <c r="E21" s="263"/>
      <c r="F21" s="267"/>
    </row>
    <row r="22" spans="1:6" x14ac:dyDescent="0.25">
      <c r="A22" s="265">
        <v>6046</v>
      </c>
      <c r="B22" s="270" t="s">
        <v>252</v>
      </c>
      <c r="C22" s="264" t="s">
        <v>229</v>
      </c>
      <c r="D22" s="264" t="s">
        <v>222</v>
      </c>
      <c r="E22" s="263"/>
    </row>
    <row r="23" spans="1:6" ht="30" x14ac:dyDescent="0.25">
      <c r="A23" s="265">
        <v>37514</v>
      </c>
      <c r="B23" s="270" t="s">
        <v>252</v>
      </c>
      <c r="C23" s="266" t="s">
        <v>228</v>
      </c>
      <c r="D23" s="264" t="s">
        <v>222</v>
      </c>
      <c r="E23" s="263"/>
    </row>
    <row r="24" spans="1:6" x14ac:dyDescent="0.25">
      <c r="A24" s="265"/>
      <c r="B24" s="265"/>
      <c r="C24" s="264"/>
      <c r="D24" s="264"/>
      <c r="E24" s="263"/>
    </row>
    <row r="25" spans="1:6" x14ac:dyDescent="0.25">
      <c r="A25" s="270" t="s">
        <v>250</v>
      </c>
      <c r="B25" s="270" t="s">
        <v>6639</v>
      </c>
      <c r="C25" s="264" t="s">
        <v>185</v>
      </c>
      <c r="D25" s="264" t="s">
        <v>222</v>
      </c>
      <c r="E25" s="263" t="e">
        <f>VLOOKUP(B25,'MAPA DE COTACOES'!A:H,8,FALSE)</f>
        <v>#DIV/0!</v>
      </c>
    </row>
    <row r="26" spans="1:6" x14ac:dyDescent="0.25">
      <c r="A26" s="265"/>
      <c r="B26" s="265"/>
      <c r="C26" s="264"/>
      <c r="D26" s="264"/>
      <c r="E26" s="263"/>
    </row>
    <row r="27" spans="1:6" x14ac:dyDescent="0.25">
      <c r="A27" s="265" t="s">
        <v>225</v>
      </c>
      <c r="B27" s="265"/>
      <c r="C27" s="264" t="s">
        <v>224</v>
      </c>
      <c r="D27" s="264" t="s">
        <v>222</v>
      </c>
      <c r="E27" s="263"/>
    </row>
    <row r="28" spans="1:6" x14ac:dyDescent="0.25">
      <c r="A28" s="265" t="s">
        <v>6017</v>
      </c>
      <c r="B28" s="265"/>
      <c r="C28" s="272" t="s">
        <v>633</v>
      </c>
      <c r="D28" s="264" t="s">
        <v>222</v>
      </c>
      <c r="E28" s="263"/>
    </row>
    <row r="29" spans="1:6" x14ac:dyDescent="0.25">
      <c r="A29" s="265" t="s">
        <v>6185</v>
      </c>
      <c r="B29" s="265"/>
      <c r="C29" s="272" t="s">
        <v>637</v>
      </c>
      <c r="D29" s="264" t="s">
        <v>222</v>
      </c>
      <c r="E29" s="263"/>
    </row>
    <row r="30" spans="1:6" x14ac:dyDescent="0.25">
      <c r="A30" s="265"/>
      <c r="B30" s="265"/>
      <c r="C30" s="264"/>
      <c r="D30" s="264"/>
      <c r="E30" s="263"/>
    </row>
    <row r="31" spans="1:6" x14ac:dyDescent="0.25">
      <c r="A31" s="270" t="s">
        <v>250</v>
      </c>
      <c r="B31" s="270" t="s">
        <v>6640</v>
      </c>
      <c r="C31" s="264" t="s">
        <v>136</v>
      </c>
      <c r="D31" s="264" t="s">
        <v>94</v>
      </c>
      <c r="E31" s="263" t="e">
        <f>VLOOKUP(B31,'MAPA DE COTACOES'!A:H,8,FALSE)</f>
        <v>#DIV/0!</v>
      </c>
    </row>
    <row r="32" spans="1:6" x14ac:dyDescent="0.25">
      <c r="A32" s="270" t="s">
        <v>250</v>
      </c>
      <c r="B32" s="270" t="s">
        <v>6641</v>
      </c>
      <c r="C32" s="264" t="s">
        <v>134</v>
      </c>
      <c r="D32" s="264" t="s">
        <v>94</v>
      </c>
      <c r="E32" s="263" t="e">
        <f>VLOOKUP(B32,'MAPA DE COTACOES'!A:H,8,FALSE)</f>
        <v>#DIV/0!</v>
      </c>
    </row>
    <row r="33" spans="1:5" x14ac:dyDescent="0.25">
      <c r="A33" s="270" t="s">
        <v>250</v>
      </c>
      <c r="B33" s="270" t="s">
        <v>6642</v>
      </c>
      <c r="C33" s="264" t="s">
        <v>132</v>
      </c>
      <c r="D33" s="264" t="s">
        <v>94</v>
      </c>
      <c r="E33" s="263" t="e">
        <f>VLOOKUP(B33,'MAPA DE COTACOES'!A:H,8,FALSE)</f>
        <v>#DIV/0!</v>
      </c>
    </row>
    <row r="34" spans="1:5" x14ac:dyDescent="0.25">
      <c r="A34" s="270" t="s">
        <v>250</v>
      </c>
      <c r="B34" s="270" t="s">
        <v>6643</v>
      </c>
      <c r="C34" s="272" t="s">
        <v>628</v>
      </c>
      <c r="D34" s="272" t="s">
        <v>627</v>
      </c>
      <c r="E34" s="263" t="e">
        <f>VLOOKUP(B34,'MAPA DE COTACOES'!A:H,8,FALSE)</f>
        <v>#DIV/0!</v>
      </c>
    </row>
    <row r="35" spans="1:5" x14ac:dyDescent="0.25">
      <c r="A35" s="270" t="s">
        <v>250</v>
      </c>
      <c r="B35" s="270" t="s">
        <v>6644</v>
      </c>
      <c r="C35" s="264" t="s">
        <v>223</v>
      </c>
      <c r="D35" s="264" t="s">
        <v>222</v>
      </c>
      <c r="E35" s="263" t="e">
        <f>VLOOKUP(B35,'MAPA DE COTACOES'!A:H,8,FALSE)</f>
        <v>#DIV/0!</v>
      </c>
    </row>
    <row r="36" spans="1:5" x14ac:dyDescent="0.25">
      <c r="A36" s="270" t="s">
        <v>250</v>
      </c>
      <c r="B36" s="270" t="s">
        <v>6645</v>
      </c>
      <c r="C36" s="264" t="s">
        <v>6659</v>
      </c>
      <c r="D36" s="264" t="s">
        <v>498</v>
      </c>
      <c r="E36" s="263" t="e">
        <f>VLOOKUP(B36,'MAPA DE COTACOES'!A:H,8,FALSE)</f>
        <v>#DIV/0!</v>
      </c>
    </row>
    <row r="37" spans="1:5" x14ac:dyDescent="0.25">
      <c r="A37" s="270" t="s">
        <v>250</v>
      </c>
      <c r="B37" s="270" t="s">
        <v>6669</v>
      </c>
      <c r="C37" s="272" t="s">
        <v>6671</v>
      </c>
      <c r="D37" s="272" t="s">
        <v>627</v>
      </c>
      <c r="E37" s="263" t="e">
        <f>VLOOKUP(B37,'MAPA DE COTACOES'!A:H,8,FALSE)</f>
        <v>#DIV/0!</v>
      </c>
    </row>
    <row r="38" spans="1:5" x14ac:dyDescent="0.25">
      <c r="A38" s="265">
        <v>4221</v>
      </c>
      <c r="B38" s="270" t="s">
        <v>252</v>
      </c>
      <c r="C38" s="272" t="s">
        <v>253</v>
      </c>
      <c r="D38" s="264" t="s">
        <v>221</v>
      </c>
      <c r="E38" s="263"/>
    </row>
    <row r="39" spans="1:5" x14ac:dyDescent="0.25">
      <c r="A39" s="265">
        <v>4222</v>
      </c>
      <c r="B39" s="270" t="s">
        <v>252</v>
      </c>
      <c r="C39" s="264" t="s">
        <v>220</v>
      </c>
      <c r="D39" s="264" t="s">
        <v>219</v>
      </c>
      <c r="E39" s="263"/>
    </row>
  </sheetData>
  <autoFilter ref="A2:E39" xr:uid="{00000000-0009-0000-0000-000035000000}"/>
  <phoneticPr fontId="10" type="noConversion"/>
  <pageMargins left="0.98425196850393704" right="0.59055118110236215" top="1.1811023622047243" bottom="0.59055118110236215" header="0.11811023622047244" footer="0.51181102362204722"/>
  <pageSetup paperSize="9" scale="57" fitToHeight="0" orientation="portrait" r:id="rId1"/>
  <headerFooter>
    <oddHeader>&amp;L&amp;G</oddHeader>
  </headerFooter>
  <legacyDrawingHF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2:C34"/>
  <sheetViews>
    <sheetView showGridLines="0" view="pageLayout" zoomScaleNormal="100" workbookViewId="0">
      <selection activeCell="E16" sqref="E16"/>
    </sheetView>
  </sheetViews>
  <sheetFormatPr defaultColWidth="9.140625" defaultRowHeight="15" x14ac:dyDescent="0.25"/>
  <cols>
    <col min="1" max="1" width="11.5703125" style="241" customWidth="1"/>
    <col min="2" max="2" width="47.42578125" style="242" customWidth="1"/>
    <col min="3" max="3" width="15.85546875" style="242" customWidth="1"/>
    <col min="4" max="16384" width="9.140625" style="241"/>
  </cols>
  <sheetData>
    <row r="2" spans="1:3" x14ac:dyDescent="0.25">
      <c r="B2" s="259" t="s">
        <v>218</v>
      </c>
      <c r="C2" s="554"/>
    </row>
    <row r="3" spans="1:3" x14ac:dyDescent="0.25">
      <c r="B3" s="248"/>
      <c r="C3" s="248"/>
    </row>
    <row r="4" spans="1:3" x14ac:dyDescent="0.25">
      <c r="B4" s="256" t="s">
        <v>217</v>
      </c>
      <c r="C4" s="255"/>
    </row>
    <row r="5" spans="1:3" x14ac:dyDescent="0.25">
      <c r="A5" s="247" t="s">
        <v>250</v>
      </c>
      <c r="B5" s="247" t="s">
        <v>464</v>
      </c>
      <c r="C5" s="247" t="s">
        <v>50</v>
      </c>
    </row>
    <row r="6" spans="1:3" x14ac:dyDescent="0.25">
      <c r="A6" s="244" t="s">
        <v>6646</v>
      </c>
      <c r="B6" s="244" t="s">
        <v>90</v>
      </c>
      <c r="C6" s="253" t="e">
        <f>VLOOKUP(A6,'MAPA DE COTACOES'!A:H,8,FALSE)</f>
        <v>#DIV/0!</v>
      </c>
    </row>
    <row r="7" spans="1:3" x14ac:dyDescent="0.25">
      <c r="A7" s="243" t="s">
        <v>6647</v>
      </c>
      <c r="B7" s="243" t="s">
        <v>216</v>
      </c>
      <c r="C7" s="251" t="e">
        <f>VLOOKUP(A7,'MAPA DE COTACOES'!A:H,8,FALSE)</f>
        <v>#DIV/0!</v>
      </c>
    </row>
    <row r="8" spans="1:3" x14ac:dyDescent="0.25">
      <c r="A8" s="243" t="s">
        <v>252</v>
      </c>
      <c r="B8" s="243" t="s">
        <v>88</v>
      </c>
      <c r="C8" s="251"/>
    </row>
    <row r="9" spans="1:3" x14ac:dyDescent="0.25">
      <c r="A9" s="243" t="s">
        <v>252</v>
      </c>
      <c r="B9" s="243" t="s">
        <v>215</v>
      </c>
      <c r="C9" s="251"/>
    </row>
    <row r="10" spans="1:3" x14ac:dyDescent="0.25">
      <c r="A10" s="243" t="s">
        <v>6648</v>
      </c>
      <c r="B10" s="243" t="s">
        <v>214</v>
      </c>
      <c r="C10" s="251" t="e">
        <f>VLOOKUP(A10,'MAPA DE COTACOES'!A:H,8,FALSE)</f>
        <v>#DIV/0!</v>
      </c>
    </row>
    <row r="11" spans="1:3" x14ac:dyDescent="0.25">
      <c r="A11" s="243" t="s">
        <v>6649</v>
      </c>
      <c r="B11" s="243" t="s">
        <v>115</v>
      </c>
      <c r="C11" s="251" t="e">
        <f>VLOOKUP(A11,'MAPA DE COTACOES'!A:H,8,FALSE)</f>
        <v>#DIV/0!</v>
      </c>
    </row>
    <row r="12" spans="1:3" x14ac:dyDescent="0.25">
      <c r="A12" s="243" t="s">
        <v>252</v>
      </c>
      <c r="B12" s="243" t="s">
        <v>86</v>
      </c>
      <c r="C12" s="251"/>
    </row>
    <row r="13" spans="1:3" x14ac:dyDescent="0.25">
      <c r="A13" s="243" t="s">
        <v>6650</v>
      </c>
      <c r="B13" s="243" t="s">
        <v>110</v>
      </c>
      <c r="C13" s="251" t="e">
        <f>VLOOKUP(A13,'MAPA DE COTACOES'!A:H,8,FALSE)</f>
        <v>#DIV/0!</v>
      </c>
    </row>
    <row r="14" spans="1:3" x14ac:dyDescent="0.25">
      <c r="A14" s="245" t="s">
        <v>252</v>
      </c>
      <c r="B14" s="245" t="s">
        <v>213</v>
      </c>
      <c r="C14" s="249"/>
    </row>
    <row r="15" spans="1:3" ht="5.0999999999999996" customHeight="1" x14ac:dyDescent="0.25">
      <c r="A15" s="258">
        <v>0</v>
      </c>
      <c r="B15" s="258"/>
      <c r="C15" s="257"/>
    </row>
    <row r="16" spans="1:3" x14ac:dyDescent="0.25">
      <c r="A16" s="555">
        <v>0</v>
      </c>
      <c r="B16" s="256" t="s">
        <v>212</v>
      </c>
      <c r="C16" s="255"/>
    </row>
    <row r="17" spans="1:3" x14ac:dyDescent="0.25">
      <c r="A17" s="247" t="s">
        <v>250</v>
      </c>
      <c r="B17" s="247" t="s">
        <v>464</v>
      </c>
      <c r="C17" s="247" t="s">
        <v>50</v>
      </c>
    </row>
    <row r="18" spans="1:3" x14ac:dyDescent="0.25">
      <c r="A18" s="254" t="s">
        <v>6651</v>
      </c>
      <c r="B18" s="254" t="s">
        <v>16</v>
      </c>
      <c r="C18" s="253" t="e">
        <f>VLOOKUP(A18,'MAPA DE COTACOES'!A:H,8,FALSE)</f>
        <v>#DIV/0!</v>
      </c>
    </row>
    <row r="19" spans="1:3" x14ac:dyDescent="0.25">
      <c r="A19" s="252" t="s">
        <v>252</v>
      </c>
      <c r="B19" s="252" t="s">
        <v>210</v>
      </c>
      <c r="C19" s="251"/>
    </row>
    <row r="20" spans="1:3" x14ac:dyDescent="0.25">
      <c r="A20" s="252" t="s">
        <v>252</v>
      </c>
      <c r="B20" s="252" t="s">
        <v>209</v>
      </c>
      <c r="C20" s="251"/>
    </row>
    <row r="21" spans="1:3" x14ac:dyDescent="0.25">
      <c r="A21" s="252" t="s">
        <v>252</v>
      </c>
      <c r="B21" s="252" t="s">
        <v>8</v>
      </c>
      <c r="C21" s="251"/>
    </row>
    <row r="22" spans="1:3" x14ac:dyDescent="0.25">
      <c r="A22" s="252" t="s">
        <v>252</v>
      </c>
      <c r="B22" s="252" t="s">
        <v>6</v>
      </c>
      <c r="C22" s="251"/>
    </row>
    <row r="23" spans="1:3" x14ac:dyDescent="0.25">
      <c r="A23" s="252" t="s">
        <v>252</v>
      </c>
      <c r="B23" s="252" t="s">
        <v>208</v>
      </c>
      <c r="C23" s="251"/>
    </row>
    <row r="24" spans="1:3" x14ac:dyDescent="0.25">
      <c r="A24" s="252" t="s">
        <v>252</v>
      </c>
      <c r="B24" s="252" t="s">
        <v>207</v>
      </c>
      <c r="C24" s="251"/>
    </row>
    <row r="25" spans="1:3" x14ac:dyDescent="0.25">
      <c r="A25" s="252" t="s">
        <v>252</v>
      </c>
      <c r="B25" s="252" t="s">
        <v>206</v>
      </c>
      <c r="C25" s="251"/>
    </row>
    <row r="26" spans="1:3" x14ac:dyDescent="0.25">
      <c r="A26" s="252" t="s">
        <v>6652</v>
      </c>
      <c r="B26" s="252" t="s">
        <v>58</v>
      </c>
      <c r="C26" s="251" t="e">
        <f>VLOOKUP(A26,'MAPA DE COTACOES'!A:H,8,FALSE)</f>
        <v>#DIV/0!</v>
      </c>
    </row>
    <row r="27" spans="1:3" x14ac:dyDescent="0.25">
      <c r="A27" s="252" t="s">
        <v>252</v>
      </c>
      <c r="B27" s="252" t="s">
        <v>205</v>
      </c>
      <c r="C27" s="251"/>
    </row>
    <row r="28" spans="1:3" x14ac:dyDescent="0.25">
      <c r="A28" s="252" t="s">
        <v>252</v>
      </c>
      <c r="B28" s="252" t="s">
        <v>204</v>
      </c>
      <c r="C28" s="251"/>
    </row>
    <row r="29" spans="1:3" x14ac:dyDescent="0.25">
      <c r="A29" s="252" t="s">
        <v>252</v>
      </c>
      <c r="B29" s="252" t="s">
        <v>203</v>
      </c>
      <c r="C29" s="251"/>
    </row>
    <row r="30" spans="1:3" x14ac:dyDescent="0.25">
      <c r="A30" s="252" t="s">
        <v>6653</v>
      </c>
      <c r="B30" s="252" t="s">
        <v>4</v>
      </c>
      <c r="C30" s="251" t="e">
        <f>VLOOKUP(A30,'MAPA DE COTACOES'!A:H,8,FALSE)</f>
        <v>#DIV/0!</v>
      </c>
    </row>
    <row r="31" spans="1:3" x14ac:dyDescent="0.25">
      <c r="A31" s="252" t="s">
        <v>6654</v>
      </c>
      <c r="B31" s="252" t="s">
        <v>14</v>
      </c>
      <c r="C31" s="251" t="e">
        <f>VLOOKUP(A31,'MAPA DE COTACOES'!A:H,8,FALSE)</f>
        <v>#DIV/0!</v>
      </c>
    </row>
    <row r="32" spans="1:3" x14ac:dyDescent="0.25">
      <c r="A32" s="252" t="s">
        <v>6655</v>
      </c>
      <c r="B32" s="252" t="s">
        <v>12</v>
      </c>
      <c r="C32" s="251" t="e">
        <f>VLOOKUP(A32,'MAPA DE COTACOES'!A:H,8,FALSE)</f>
        <v>#DIV/0!</v>
      </c>
    </row>
    <row r="33" spans="1:3" x14ac:dyDescent="0.25">
      <c r="A33" s="252" t="s">
        <v>252</v>
      </c>
      <c r="B33" s="252" t="s">
        <v>10</v>
      </c>
      <c r="C33" s="251"/>
    </row>
    <row r="34" spans="1:3" x14ac:dyDescent="0.25">
      <c r="A34" s="250" t="s">
        <v>6656</v>
      </c>
      <c r="B34" s="250" t="s">
        <v>202</v>
      </c>
      <c r="C34" s="249" t="e">
        <f>VLOOKUP(A34,'MAPA DE COTACOES'!A:H,8,FALSE)</f>
        <v>#DIV/0!</v>
      </c>
    </row>
  </sheetData>
  <phoneticPr fontId="10" type="noConversion"/>
  <pageMargins left="0.98425196850393704" right="0.59055118110236215" top="1.1811023622047243" bottom="0.59055118110236215" header="0.11811023622047244" footer="0.51181102362204722"/>
  <pageSetup paperSize="9" fitToHeight="0" orientation="portrait" r:id="rId1"/>
  <headerFooter>
    <oddHeader>&amp;L&amp;G</oddHeader>
  </headerFooter>
  <legacyDrawingHF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pageSetUpPr fitToPage="1"/>
  </sheetPr>
  <dimension ref="A1:H142"/>
  <sheetViews>
    <sheetView tabSelected="1" view="pageLayout" zoomScaleNormal="100" zoomScaleSheetLayoutView="100" workbookViewId="0">
      <selection activeCell="G12" sqref="G12"/>
    </sheetView>
  </sheetViews>
  <sheetFormatPr defaultRowHeight="15" x14ac:dyDescent="0.25"/>
  <cols>
    <col min="1" max="1" width="13.42578125" customWidth="1"/>
    <col min="2" max="2" width="20" customWidth="1"/>
    <col min="3" max="3" width="48.42578125" customWidth="1"/>
    <col min="4" max="4" width="14.7109375" customWidth="1"/>
    <col min="5" max="5" width="15.140625" customWidth="1"/>
    <col min="6" max="6" width="27.7109375" customWidth="1"/>
    <col min="7" max="7" width="16" customWidth="1"/>
    <col min="8" max="8" width="13.140625" customWidth="1"/>
  </cols>
  <sheetData>
    <row r="1" spans="1:8" x14ac:dyDescent="0.25">
      <c r="A1" s="756" t="s">
        <v>6657</v>
      </c>
      <c r="B1" s="757"/>
      <c r="C1" s="757"/>
      <c r="D1" s="757"/>
      <c r="E1" s="757"/>
      <c r="F1" s="757"/>
      <c r="G1" s="757"/>
      <c r="H1" s="758" t="s">
        <v>6658</v>
      </c>
    </row>
    <row r="2" spans="1:8" x14ac:dyDescent="0.25">
      <c r="A2" s="760" t="s">
        <v>6623</v>
      </c>
      <c r="B2" s="761"/>
      <c r="C2" s="761"/>
      <c r="D2" s="761"/>
      <c r="E2" s="761"/>
      <c r="F2" s="761"/>
      <c r="G2" s="761"/>
      <c r="H2" s="759"/>
    </row>
    <row r="3" spans="1:8" x14ac:dyDescent="0.25">
      <c r="A3" s="762" t="s">
        <v>6624</v>
      </c>
      <c r="B3" s="764" t="str">
        <f>'ORÇAMENTO GERAL'!A1</f>
        <v>Limpeza Urbana</v>
      </c>
      <c r="C3" s="764"/>
      <c r="D3" s="764"/>
      <c r="E3" s="764"/>
      <c r="F3" s="764"/>
      <c r="G3" s="764"/>
      <c r="H3" s="557"/>
    </row>
    <row r="4" spans="1:8" x14ac:dyDescent="0.25">
      <c r="A4" s="763"/>
      <c r="B4" s="765"/>
      <c r="C4" s="765"/>
      <c r="D4" s="765"/>
      <c r="E4" s="765"/>
      <c r="F4" s="765"/>
      <c r="G4" s="765"/>
      <c r="H4" s="558"/>
    </row>
    <row r="5" spans="1:8" ht="27" x14ac:dyDescent="0.25">
      <c r="A5" s="565" t="s">
        <v>6625</v>
      </c>
      <c r="B5" s="565" t="s">
        <v>6626</v>
      </c>
      <c r="C5" s="565" t="s">
        <v>6627</v>
      </c>
      <c r="D5" s="565" t="s">
        <v>6628</v>
      </c>
      <c r="E5" s="565" t="s">
        <v>6629</v>
      </c>
      <c r="F5" s="565" t="s">
        <v>6630</v>
      </c>
      <c r="G5" s="565" t="s">
        <v>6631</v>
      </c>
      <c r="H5" s="566" t="s">
        <v>6632</v>
      </c>
    </row>
    <row r="7" spans="1:8" x14ac:dyDescent="0.25">
      <c r="A7" s="559" t="s">
        <v>6633</v>
      </c>
      <c r="B7" s="754" t="s">
        <v>236</v>
      </c>
      <c r="C7" s="755"/>
      <c r="D7" s="755"/>
      <c r="E7" s="755"/>
      <c r="F7" s="755"/>
      <c r="G7" s="755"/>
      <c r="H7" s="560" t="e">
        <f>IF(AVERAGE(H9:H11)&gt;MEDIAN(H9:H11),AVERAGE(H9:H11),MEDIAN(H9:H11))</f>
        <v>#DIV/0!</v>
      </c>
    </row>
    <row r="8" spans="1:8" x14ac:dyDescent="0.25">
      <c r="A8" s="561" t="s">
        <v>6633</v>
      </c>
      <c r="B8" s="562"/>
      <c r="C8" s="562"/>
      <c r="D8" s="562"/>
      <c r="E8" s="562"/>
      <c r="F8" s="562"/>
      <c r="G8" s="563"/>
      <c r="H8" s="564"/>
    </row>
    <row r="9" spans="1:8" x14ac:dyDescent="0.25">
      <c r="A9" s="561" t="s">
        <v>6633</v>
      </c>
      <c r="B9" s="562"/>
      <c r="C9" s="562"/>
      <c r="D9" s="562"/>
      <c r="E9" s="562"/>
      <c r="F9" s="562"/>
      <c r="G9" s="563"/>
      <c r="H9" s="564"/>
    </row>
    <row r="10" spans="1:8" x14ac:dyDescent="0.25">
      <c r="A10" s="561" t="s">
        <v>6633</v>
      </c>
      <c r="B10" s="562"/>
      <c r="C10" s="562"/>
      <c r="D10" s="562"/>
      <c r="E10" s="562"/>
      <c r="F10" s="562"/>
      <c r="G10" s="563"/>
      <c r="H10" s="564"/>
    </row>
    <row r="13" spans="1:8" ht="15" customHeight="1" x14ac:dyDescent="0.25">
      <c r="A13" s="559" t="s">
        <v>6634</v>
      </c>
      <c r="B13" s="754" t="s">
        <v>397</v>
      </c>
      <c r="C13" s="755"/>
      <c r="D13" s="755"/>
      <c r="E13" s="755"/>
      <c r="F13" s="755"/>
      <c r="G13" s="755"/>
      <c r="H13" s="560" t="e">
        <f>IF(AVERAGE(H15:H17)&gt;MEDIAN(H15:H17),AVERAGE(H15:H17),MEDIAN(H15:H17))</f>
        <v>#DIV/0!</v>
      </c>
    </row>
    <row r="14" spans="1:8" x14ac:dyDescent="0.25">
      <c r="A14" s="561" t="s">
        <v>6634</v>
      </c>
      <c r="B14" s="562"/>
      <c r="C14" s="562"/>
      <c r="D14" s="562"/>
      <c r="E14" s="562"/>
      <c r="F14" s="562"/>
      <c r="G14" s="563"/>
      <c r="H14" s="564"/>
    </row>
    <row r="15" spans="1:8" x14ac:dyDescent="0.25">
      <c r="A15" s="561" t="s">
        <v>6634</v>
      </c>
      <c r="B15" s="562"/>
      <c r="C15" s="562"/>
      <c r="D15" s="562"/>
      <c r="E15" s="562"/>
      <c r="F15" s="562"/>
      <c r="G15" s="563"/>
      <c r="H15" s="564"/>
    </row>
    <row r="16" spans="1:8" x14ac:dyDescent="0.25">
      <c r="A16" s="561" t="s">
        <v>6634</v>
      </c>
      <c r="B16" s="562"/>
      <c r="C16" s="562"/>
      <c r="D16" s="562"/>
      <c r="E16" s="562"/>
      <c r="F16" s="562"/>
      <c r="G16" s="563"/>
      <c r="H16" s="564"/>
    </row>
    <row r="19" spans="1:8" ht="15" customHeight="1" x14ac:dyDescent="0.25">
      <c r="A19" s="559" t="s">
        <v>6635</v>
      </c>
      <c r="B19" s="754" t="s">
        <v>484</v>
      </c>
      <c r="C19" s="755"/>
      <c r="D19" s="755"/>
      <c r="E19" s="755"/>
      <c r="F19" s="755"/>
      <c r="G19" s="755"/>
      <c r="H19" s="560" t="e">
        <f>IF(AVERAGE(H21:H23)&gt;MEDIAN(H21:H23),AVERAGE(H21:H23),MEDIAN(H21:H23))</f>
        <v>#DIV/0!</v>
      </c>
    </row>
    <row r="20" spans="1:8" x14ac:dyDescent="0.25">
      <c r="A20" s="561" t="s">
        <v>6635</v>
      </c>
      <c r="B20" s="562"/>
      <c r="C20" s="562"/>
      <c r="D20" s="562"/>
      <c r="E20" s="562"/>
      <c r="F20" s="562"/>
      <c r="G20" s="563"/>
      <c r="H20" s="564"/>
    </row>
    <row r="21" spans="1:8" x14ac:dyDescent="0.25">
      <c r="A21" s="561" t="s">
        <v>6635</v>
      </c>
      <c r="B21" s="562"/>
      <c r="C21" s="562"/>
      <c r="D21" s="562"/>
      <c r="E21" s="562"/>
      <c r="F21" s="562"/>
      <c r="G21" s="563"/>
      <c r="H21" s="564"/>
    </row>
    <row r="22" spans="1:8" x14ac:dyDescent="0.25">
      <c r="A22" s="561" t="s">
        <v>6635</v>
      </c>
      <c r="B22" s="562"/>
      <c r="C22" s="562"/>
      <c r="D22" s="562"/>
      <c r="E22" s="562"/>
      <c r="F22" s="562"/>
      <c r="G22" s="563"/>
      <c r="H22" s="564"/>
    </row>
    <row r="25" spans="1:8" ht="15" customHeight="1" x14ac:dyDescent="0.25">
      <c r="A25" s="559" t="s">
        <v>6636</v>
      </c>
      <c r="B25" s="754" t="s">
        <v>495</v>
      </c>
      <c r="C25" s="755"/>
      <c r="D25" s="755"/>
      <c r="E25" s="755"/>
      <c r="F25" s="755"/>
      <c r="G25" s="755"/>
      <c r="H25" s="560" t="e">
        <f>IF(AVERAGE(H27:H29)&gt;MEDIAN(H27:H29),AVERAGE(H27:H29),MEDIAN(H27:H29))</f>
        <v>#DIV/0!</v>
      </c>
    </row>
    <row r="26" spans="1:8" x14ac:dyDescent="0.25">
      <c r="A26" s="561" t="s">
        <v>6636</v>
      </c>
      <c r="B26" s="562"/>
      <c r="C26" s="562"/>
      <c r="D26" s="562"/>
      <c r="E26" s="562"/>
      <c r="F26" s="562"/>
      <c r="G26" s="563"/>
      <c r="H26" s="564"/>
    </row>
    <row r="27" spans="1:8" x14ac:dyDescent="0.25">
      <c r="A27" s="561" t="s">
        <v>6636</v>
      </c>
      <c r="B27" s="562"/>
      <c r="C27" s="562"/>
      <c r="D27" s="562"/>
      <c r="E27" s="562"/>
      <c r="F27" s="562"/>
      <c r="G27" s="563"/>
      <c r="H27" s="564"/>
    </row>
    <row r="28" spans="1:8" x14ac:dyDescent="0.25">
      <c r="A28" s="561" t="s">
        <v>6636</v>
      </c>
      <c r="B28" s="562"/>
      <c r="C28" s="562"/>
      <c r="D28" s="562"/>
      <c r="E28" s="562"/>
      <c r="F28" s="562"/>
      <c r="G28" s="563"/>
      <c r="H28" s="564"/>
    </row>
    <row r="31" spans="1:8" ht="15" customHeight="1" x14ac:dyDescent="0.25">
      <c r="A31" s="559" t="s">
        <v>6639</v>
      </c>
      <c r="B31" s="754" t="s">
        <v>185</v>
      </c>
      <c r="C31" s="755"/>
      <c r="D31" s="755"/>
      <c r="E31" s="755"/>
      <c r="F31" s="755"/>
      <c r="G31" s="755"/>
      <c r="H31" s="560" t="e">
        <f>IF(AVERAGE(H33:H35)&gt;MEDIAN(H33:H35),AVERAGE(H33:H35),MEDIAN(H33:H35))</f>
        <v>#DIV/0!</v>
      </c>
    </row>
    <row r="32" spans="1:8" x14ac:dyDescent="0.25">
      <c r="A32" s="561" t="s">
        <v>6639</v>
      </c>
      <c r="B32" s="562"/>
      <c r="C32" s="562"/>
      <c r="D32" s="562"/>
      <c r="E32" s="562"/>
      <c r="F32" s="562"/>
      <c r="G32" s="563"/>
      <c r="H32" s="564"/>
    </row>
    <row r="33" spans="1:8" x14ac:dyDescent="0.25">
      <c r="A33" s="561" t="s">
        <v>6639</v>
      </c>
      <c r="B33" s="562"/>
      <c r="C33" s="562"/>
      <c r="D33" s="562"/>
      <c r="E33" s="562"/>
      <c r="F33" s="562"/>
      <c r="G33" s="563"/>
      <c r="H33" s="564"/>
    </row>
    <row r="34" spans="1:8" x14ac:dyDescent="0.25">
      <c r="A34" s="561" t="s">
        <v>6639</v>
      </c>
      <c r="B34" s="562"/>
      <c r="C34" s="562"/>
      <c r="D34" s="562"/>
      <c r="E34" s="562"/>
      <c r="F34" s="562"/>
      <c r="G34" s="563"/>
      <c r="H34" s="564"/>
    </row>
    <row r="37" spans="1:8" x14ac:dyDescent="0.25">
      <c r="A37" s="559" t="s">
        <v>6640</v>
      </c>
      <c r="B37" s="754" t="s">
        <v>136</v>
      </c>
      <c r="C37" s="755"/>
      <c r="D37" s="755"/>
      <c r="E37" s="755"/>
      <c r="F37" s="755"/>
      <c r="G37" s="755"/>
      <c r="H37" s="560" t="e">
        <f>IF(AVERAGE(H39:H41)&gt;MEDIAN(H39:H41),AVERAGE(H39:H41),MEDIAN(H39:H41))</f>
        <v>#DIV/0!</v>
      </c>
    </row>
    <row r="38" spans="1:8" x14ac:dyDescent="0.25">
      <c r="A38" s="561" t="s">
        <v>6640</v>
      </c>
      <c r="B38" s="562"/>
      <c r="C38" s="562"/>
      <c r="D38" s="562"/>
      <c r="E38" s="562"/>
      <c r="F38" s="562"/>
      <c r="G38" s="563"/>
      <c r="H38" s="564"/>
    </row>
    <row r="39" spans="1:8" x14ac:dyDescent="0.25">
      <c r="A39" s="561" t="s">
        <v>6640</v>
      </c>
      <c r="B39" s="562"/>
      <c r="C39" s="562"/>
      <c r="D39" s="562"/>
      <c r="E39" s="562"/>
      <c r="F39" s="562"/>
      <c r="G39" s="563"/>
      <c r="H39" s="564"/>
    </row>
    <row r="40" spans="1:8" x14ac:dyDescent="0.25">
      <c r="A40" s="561" t="s">
        <v>6640</v>
      </c>
      <c r="B40" s="562"/>
      <c r="C40" s="562"/>
      <c r="D40" s="562"/>
      <c r="E40" s="562"/>
      <c r="F40" s="562"/>
      <c r="G40" s="563"/>
      <c r="H40" s="564"/>
    </row>
    <row r="43" spans="1:8" ht="15" customHeight="1" x14ac:dyDescent="0.25">
      <c r="A43" s="559" t="s">
        <v>6641</v>
      </c>
      <c r="B43" s="754" t="s">
        <v>134</v>
      </c>
      <c r="C43" s="755"/>
      <c r="D43" s="755"/>
      <c r="E43" s="755"/>
      <c r="F43" s="755"/>
      <c r="G43" s="755"/>
      <c r="H43" s="560" t="e">
        <f>IF(AVERAGE(H45:H47)&gt;MEDIAN(H45:H47),AVERAGE(H45:H47),MEDIAN(H45:H47))</f>
        <v>#DIV/0!</v>
      </c>
    </row>
    <row r="44" spans="1:8" x14ac:dyDescent="0.25">
      <c r="A44" s="561" t="s">
        <v>6641</v>
      </c>
      <c r="B44" s="562"/>
      <c r="C44" s="562"/>
      <c r="D44" s="562"/>
      <c r="E44" s="562"/>
      <c r="F44" s="562"/>
      <c r="G44" s="563"/>
      <c r="H44" s="564"/>
    </row>
    <row r="45" spans="1:8" x14ac:dyDescent="0.25">
      <c r="A45" s="561" t="s">
        <v>6641</v>
      </c>
      <c r="B45" s="562"/>
      <c r="C45" s="562"/>
      <c r="D45" s="562"/>
      <c r="E45" s="562"/>
      <c r="F45" s="562"/>
      <c r="G45" s="563"/>
      <c r="H45" s="564"/>
    </row>
    <row r="46" spans="1:8" x14ac:dyDescent="0.25">
      <c r="A46" s="561" t="s">
        <v>6641</v>
      </c>
      <c r="B46" s="562"/>
      <c r="C46" s="562"/>
      <c r="D46" s="562"/>
      <c r="E46" s="562"/>
      <c r="F46" s="562"/>
      <c r="G46" s="563"/>
      <c r="H46" s="564"/>
    </row>
    <row r="49" spans="1:8" ht="15" customHeight="1" x14ac:dyDescent="0.25">
      <c r="A49" s="559" t="s">
        <v>6642</v>
      </c>
      <c r="B49" s="754" t="s">
        <v>132</v>
      </c>
      <c r="C49" s="755"/>
      <c r="D49" s="755"/>
      <c r="E49" s="755"/>
      <c r="F49" s="755"/>
      <c r="G49" s="755"/>
      <c r="H49" s="560" t="e">
        <f>IF(AVERAGE(H51:H53)&gt;MEDIAN(H51:H53),AVERAGE(H51:H53),MEDIAN(H51:H53))</f>
        <v>#DIV/0!</v>
      </c>
    </row>
    <row r="50" spans="1:8" x14ac:dyDescent="0.25">
      <c r="A50" s="561" t="s">
        <v>6642</v>
      </c>
      <c r="B50" s="562"/>
      <c r="C50" s="562"/>
      <c r="D50" s="562"/>
      <c r="E50" s="562"/>
      <c r="F50" s="562"/>
      <c r="G50" s="563"/>
      <c r="H50" s="564"/>
    </row>
    <row r="51" spans="1:8" x14ac:dyDescent="0.25">
      <c r="A51" s="561" t="s">
        <v>6642</v>
      </c>
      <c r="B51" s="562"/>
      <c r="C51" s="562"/>
      <c r="D51" s="562"/>
      <c r="E51" s="562"/>
      <c r="F51" s="562"/>
      <c r="G51" s="563"/>
      <c r="H51" s="564"/>
    </row>
    <row r="52" spans="1:8" x14ac:dyDescent="0.25">
      <c r="A52" s="561" t="s">
        <v>6642</v>
      </c>
      <c r="B52" s="562"/>
      <c r="C52" s="562"/>
      <c r="D52" s="562"/>
      <c r="E52" s="562"/>
      <c r="F52" s="562"/>
      <c r="G52" s="563"/>
      <c r="H52" s="564"/>
    </row>
    <row r="55" spans="1:8" x14ac:dyDescent="0.25">
      <c r="A55" s="559" t="s">
        <v>6643</v>
      </c>
      <c r="B55" s="754" t="s">
        <v>628</v>
      </c>
      <c r="C55" s="755"/>
      <c r="D55" s="755"/>
      <c r="E55" s="755"/>
      <c r="F55" s="755"/>
      <c r="G55" s="755"/>
      <c r="H55" s="560" t="e">
        <f>IF(AVERAGE(H57:H59)&gt;MEDIAN(H57:H59),AVERAGE(H57:H59),MEDIAN(H57:H59))</f>
        <v>#DIV/0!</v>
      </c>
    </row>
    <row r="56" spans="1:8" x14ac:dyDescent="0.25">
      <c r="A56" s="561" t="s">
        <v>6643</v>
      </c>
      <c r="B56" s="562"/>
      <c r="C56" s="562"/>
      <c r="D56" s="562"/>
      <c r="E56" s="562"/>
      <c r="F56" s="562"/>
      <c r="G56" s="563"/>
      <c r="H56" s="564"/>
    </row>
    <row r="57" spans="1:8" x14ac:dyDescent="0.25">
      <c r="A57" s="561" t="s">
        <v>6643</v>
      </c>
      <c r="B57" s="562"/>
      <c r="C57" s="562"/>
      <c r="D57" s="562"/>
      <c r="E57" s="562"/>
      <c r="F57" s="562"/>
      <c r="G57" s="563"/>
      <c r="H57" s="564"/>
    </row>
    <row r="58" spans="1:8" x14ac:dyDescent="0.25">
      <c r="A58" s="561" t="s">
        <v>6643</v>
      </c>
      <c r="B58" s="562"/>
      <c r="C58" s="562"/>
      <c r="D58" s="562"/>
      <c r="E58" s="562"/>
      <c r="F58" s="562"/>
      <c r="G58" s="563"/>
      <c r="H58" s="564"/>
    </row>
    <row r="61" spans="1:8" x14ac:dyDescent="0.25">
      <c r="A61" s="559" t="s">
        <v>6644</v>
      </c>
      <c r="B61" s="754" t="s">
        <v>223</v>
      </c>
      <c r="C61" s="755"/>
      <c r="D61" s="755"/>
      <c r="E61" s="755"/>
      <c r="F61" s="755"/>
      <c r="G61" s="755"/>
      <c r="H61" s="560" t="e">
        <f>IF(AVERAGE(H63:H65)&gt;MEDIAN(H63:H65),AVERAGE(H63:H65),MEDIAN(H63:H65))</f>
        <v>#DIV/0!</v>
      </c>
    </row>
    <row r="62" spans="1:8" x14ac:dyDescent="0.25">
      <c r="A62" s="561" t="s">
        <v>6644</v>
      </c>
      <c r="B62" s="562"/>
      <c r="C62" s="562"/>
      <c r="D62" s="562"/>
      <c r="E62" s="562"/>
      <c r="F62" s="562"/>
      <c r="G62" s="563"/>
      <c r="H62" s="564"/>
    </row>
    <row r="63" spans="1:8" x14ac:dyDescent="0.25">
      <c r="A63" s="561" t="s">
        <v>6644</v>
      </c>
      <c r="B63" s="562"/>
      <c r="C63" s="562"/>
      <c r="D63" s="562"/>
      <c r="E63" s="562"/>
      <c r="F63" s="562"/>
      <c r="G63" s="563"/>
      <c r="H63" s="564"/>
    </row>
    <row r="64" spans="1:8" x14ac:dyDescent="0.25">
      <c r="A64" s="561" t="s">
        <v>6644</v>
      </c>
      <c r="B64" s="562"/>
      <c r="C64" s="562"/>
      <c r="D64" s="562"/>
      <c r="E64" s="562"/>
      <c r="F64" s="562"/>
      <c r="G64" s="563"/>
      <c r="H64" s="564"/>
    </row>
    <row r="67" spans="1:8" x14ac:dyDescent="0.25">
      <c r="A67" s="559" t="s">
        <v>6646</v>
      </c>
      <c r="B67" s="754" t="s">
        <v>90</v>
      </c>
      <c r="C67" s="755"/>
      <c r="D67" s="755"/>
      <c r="E67" s="755"/>
      <c r="F67" s="755"/>
      <c r="G67" s="755"/>
      <c r="H67" s="560" t="e">
        <f>IF(AVERAGE(H68:H71)&gt;MEDIAN(H68:H71),AVERAGE(H68:H71),MEDIAN(H68:H71))</f>
        <v>#DIV/0!</v>
      </c>
    </row>
    <row r="68" spans="1:8" x14ac:dyDescent="0.25">
      <c r="A68" s="561" t="s">
        <v>6646</v>
      </c>
      <c r="B68" s="562"/>
      <c r="C68" s="562"/>
      <c r="D68" s="562"/>
      <c r="E68" s="562"/>
      <c r="F68" s="562"/>
      <c r="G68" s="563"/>
      <c r="H68" s="564"/>
    </row>
    <row r="69" spans="1:8" x14ac:dyDescent="0.25">
      <c r="A69" s="561" t="s">
        <v>6646</v>
      </c>
      <c r="B69" s="562"/>
      <c r="C69" s="562"/>
      <c r="D69" s="562"/>
      <c r="E69" s="562"/>
      <c r="F69" s="562"/>
      <c r="G69" s="563"/>
      <c r="H69" s="564"/>
    </row>
    <row r="70" spans="1:8" x14ac:dyDescent="0.25">
      <c r="A70" s="561" t="s">
        <v>6646</v>
      </c>
      <c r="B70" s="562"/>
      <c r="C70" s="562"/>
      <c r="D70" s="562"/>
      <c r="E70" s="562"/>
      <c r="F70" s="562"/>
      <c r="G70" s="563"/>
      <c r="H70" s="564"/>
    </row>
    <row r="71" spans="1:8" x14ac:dyDescent="0.25">
      <c r="A71" s="569"/>
      <c r="B71" s="570"/>
      <c r="C71" s="570"/>
      <c r="D71" s="570"/>
      <c r="E71" s="570"/>
      <c r="F71" s="570"/>
      <c r="G71" s="571"/>
      <c r="H71" s="572"/>
    </row>
    <row r="72" spans="1:8" x14ac:dyDescent="0.25">
      <c r="A72" s="569"/>
      <c r="B72" s="570"/>
      <c r="C72" s="570"/>
      <c r="D72" s="570"/>
      <c r="E72" s="570"/>
      <c r="F72" s="570"/>
      <c r="G72" s="571"/>
      <c r="H72" s="572"/>
    </row>
    <row r="73" spans="1:8" x14ac:dyDescent="0.25">
      <c r="A73" s="559" t="s">
        <v>6645</v>
      </c>
      <c r="B73" s="754" t="s">
        <v>6660</v>
      </c>
      <c r="C73" s="755"/>
      <c r="D73" s="755"/>
      <c r="E73" s="755"/>
      <c r="F73" s="755"/>
      <c r="G73" s="755"/>
      <c r="H73" s="560" t="e">
        <f>IF(AVERAGE(H74:H77)&gt;MEDIAN(H74:H77),AVERAGE(H74:H77),MEDIAN(H74:H77))</f>
        <v>#DIV/0!</v>
      </c>
    </row>
    <row r="74" spans="1:8" x14ac:dyDescent="0.25">
      <c r="A74" s="561" t="s">
        <v>6645</v>
      </c>
      <c r="B74" s="562"/>
      <c r="C74" s="562"/>
      <c r="D74" s="562"/>
      <c r="E74" s="562"/>
      <c r="F74" s="562"/>
      <c r="G74" s="563"/>
      <c r="H74" s="564"/>
    </row>
    <row r="75" spans="1:8" x14ac:dyDescent="0.25">
      <c r="A75" s="561" t="s">
        <v>6645</v>
      </c>
      <c r="B75" s="562"/>
      <c r="C75" s="562"/>
      <c r="D75" s="562"/>
      <c r="E75" s="562"/>
      <c r="F75" s="562"/>
      <c r="G75" s="563"/>
      <c r="H75" s="564"/>
    </row>
    <row r="76" spans="1:8" x14ac:dyDescent="0.25">
      <c r="A76" s="561" t="s">
        <v>6645</v>
      </c>
      <c r="B76" s="562"/>
      <c r="C76" s="562"/>
      <c r="D76" s="562"/>
      <c r="E76" s="562"/>
      <c r="F76" s="562"/>
      <c r="G76" s="563"/>
      <c r="H76" s="564"/>
    </row>
    <row r="79" spans="1:8" ht="15" customHeight="1" x14ac:dyDescent="0.25">
      <c r="A79" s="559" t="s">
        <v>6647</v>
      </c>
      <c r="B79" s="754" t="s">
        <v>216</v>
      </c>
      <c r="C79" s="755"/>
      <c r="D79" s="755"/>
      <c r="E79" s="755"/>
      <c r="F79" s="755"/>
      <c r="G79" s="755"/>
      <c r="H79" s="560" t="e">
        <f>IF(AVERAGE(H81:H83)&gt;MEDIAN(H81:H83),AVERAGE(H81:H83),MEDIAN(H81:H83))</f>
        <v>#DIV/0!</v>
      </c>
    </row>
    <row r="80" spans="1:8" x14ac:dyDescent="0.25">
      <c r="A80" s="561" t="s">
        <v>6647</v>
      </c>
      <c r="B80" s="562"/>
      <c r="C80" s="562"/>
      <c r="D80" s="562"/>
      <c r="E80" s="562"/>
      <c r="F80" s="562"/>
      <c r="G80" s="563"/>
      <c r="H80" s="564"/>
    </row>
    <row r="81" spans="1:8" x14ac:dyDescent="0.25">
      <c r="A81" s="561" t="s">
        <v>6647</v>
      </c>
      <c r="B81" s="562"/>
      <c r="C81" s="562"/>
      <c r="D81" s="562"/>
      <c r="E81" s="562"/>
      <c r="F81" s="562"/>
      <c r="G81" s="563"/>
      <c r="H81" s="564"/>
    </row>
    <row r="82" spans="1:8" x14ac:dyDescent="0.25">
      <c r="A82" s="561" t="s">
        <v>6647</v>
      </c>
      <c r="B82" s="562"/>
      <c r="C82" s="562"/>
      <c r="D82" s="562"/>
      <c r="E82" s="562"/>
      <c r="F82" s="562"/>
      <c r="G82" s="563"/>
      <c r="H82" s="564"/>
    </row>
    <row r="85" spans="1:8" x14ac:dyDescent="0.25">
      <c r="A85" s="559" t="s">
        <v>6648</v>
      </c>
      <c r="B85" s="754" t="s">
        <v>214</v>
      </c>
      <c r="C85" s="755"/>
      <c r="D85" s="755"/>
      <c r="E85" s="755"/>
      <c r="F85" s="755"/>
      <c r="G85" s="755"/>
      <c r="H85" s="560" t="e">
        <f>IF(AVERAGE(H87:H89)&gt;MEDIAN(H87:H89),AVERAGE(H87:H89),MEDIAN(H87:H89))</f>
        <v>#DIV/0!</v>
      </c>
    </row>
    <row r="86" spans="1:8" x14ac:dyDescent="0.25">
      <c r="A86" s="561" t="s">
        <v>6648</v>
      </c>
      <c r="B86" s="562"/>
      <c r="C86" s="562"/>
      <c r="D86" s="562"/>
      <c r="E86" s="562"/>
      <c r="F86" s="562"/>
      <c r="G86" s="563"/>
      <c r="H86" s="564"/>
    </row>
    <row r="87" spans="1:8" x14ac:dyDescent="0.25">
      <c r="A87" s="561" t="s">
        <v>6648</v>
      </c>
      <c r="B87" s="562"/>
      <c r="C87" s="562"/>
      <c r="D87" s="562"/>
      <c r="E87" s="562"/>
      <c r="F87" s="562"/>
      <c r="G87" s="563"/>
      <c r="H87" s="564"/>
    </row>
    <row r="88" spans="1:8" x14ac:dyDescent="0.25">
      <c r="A88" s="561" t="s">
        <v>6648</v>
      </c>
      <c r="B88" s="562"/>
      <c r="C88" s="562"/>
      <c r="D88" s="562"/>
      <c r="E88" s="562"/>
      <c r="F88" s="562"/>
      <c r="G88" s="563"/>
      <c r="H88" s="564"/>
    </row>
    <row r="91" spans="1:8" ht="15" customHeight="1" x14ac:dyDescent="0.25">
      <c r="A91" s="559" t="s">
        <v>6649</v>
      </c>
      <c r="B91" s="754" t="s">
        <v>115</v>
      </c>
      <c r="C91" s="755"/>
      <c r="D91" s="755"/>
      <c r="E91" s="755"/>
      <c r="F91" s="755"/>
      <c r="G91" s="755"/>
      <c r="H91" s="560" t="e">
        <f>IF(AVERAGE(H93:H95)&gt;MEDIAN(H93:H95),AVERAGE(H93:H95),MEDIAN(H93:H95))</f>
        <v>#DIV/0!</v>
      </c>
    </row>
    <row r="92" spans="1:8" x14ac:dyDescent="0.25">
      <c r="A92" s="561" t="s">
        <v>6649</v>
      </c>
      <c r="B92" s="562"/>
      <c r="C92" s="562"/>
      <c r="D92" s="562"/>
      <c r="E92" s="562"/>
      <c r="F92" s="562"/>
      <c r="G92" s="563"/>
      <c r="H92" s="564"/>
    </row>
    <row r="93" spans="1:8" x14ac:dyDescent="0.25">
      <c r="A93" s="561" t="s">
        <v>6649</v>
      </c>
      <c r="B93" s="562"/>
      <c r="C93" s="562"/>
      <c r="D93" s="562"/>
      <c r="E93" s="562"/>
      <c r="F93" s="562"/>
      <c r="G93" s="563"/>
      <c r="H93" s="564"/>
    </row>
    <row r="94" spans="1:8" x14ac:dyDescent="0.25">
      <c r="A94" s="561" t="s">
        <v>6649</v>
      </c>
      <c r="B94" s="562"/>
      <c r="C94" s="562"/>
      <c r="D94" s="562"/>
      <c r="E94" s="562"/>
      <c r="F94" s="562"/>
      <c r="G94" s="563"/>
      <c r="H94" s="564"/>
    </row>
    <row r="97" spans="1:8" x14ac:dyDescent="0.25">
      <c r="A97" s="559" t="s">
        <v>6650</v>
      </c>
      <c r="B97" s="754" t="s">
        <v>110</v>
      </c>
      <c r="C97" s="755"/>
      <c r="D97" s="755"/>
      <c r="E97" s="755"/>
      <c r="F97" s="755"/>
      <c r="G97" s="755"/>
      <c r="H97" s="560" t="e">
        <f>IF(AVERAGE(H99:H101)&gt;MEDIAN(H99:H101),AVERAGE(H99:H101),MEDIAN(H99:H101))</f>
        <v>#DIV/0!</v>
      </c>
    </row>
    <row r="98" spans="1:8" x14ac:dyDescent="0.25">
      <c r="A98" s="561" t="s">
        <v>6650</v>
      </c>
      <c r="B98" s="562"/>
      <c r="C98" s="562"/>
      <c r="D98" s="562"/>
      <c r="E98" s="562"/>
      <c r="F98" s="562"/>
      <c r="G98" s="563"/>
      <c r="H98" s="564"/>
    </row>
    <row r="99" spans="1:8" x14ac:dyDescent="0.25">
      <c r="A99" s="561" t="s">
        <v>6650</v>
      </c>
      <c r="B99" s="562"/>
      <c r="C99" s="562"/>
      <c r="D99" s="562"/>
      <c r="E99" s="562"/>
      <c r="F99" s="562"/>
      <c r="G99" s="563"/>
      <c r="H99" s="564"/>
    </row>
    <row r="100" spans="1:8" x14ac:dyDescent="0.25">
      <c r="A100" s="561" t="s">
        <v>6650</v>
      </c>
      <c r="B100" s="562"/>
      <c r="C100" s="562"/>
      <c r="D100" s="562"/>
      <c r="E100" s="562"/>
      <c r="F100" s="562"/>
      <c r="G100" s="563"/>
      <c r="H100" s="564"/>
    </row>
    <row r="103" spans="1:8" x14ac:dyDescent="0.25">
      <c r="A103" s="559" t="s">
        <v>6651</v>
      </c>
      <c r="B103" s="754" t="s">
        <v>16</v>
      </c>
      <c r="C103" s="755"/>
      <c r="D103" s="755"/>
      <c r="E103" s="755"/>
      <c r="F103" s="755"/>
      <c r="G103" s="755"/>
      <c r="H103" s="560" t="e">
        <f>IF(AVERAGE(H105:H107)&gt;MEDIAN(H105:H107),AVERAGE(H105:H107),MEDIAN(H105:H107))</f>
        <v>#DIV/0!</v>
      </c>
    </row>
    <row r="104" spans="1:8" x14ac:dyDescent="0.25">
      <c r="A104" s="561" t="s">
        <v>6651</v>
      </c>
      <c r="B104" s="562"/>
      <c r="C104" s="562"/>
      <c r="D104" s="562"/>
      <c r="E104" s="562"/>
      <c r="F104" s="562"/>
      <c r="G104" s="563"/>
      <c r="H104" s="564"/>
    </row>
    <row r="105" spans="1:8" x14ac:dyDescent="0.25">
      <c r="A105" s="561" t="s">
        <v>6651</v>
      </c>
      <c r="B105" s="562"/>
      <c r="C105" s="562"/>
      <c r="D105" s="562"/>
      <c r="E105" s="562"/>
      <c r="F105" s="562"/>
      <c r="G105" s="563"/>
      <c r="H105" s="564"/>
    </row>
    <row r="106" spans="1:8" x14ac:dyDescent="0.25">
      <c r="A106" s="561" t="s">
        <v>6651</v>
      </c>
      <c r="B106" s="562"/>
      <c r="C106" s="562"/>
      <c r="D106" s="562"/>
      <c r="E106" s="562"/>
      <c r="F106" s="562"/>
      <c r="G106" s="563"/>
      <c r="H106" s="564"/>
    </row>
    <row r="109" spans="1:8" x14ac:dyDescent="0.25">
      <c r="A109" s="559" t="s">
        <v>6652</v>
      </c>
      <c r="B109" s="754" t="s">
        <v>58</v>
      </c>
      <c r="C109" s="755"/>
      <c r="D109" s="755"/>
      <c r="E109" s="755"/>
      <c r="F109" s="755"/>
      <c r="G109" s="755"/>
      <c r="H109" s="560" t="e">
        <f>IF(AVERAGE(H111:H113)&gt;MEDIAN(H111:H113),AVERAGE(H111:H113),MEDIAN(H111:H113))</f>
        <v>#DIV/0!</v>
      </c>
    </row>
    <row r="110" spans="1:8" x14ac:dyDescent="0.25">
      <c r="A110" s="561" t="s">
        <v>6652</v>
      </c>
      <c r="B110" s="562"/>
      <c r="C110" s="562"/>
      <c r="D110" s="562"/>
      <c r="E110" s="562"/>
      <c r="F110" s="562"/>
      <c r="G110" s="563"/>
      <c r="H110" s="564"/>
    </row>
    <row r="111" spans="1:8" x14ac:dyDescent="0.25">
      <c r="A111" s="561" t="s">
        <v>6652</v>
      </c>
      <c r="B111" s="562"/>
      <c r="C111" s="562"/>
      <c r="D111" s="562"/>
      <c r="E111" s="562"/>
      <c r="F111" s="562"/>
      <c r="G111" s="563"/>
      <c r="H111" s="564"/>
    </row>
    <row r="112" spans="1:8" x14ac:dyDescent="0.25">
      <c r="A112" s="561" t="s">
        <v>6652</v>
      </c>
      <c r="B112" s="562"/>
      <c r="C112" s="562"/>
      <c r="D112" s="562"/>
      <c r="E112" s="562"/>
      <c r="F112" s="562"/>
      <c r="G112" s="563"/>
      <c r="H112" s="564"/>
    </row>
    <row r="115" spans="1:8" ht="15" customHeight="1" x14ac:dyDescent="0.25">
      <c r="A115" s="559" t="s">
        <v>6653</v>
      </c>
      <c r="B115" s="754" t="s">
        <v>4</v>
      </c>
      <c r="C115" s="755"/>
      <c r="D115" s="755"/>
      <c r="E115" s="755"/>
      <c r="F115" s="755"/>
      <c r="G115" s="755"/>
      <c r="H115" s="560" t="e">
        <f>IF(AVERAGE(H117:H119)&gt;MEDIAN(H117:H119),AVERAGE(H117:H119),MEDIAN(H117:H119))</f>
        <v>#DIV/0!</v>
      </c>
    </row>
    <row r="116" spans="1:8" x14ac:dyDescent="0.25">
      <c r="A116" s="561" t="s">
        <v>6653</v>
      </c>
      <c r="B116" s="562"/>
      <c r="C116" s="562"/>
      <c r="D116" s="562"/>
      <c r="E116" s="562"/>
      <c r="F116" s="562"/>
      <c r="G116" s="563"/>
      <c r="H116" s="564"/>
    </row>
    <row r="117" spans="1:8" x14ac:dyDescent="0.25">
      <c r="A117" s="561" t="s">
        <v>6653</v>
      </c>
      <c r="B117" s="562"/>
      <c r="C117" s="562"/>
      <c r="D117" s="562"/>
      <c r="E117" s="562"/>
      <c r="F117" s="562"/>
      <c r="G117" s="563"/>
      <c r="H117" s="564"/>
    </row>
    <row r="118" spans="1:8" x14ac:dyDescent="0.25">
      <c r="A118" s="561" t="s">
        <v>6653</v>
      </c>
      <c r="B118" s="562"/>
      <c r="C118" s="562"/>
      <c r="D118" s="562"/>
      <c r="E118" s="562"/>
      <c r="F118" s="562"/>
      <c r="G118" s="563"/>
      <c r="H118" s="564"/>
    </row>
    <row r="121" spans="1:8" x14ac:dyDescent="0.25">
      <c r="A121" s="559" t="s">
        <v>6654</v>
      </c>
      <c r="B121" s="754" t="s">
        <v>14</v>
      </c>
      <c r="C121" s="755"/>
      <c r="D121" s="755"/>
      <c r="E121" s="755"/>
      <c r="F121" s="755"/>
      <c r="G121" s="755"/>
      <c r="H121" s="560" t="e">
        <f>IF(AVERAGE(H123:H125)&gt;MEDIAN(H123:H125),AVERAGE(H123:H125),MEDIAN(H123:H125))</f>
        <v>#DIV/0!</v>
      </c>
    </row>
    <row r="122" spans="1:8" x14ac:dyDescent="0.25">
      <c r="A122" s="561" t="s">
        <v>6654</v>
      </c>
      <c r="B122" s="562"/>
      <c r="C122" s="562"/>
      <c r="D122" s="562"/>
      <c r="E122" s="562"/>
      <c r="F122" s="562"/>
      <c r="G122" s="563"/>
      <c r="H122" s="564"/>
    </row>
    <row r="123" spans="1:8" x14ac:dyDescent="0.25">
      <c r="A123" s="561" t="s">
        <v>6654</v>
      </c>
      <c r="B123" s="562"/>
      <c r="C123" s="562"/>
      <c r="D123" s="562"/>
      <c r="E123" s="562"/>
      <c r="F123" s="562"/>
      <c r="G123" s="563"/>
      <c r="H123" s="564"/>
    </row>
    <row r="124" spans="1:8" x14ac:dyDescent="0.25">
      <c r="A124" s="561" t="s">
        <v>6654</v>
      </c>
      <c r="B124" s="562"/>
      <c r="C124" s="562"/>
      <c r="D124" s="562"/>
      <c r="E124" s="562"/>
      <c r="F124" s="562"/>
      <c r="G124" s="563"/>
      <c r="H124" s="564"/>
    </row>
    <row r="127" spans="1:8" ht="15" customHeight="1" x14ac:dyDescent="0.25">
      <c r="A127" s="559" t="s">
        <v>6655</v>
      </c>
      <c r="B127" s="754" t="s">
        <v>12</v>
      </c>
      <c r="C127" s="755"/>
      <c r="D127" s="755"/>
      <c r="E127" s="755"/>
      <c r="F127" s="755"/>
      <c r="G127" s="755"/>
      <c r="H127" s="560" t="e">
        <f>IF(AVERAGE(H129:H131)&gt;MEDIAN(H129:H131),AVERAGE(H129:H131),MEDIAN(H129:H131))</f>
        <v>#DIV/0!</v>
      </c>
    </row>
    <row r="128" spans="1:8" x14ac:dyDescent="0.25">
      <c r="A128" s="561" t="s">
        <v>6655</v>
      </c>
      <c r="B128" s="562"/>
      <c r="C128" s="562"/>
      <c r="D128" s="562"/>
      <c r="E128" s="562"/>
      <c r="F128" s="562"/>
      <c r="G128" s="563"/>
      <c r="H128" s="564"/>
    </row>
    <row r="129" spans="1:8" x14ac:dyDescent="0.25">
      <c r="A129" s="561" t="s">
        <v>6655</v>
      </c>
      <c r="B129" s="562"/>
      <c r="C129" s="562"/>
      <c r="D129" s="562"/>
      <c r="E129" s="562"/>
      <c r="F129" s="562"/>
      <c r="G129" s="563"/>
      <c r="H129" s="564"/>
    </row>
    <row r="130" spans="1:8" x14ac:dyDescent="0.25">
      <c r="A130" s="561" t="s">
        <v>6655</v>
      </c>
      <c r="B130" s="562"/>
      <c r="C130" s="562"/>
      <c r="D130" s="562"/>
      <c r="E130" s="562"/>
      <c r="F130" s="562"/>
      <c r="G130" s="563"/>
      <c r="H130" s="564"/>
    </row>
    <row r="133" spans="1:8" x14ac:dyDescent="0.25">
      <c r="A133" s="559" t="s">
        <v>6656</v>
      </c>
      <c r="B133" s="754" t="s">
        <v>202</v>
      </c>
      <c r="C133" s="755"/>
      <c r="D133" s="755"/>
      <c r="E133" s="755"/>
      <c r="F133" s="755"/>
      <c r="G133" s="755"/>
      <c r="H133" s="560" t="e">
        <f>IF(AVERAGE(H135:H137)&gt;MEDIAN(H135:H137),AVERAGE(H135:H137),MEDIAN(H135:H137))</f>
        <v>#DIV/0!</v>
      </c>
    </row>
    <row r="134" spans="1:8" x14ac:dyDescent="0.25">
      <c r="A134" s="561" t="s">
        <v>6656</v>
      </c>
      <c r="B134" s="562"/>
      <c r="C134" s="562"/>
      <c r="D134" s="562"/>
      <c r="E134" s="562"/>
      <c r="F134" s="562"/>
      <c r="G134" s="563"/>
      <c r="H134" s="564"/>
    </row>
    <row r="135" spans="1:8" x14ac:dyDescent="0.25">
      <c r="A135" s="561" t="s">
        <v>6656</v>
      </c>
      <c r="B135" s="562"/>
      <c r="C135" s="562"/>
      <c r="D135" s="562"/>
      <c r="E135" s="562"/>
      <c r="F135" s="562"/>
      <c r="G135" s="563"/>
      <c r="H135" s="564"/>
    </row>
    <row r="136" spans="1:8" x14ac:dyDescent="0.25">
      <c r="A136" s="561" t="s">
        <v>6656</v>
      </c>
      <c r="B136" s="562"/>
      <c r="C136" s="562"/>
      <c r="D136" s="562"/>
      <c r="E136" s="562"/>
      <c r="F136" s="562"/>
      <c r="G136" s="563"/>
      <c r="H136" s="564"/>
    </row>
    <row r="139" spans="1:8" x14ac:dyDescent="0.25">
      <c r="A139" s="559" t="s">
        <v>6669</v>
      </c>
      <c r="B139" s="754" t="s">
        <v>6670</v>
      </c>
      <c r="C139" s="755"/>
      <c r="D139" s="755"/>
      <c r="E139" s="755"/>
      <c r="F139" s="755"/>
      <c r="G139" s="755"/>
      <c r="H139" s="560" t="e">
        <f>IF(AVERAGE(H141:H143)&gt;MEDIAN(H141:H143),AVERAGE(H141:H143),MEDIAN(H141:H143))</f>
        <v>#DIV/0!</v>
      </c>
    </row>
    <row r="140" spans="1:8" x14ac:dyDescent="0.25">
      <c r="A140" s="561" t="s">
        <v>6669</v>
      </c>
      <c r="B140" s="562"/>
      <c r="C140" s="562"/>
      <c r="D140" s="562"/>
      <c r="E140" s="562"/>
      <c r="F140" s="562"/>
      <c r="G140" s="563"/>
      <c r="H140" s="564"/>
    </row>
    <row r="141" spans="1:8" x14ac:dyDescent="0.25">
      <c r="A141" s="561" t="s">
        <v>6669</v>
      </c>
      <c r="B141" s="562"/>
      <c r="C141" s="562"/>
      <c r="D141" s="562"/>
      <c r="E141" s="562"/>
      <c r="F141" s="562"/>
      <c r="G141" s="563"/>
      <c r="H141" s="564"/>
    </row>
    <row r="142" spans="1:8" x14ac:dyDescent="0.25">
      <c r="A142" s="561" t="s">
        <v>6669</v>
      </c>
      <c r="B142" s="562"/>
      <c r="C142" s="562"/>
      <c r="D142" s="562"/>
      <c r="E142" s="562"/>
      <c r="F142" s="562"/>
      <c r="G142" s="563"/>
      <c r="H142" s="564"/>
    </row>
  </sheetData>
  <autoFilter ref="A5:H142" xr:uid="{00000000-0009-0000-0000-000037000000}"/>
  <mergeCells count="28">
    <mergeCell ref="B43:G43"/>
    <mergeCell ref="A1:G1"/>
    <mergeCell ref="H1:H2"/>
    <mergeCell ref="A2:G2"/>
    <mergeCell ref="A3:A4"/>
    <mergeCell ref="B3:G4"/>
    <mergeCell ref="B7:G7"/>
    <mergeCell ref="B13:G13"/>
    <mergeCell ref="B19:G19"/>
    <mergeCell ref="B25:G25"/>
    <mergeCell ref="B31:G31"/>
    <mergeCell ref="B37:G37"/>
    <mergeCell ref="B49:G49"/>
    <mergeCell ref="B55:G55"/>
    <mergeCell ref="B61:G61"/>
    <mergeCell ref="B67:G67"/>
    <mergeCell ref="B79:G79"/>
    <mergeCell ref="B139:G139"/>
    <mergeCell ref="B121:G121"/>
    <mergeCell ref="B127:G127"/>
    <mergeCell ref="B133:G133"/>
    <mergeCell ref="B73:G73"/>
    <mergeCell ref="B85:G85"/>
    <mergeCell ref="B91:G91"/>
    <mergeCell ref="B97:G97"/>
    <mergeCell ref="B103:G103"/>
    <mergeCell ref="B109:G109"/>
    <mergeCell ref="B115:G115"/>
  </mergeCells>
  <phoneticPr fontId="10" type="noConversion"/>
  <pageMargins left="0.98425196850393704" right="0.59055118110236215" top="1.1811023622047243" bottom="0.59055118110236215" header="0.11811023622047244" footer="0.51181102362204722"/>
  <pageSetup paperSize="9" scale="50" fitToHeight="0" orientation="portrait" r:id="rId1"/>
  <headerFooter>
    <oddHeader>&amp;L&amp;G</oddHeader>
  </headerFooter>
  <legacyDrawingHF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B0803-16F6-415E-8CB7-2899234521A4}">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57</vt:i4>
      </vt:variant>
      <vt:variant>
        <vt:lpstr>Intervalos Nomeados</vt:lpstr>
      </vt:variant>
      <vt:variant>
        <vt:i4>74</vt:i4>
      </vt:variant>
    </vt:vector>
  </HeadingPairs>
  <TitlesOfParts>
    <vt:vector size="131" baseType="lpstr">
      <vt:lpstr>ORÇAMENTO GERAL</vt:lpstr>
      <vt:lpstr>RESUMO</vt:lpstr>
      <vt:lpstr>E. S.</vt:lpstr>
      <vt:lpstr>BDI </vt:lpstr>
      <vt:lpstr>1.1 COLETA RSU</vt:lpstr>
      <vt:lpstr>1.2 MAO DE OBRA</vt:lpstr>
      <vt:lpstr>1.3 EQUIP. VEICULOS</vt:lpstr>
      <vt:lpstr>1.4 DIM COLETA RSU</vt:lpstr>
      <vt:lpstr>2.1 COLETA SELETIVA</vt:lpstr>
      <vt:lpstr>2.2 MAO DE OBRA</vt:lpstr>
      <vt:lpstr>2.3 EQUIP. VEICULOS</vt:lpstr>
      <vt:lpstr>2.4 DIM SELETIVA</vt:lpstr>
      <vt:lpstr>3.1 COLETA INERTES</vt:lpstr>
      <vt:lpstr>3.2 MAO DE OBRA</vt:lpstr>
      <vt:lpstr>3.3 EQUIP. VEICULOS</vt:lpstr>
      <vt:lpstr>3.4 DIM ENTULHO</vt:lpstr>
      <vt:lpstr>4.1  Varrição Manual</vt:lpstr>
      <vt:lpstr>4.2 CPU MO</vt:lpstr>
      <vt:lpstr>4.3 EQUIP VEICULOS (2)</vt:lpstr>
      <vt:lpstr>4.4 DIM VARR MAN</vt:lpstr>
      <vt:lpstr>5.1 VARR MECANIZADA</vt:lpstr>
      <vt:lpstr>5.2 MAO DE OBRA</vt:lpstr>
      <vt:lpstr>5.3 EQUIP VEICULOS </vt:lpstr>
      <vt:lpstr>5.4 DIM VARR MEC</vt:lpstr>
      <vt:lpstr>6.1  Varrição PRACAS</vt:lpstr>
      <vt:lpstr>6.2 CPU MO</vt:lpstr>
      <vt:lpstr>6.3 EQUIP VEICULOS</vt:lpstr>
      <vt:lpstr>6.4 DIM VARR MAN</vt:lpstr>
      <vt:lpstr>7.1 CAPINA</vt:lpstr>
      <vt:lpstr>7.2 MAO DE OBRA</vt:lpstr>
      <vt:lpstr>7.3 EQUIP. VEICULOS</vt:lpstr>
      <vt:lpstr>7.4 DIM CAPINA</vt:lpstr>
      <vt:lpstr>8.1 CAPINA ELETRICA</vt:lpstr>
      <vt:lpstr>8.2 MAO DE OBRA </vt:lpstr>
      <vt:lpstr>8.3 EQUIP VEICULOS</vt:lpstr>
      <vt:lpstr>8.4 DIM CAPINA ELETRICA</vt:lpstr>
      <vt:lpstr>9.1 ROÇADA</vt:lpstr>
      <vt:lpstr>9.2 MAO DE OBRA</vt:lpstr>
      <vt:lpstr>9.3 EQUIP. VEICULOS</vt:lpstr>
      <vt:lpstr>9.4 DIM ROÇADA</vt:lpstr>
      <vt:lpstr>10.1 PODA</vt:lpstr>
      <vt:lpstr>10.2 MAO DE OBRA</vt:lpstr>
      <vt:lpstr>10.3 EQUIP. VEICULOS </vt:lpstr>
      <vt:lpstr>10.4 DIM PODA</vt:lpstr>
      <vt:lpstr>SINAPI</vt:lpstr>
      <vt:lpstr>SICRO</vt:lpstr>
      <vt:lpstr>11 PINTURA MEIOFIO</vt:lpstr>
      <vt:lpstr>11.2 MAO DE OBRA</vt:lpstr>
      <vt:lpstr>11.3 EQUIP. VEICULOS</vt:lpstr>
      <vt:lpstr>12 ADM LOCAL</vt:lpstr>
      <vt:lpstr>12 CPU MO</vt:lpstr>
      <vt:lpstr>12 EQUIP. VEICULOS</vt:lpstr>
      <vt:lpstr>1.1 SALÁRIOS</vt:lpstr>
      <vt:lpstr>1.1 REF EQUIPAMENTOS E DIV</vt:lpstr>
      <vt:lpstr>1.1 CUSTO FERRAME-UNIFORME-EPI</vt:lpstr>
      <vt:lpstr>MAPA DE COTACOES</vt:lpstr>
      <vt:lpstr>Planilha1</vt:lpstr>
      <vt:lpstr>'1.1 COLETA RSU'!Area_de_impressao</vt:lpstr>
      <vt:lpstr>'1.1 SALÁRIOS'!Area_de_impressao</vt:lpstr>
      <vt:lpstr>'1.2 MAO DE OBRA'!Area_de_impressao</vt:lpstr>
      <vt:lpstr>'1.3 EQUIP. VEICULOS'!Area_de_impressao</vt:lpstr>
      <vt:lpstr>'1.4 DIM COLETA RSU'!Area_de_impressao</vt:lpstr>
      <vt:lpstr>'10.1 PODA'!Area_de_impressao</vt:lpstr>
      <vt:lpstr>'10.2 MAO DE OBRA'!Area_de_impressao</vt:lpstr>
      <vt:lpstr>'10.3 EQUIP. VEICULOS '!Area_de_impressao</vt:lpstr>
      <vt:lpstr>'10.4 DIM PODA'!Area_de_impressao</vt:lpstr>
      <vt:lpstr>'11 PINTURA MEIOFIO'!Area_de_impressao</vt:lpstr>
      <vt:lpstr>'11.2 MAO DE OBRA'!Area_de_impressao</vt:lpstr>
      <vt:lpstr>'11.3 EQUIP. VEICULOS'!Area_de_impressao</vt:lpstr>
      <vt:lpstr>'12 ADM LOCAL'!Area_de_impressao</vt:lpstr>
      <vt:lpstr>'12 CPU MO'!Area_de_impressao</vt:lpstr>
      <vt:lpstr>'12 EQUIP. VEICULOS'!Area_de_impressao</vt:lpstr>
      <vt:lpstr>'2.1 COLETA SELETIVA'!Area_de_impressao</vt:lpstr>
      <vt:lpstr>'2.2 MAO DE OBRA'!Area_de_impressao</vt:lpstr>
      <vt:lpstr>'2.3 EQUIP. VEICULOS'!Area_de_impressao</vt:lpstr>
      <vt:lpstr>'2.4 DIM SELETIVA'!Area_de_impressao</vt:lpstr>
      <vt:lpstr>'3.1 COLETA INERTES'!Area_de_impressao</vt:lpstr>
      <vt:lpstr>'3.2 MAO DE OBRA'!Area_de_impressao</vt:lpstr>
      <vt:lpstr>'3.3 EQUIP. VEICULOS'!Area_de_impressao</vt:lpstr>
      <vt:lpstr>'3.4 DIM ENTULHO'!Area_de_impressao</vt:lpstr>
      <vt:lpstr>'4.1  Varrição Manual'!Area_de_impressao</vt:lpstr>
      <vt:lpstr>'4.2 CPU MO'!Area_de_impressao</vt:lpstr>
      <vt:lpstr>'5.1 VARR MECANIZADA'!Area_de_impressao</vt:lpstr>
      <vt:lpstr>'5.2 MAO DE OBRA'!Area_de_impressao</vt:lpstr>
      <vt:lpstr>'5.3 EQUIP VEICULOS '!Area_de_impressao</vt:lpstr>
      <vt:lpstr>'5.4 DIM VARR MEC'!Area_de_impressao</vt:lpstr>
      <vt:lpstr>'6.1  Varrição PRACAS'!Area_de_impressao</vt:lpstr>
      <vt:lpstr>'6.2 CPU MO'!Area_de_impressao</vt:lpstr>
      <vt:lpstr>'6.4 DIM VARR MAN'!Area_de_impressao</vt:lpstr>
      <vt:lpstr>'7.1 CAPINA'!Area_de_impressao</vt:lpstr>
      <vt:lpstr>'7.2 MAO DE OBRA'!Area_de_impressao</vt:lpstr>
      <vt:lpstr>'7.3 EQUIP. VEICULOS'!Area_de_impressao</vt:lpstr>
      <vt:lpstr>'7.4 DIM CAPINA'!Area_de_impressao</vt:lpstr>
      <vt:lpstr>'8.1 CAPINA ELETRICA'!Area_de_impressao</vt:lpstr>
      <vt:lpstr>'8.2 MAO DE OBRA '!Area_de_impressao</vt:lpstr>
      <vt:lpstr>'8.3 EQUIP VEICULOS'!Area_de_impressao</vt:lpstr>
      <vt:lpstr>'9.1 ROÇADA'!Area_de_impressao</vt:lpstr>
      <vt:lpstr>'9.2 MAO DE OBRA'!Area_de_impressao</vt:lpstr>
      <vt:lpstr>'9.3 EQUIP. VEICULOS'!Area_de_impressao</vt:lpstr>
      <vt:lpstr>'9.4 DIM ROÇADA'!Area_de_impressao</vt:lpstr>
      <vt:lpstr>'E. S.'!Area_de_impressao</vt:lpstr>
      <vt:lpstr>'MAPA DE COTACOES'!Area_de_impressao</vt:lpstr>
      <vt:lpstr>'ORÇAMENTO GERAL'!Area_de_impressao</vt:lpstr>
      <vt:lpstr>RESUMO!Area_de_impressao</vt:lpstr>
      <vt:lpstr>'1.1 COLETA RSU'!Excel_BuiltIn_Print_Area</vt:lpstr>
      <vt:lpstr>'10.1 PODA'!Excel_BuiltIn_Print_Area</vt:lpstr>
      <vt:lpstr>'11 PINTURA MEIOFIO'!Excel_BuiltIn_Print_Area</vt:lpstr>
      <vt:lpstr>'12 ADM LOCAL'!Excel_BuiltIn_Print_Area</vt:lpstr>
      <vt:lpstr>'2.1 COLETA SELETIVA'!Excel_BuiltIn_Print_Area</vt:lpstr>
      <vt:lpstr>'3.1 COLETA INERTES'!Excel_BuiltIn_Print_Area</vt:lpstr>
      <vt:lpstr>'7.1 CAPINA'!Excel_BuiltIn_Print_Area</vt:lpstr>
      <vt:lpstr>'8.1 CAPINA ELETRICA'!Excel_BuiltIn_Print_Area</vt:lpstr>
      <vt:lpstr>'9.1 ROÇADA'!Excel_BuiltIn_Print_Area</vt:lpstr>
      <vt:lpstr>'1.1 COLETA RSU'!Excel_BuiltIn_Print_Titles</vt:lpstr>
      <vt:lpstr>'10.1 PODA'!Excel_BuiltIn_Print_Titles</vt:lpstr>
      <vt:lpstr>'11 PINTURA MEIOFIO'!Excel_BuiltIn_Print_Titles</vt:lpstr>
      <vt:lpstr>'12 ADM LOCAL'!Excel_BuiltIn_Print_Titles</vt:lpstr>
      <vt:lpstr>'2.1 COLETA SELETIVA'!Excel_BuiltIn_Print_Titles</vt:lpstr>
      <vt:lpstr>'3.1 COLETA INERTES'!Excel_BuiltIn_Print_Titles</vt:lpstr>
      <vt:lpstr>'7.1 CAPINA'!Excel_BuiltIn_Print_Titles</vt:lpstr>
      <vt:lpstr>'8.1 CAPINA ELETRICA'!Excel_BuiltIn_Print_Titles</vt:lpstr>
      <vt:lpstr>'9.1 ROÇADA'!Excel_BuiltIn_Print_Titles</vt:lpstr>
      <vt:lpstr>'1.1 COLETA RSU'!Titulos_de_impressao</vt:lpstr>
      <vt:lpstr>'10.1 PODA'!Titulos_de_impressao</vt:lpstr>
      <vt:lpstr>'11 PINTURA MEIOFIO'!Titulos_de_impressao</vt:lpstr>
      <vt:lpstr>'12 ADM LOCAL'!Titulos_de_impressao</vt:lpstr>
      <vt:lpstr>'2.1 COLETA SELETIVA'!Titulos_de_impressao</vt:lpstr>
      <vt:lpstr>'3.1 COLETA INERTES'!Titulos_de_impressao</vt:lpstr>
      <vt:lpstr>'7.1 CAPINA'!Titulos_de_impressao</vt:lpstr>
      <vt:lpstr>'8.1 CAPINA ELETRICA'!Titulos_de_impressao</vt:lpstr>
      <vt:lpstr>'9.1 ROÇADA'!Titulos_de_impressao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2025-12-15T20:41:49Z</dcterms:created>
  <dcterms:modified xsi:type="dcterms:W3CDTF">2026-03-23T17:53:46Z</dcterms:modified>
</cp:coreProperties>
</file>