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eu Drive\Inhapim\2017-2020\Contratos Caixa\calçamento serra do Pita fogo e serra da vila marques\Projeto ok\Projeto enviado 30-11-2025\"/>
    </mc:Choice>
  </mc:AlternateContent>
  <xr:revisionPtr revIDLastSave="0" documentId="13_ncr:1_{74D8B606-7098-4058-870D-9B4B599F30EE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Planilha Orcamentária" sheetId="5" r:id="rId1"/>
    <sheet name="Memória de Cálculo" sheetId="13" r:id="rId2"/>
    <sheet name="Memória Meio fio" sheetId="17" r:id="rId3"/>
    <sheet name="Cronograma" sheetId="10" r:id="rId4"/>
    <sheet name="BDI" sheetId="15" r:id="rId5"/>
    <sheet name="Composição" sheetId="16" r:id="rId6"/>
  </sheets>
  <externalReferences>
    <externalReference r:id="rId7"/>
    <externalReference r:id="rId8"/>
  </externalReferences>
  <definedNames>
    <definedName name="___sub1">#REF!</definedName>
    <definedName name="___sub2">#REF!</definedName>
    <definedName name="___sub3">#REF!</definedName>
    <definedName name="_xlnm._FilterDatabase" localSheetId="0" hidden="1">'Planilha Orcamentária'!$C$10:$C$63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4">BDI!$A$1:$F$45</definedName>
    <definedName name="_xlnm.Print_Area" localSheetId="3">Cronograma!$A$1:$H$33</definedName>
    <definedName name="_xlnm.Print_Area" localSheetId="1">'Memória de Cálculo'!$A$1:$E$71</definedName>
    <definedName name="_xlnm.Print_Area" localSheetId="0">'Planilha Orcamentária'!$A$1:$I$81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Orcamentária'!$G$8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Orcamentária'!$AG1),OFFSET(INDIRECT(ORÇAMENTO.BancoRef),'Planilha Orcamentária'!$AG1-1,3,1),'Planilha Orcamentária'!$AG1)</definedName>
    <definedName name="REFERENCIA.Unidade" hidden="1">IF(ISNUMBER('Planilha Orcamentária'!$AG1),OFFSET(INDIRECT(ORÇAMENTO.BancoRef),'Planilha Orcamentária'!$AG1-1,4,1),"-")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5">Composição!$1:$10</definedName>
    <definedName name="_xlnm.Print_Titles" localSheetId="1">'Memória de Cálculo'!$1:$7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3" hidden="1">Cronograma!$A$1:$H$33</definedName>
    <definedName name="Z_46B44D95_2370_4419_BD85_88291A251F92_.wvu.PrintArea" localSheetId="1" hidden="1">'Memória de Cálculo'!$A$1:$E$43</definedName>
    <definedName name="Z_46B44D95_2370_4419_BD85_88291A251F92_.wvu.PrintArea" localSheetId="0" hidden="1">'Planilha Orcamentária'!$A$1:$I$80</definedName>
    <definedName name="Z_46B44D95_2370_4419_BD85_88291A251F92_.wvu.PrintTitles" localSheetId="1" hidden="1">'Memória de Cálculo'!$1:$7</definedName>
    <definedName name="Z_46B44D95_2370_4419_BD85_88291A251F92_.wvu.PrintTitles" localSheetId="0" hidden="1">'Planilha Orcamentária'!$1:$9</definedName>
  </definedNames>
  <calcPr calcId="191029"/>
  <customWorkbookViews>
    <customWorkbookView name="Observações" guid="{46B44D95-2370-4419-BD85-88291A251F92}" maximized="1" xWindow="-8" yWindow="-8" windowWidth="1382" windowHeight="744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1" i="13" l="1"/>
  <c r="D30" i="13"/>
  <c r="E17" i="17"/>
  <c r="G20" i="17"/>
  <c r="P14" i="17"/>
  <c r="N4" i="17"/>
  <c r="J15" i="17"/>
  <c r="K22" i="17"/>
  <c r="C7" i="17"/>
  <c r="E7" i="17"/>
  <c r="D8" i="17"/>
  <c r="B30" i="17"/>
  <c r="A15" i="17"/>
  <c r="D25" i="13" s="1"/>
  <c r="J25" i="13" l="1"/>
  <c r="I25" i="13"/>
  <c r="F35" i="5"/>
  <c r="I35" i="5" s="1"/>
  <c r="D58" i="13"/>
  <c r="D57" i="13"/>
  <c r="F61" i="5" s="1"/>
  <c r="C57" i="13"/>
  <c r="C58" i="13"/>
  <c r="B57" i="13"/>
  <c r="B58" i="13"/>
  <c r="A57" i="13"/>
  <c r="A58" i="13"/>
  <c r="B30" i="13"/>
  <c r="B31" i="13"/>
  <c r="H34" i="5"/>
  <c r="H35" i="5"/>
  <c r="F34" i="5"/>
  <c r="I34" i="5" s="1"/>
  <c r="F62" i="5"/>
  <c r="H61" i="5"/>
  <c r="C30" i="13"/>
  <c r="C31" i="13"/>
  <c r="A30" i="13"/>
  <c r="A31" i="13"/>
  <c r="H62" i="5"/>
  <c r="D14" i="13"/>
  <c r="I62" i="5" l="1"/>
  <c r="I61" i="5"/>
  <c r="G57" i="5"/>
  <c r="A9" i="10"/>
  <c r="B9" i="10"/>
  <c r="H13" i="5"/>
  <c r="G47" i="5" l="1"/>
  <c r="G58" i="5"/>
  <c r="G56" i="5"/>
  <c r="G55" i="5"/>
  <c r="G49" i="5"/>
  <c r="G46" i="5"/>
  <c r="G45" i="5"/>
  <c r="G44" i="5"/>
  <c r="C14" i="5"/>
  <c r="C33" i="5"/>
  <c r="C60" i="5"/>
  <c r="D60" i="5"/>
  <c r="D33" i="5"/>
  <c r="E21" i="16"/>
  <c r="F21" i="16" l="1"/>
  <c r="F20" i="16"/>
  <c r="E20" i="16"/>
  <c r="G19" i="16" s="1"/>
  <c r="G14" i="5" s="1"/>
  <c r="H14" i="5" s="1"/>
  <c r="H32" i="5"/>
  <c r="G12" i="16"/>
  <c r="G33" i="5" s="1"/>
  <c r="H33" i="5" s="1"/>
  <c r="B7" i="16"/>
  <c r="A6" i="16"/>
  <c r="A5" i="16"/>
  <c r="D25" i="15"/>
  <c r="D19" i="15"/>
  <c r="D18" i="15"/>
  <c r="D17" i="15"/>
  <c r="D16" i="15"/>
  <c r="D15" i="15"/>
  <c r="D14" i="15"/>
  <c r="D13" i="15"/>
  <c r="D12" i="15"/>
  <c r="B7" i="15"/>
  <c r="B19" i="10"/>
  <c r="A19" i="10"/>
  <c r="B17" i="10"/>
  <c r="A17" i="10"/>
  <c r="B15" i="10"/>
  <c r="A15" i="10"/>
  <c r="B13" i="10"/>
  <c r="A13" i="10"/>
  <c r="B11" i="10"/>
  <c r="A11" i="10"/>
  <c r="B7" i="10"/>
  <c r="A7" i="10"/>
  <c r="A5" i="10"/>
  <c r="A4" i="10"/>
  <c r="G3" i="10"/>
  <c r="A3" i="10"/>
  <c r="A59" i="13"/>
  <c r="D56" i="13"/>
  <c r="F60" i="5" s="1"/>
  <c r="C56" i="13"/>
  <c r="B56" i="13"/>
  <c r="A56" i="13"/>
  <c r="C55" i="13"/>
  <c r="B55" i="13"/>
  <c r="A55" i="13"/>
  <c r="C54" i="13"/>
  <c r="B54" i="13"/>
  <c r="A54" i="13"/>
  <c r="C53" i="13"/>
  <c r="B53" i="13"/>
  <c r="A53" i="13"/>
  <c r="C52" i="13"/>
  <c r="B52" i="13"/>
  <c r="A52" i="13"/>
  <c r="C51" i="13"/>
  <c r="B51" i="13"/>
  <c r="A51" i="13"/>
  <c r="C50" i="13"/>
  <c r="B50" i="13"/>
  <c r="A50" i="13"/>
  <c r="C49" i="13"/>
  <c r="B49" i="13"/>
  <c r="A49" i="13"/>
  <c r="D48" i="13"/>
  <c r="C48" i="13"/>
  <c r="B48" i="13"/>
  <c r="A48" i="13"/>
  <c r="C47" i="13"/>
  <c r="B47" i="13"/>
  <c r="A47" i="13"/>
  <c r="C46" i="13"/>
  <c r="B46" i="13"/>
  <c r="A46" i="13"/>
  <c r="C45" i="13"/>
  <c r="B45" i="13"/>
  <c r="A45" i="13"/>
  <c r="C44" i="13"/>
  <c r="B44" i="13"/>
  <c r="A44" i="13"/>
  <c r="C43" i="13"/>
  <c r="B43" i="13"/>
  <c r="A43" i="13"/>
  <c r="D42" i="13"/>
  <c r="F46" i="5" s="1"/>
  <c r="C42" i="13"/>
  <c r="B42" i="13"/>
  <c r="A42" i="13"/>
  <c r="D41" i="13"/>
  <c r="F45" i="5" s="1"/>
  <c r="C41" i="13"/>
  <c r="B41" i="13"/>
  <c r="A41" i="13"/>
  <c r="D40" i="13"/>
  <c r="D45" i="13" s="1"/>
  <c r="F49" i="5" s="1"/>
  <c r="C40" i="13"/>
  <c r="B40" i="13"/>
  <c r="A40" i="13"/>
  <c r="C39" i="13"/>
  <c r="B39" i="13"/>
  <c r="A39" i="13"/>
  <c r="C38" i="13"/>
  <c r="B38" i="13"/>
  <c r="A38" i="13"/>
  <c r="C37" i="13"/>
  <c r="B37" i="13"/>
  <c r="A37" i="13"/>
  <c r="C36" i="13"/>
  <c r="B36" i="13"/>
  <c r="A36" i="13"/>
  <c r="C35" i="13"/>
  <c r="B35" i="13"/>
  <c r="A35" i="13"/>
  <c r="C34" i="13"/>
  <c r="B34" i="13"/>
  <c r="A34" i="13"/>
  <c r="C33" i="13"/>
  <c r="B33" i="13"/>
  <c r="A33" i="13"/>
  <c r="C29" i="13"/>
  <c r="B29" i="13"/>
  <c r="A29" i="13"/>
  <c r="C28" i="13"/>
  <c r="B28" i="13"/>
  <c r="A28" i="13"/>
  <c r="C27" i="13"/>
  <c r="B27" i="13"/>
  <c r="A27" i="13"/>
  <c r="C26" i="13"/>
  <c r="B26" i="13"/>
  <c r="A26" i="13"/>
  <c r="C25" i="13"/>
  <c r="B25" i="13"/>
  <c r="A25" i="13"/>
  <c r="C24" i="13"/>
  <c r="B24" i="13"/>
  <c r="A24" i="13"/>
  <c r="C23" i="13"/>
  <c r="B23" i="13"/>
  <c r="A23" i="13"/>
  <c r="C22" i="13"/>
  <c r="B22" i="13"/>
  <c r="A22" i="13"/>
  <c r="C21" i="13"/>
  <c r="B21" i="13"/>
  <c r="A21" i="13"/>
  <c r="C20" i="13"/>
  <c r="B20" i="13"/>
  <c r="A20" i="13"/>
  <c r="C19" i="13"/>
  <c r="B19" i="13"/>
  <c r="A19" i="13"/>
  <c r="C18" i="13"/>
  <c r="B18" i="13"/>
  <c r="A18" i="13"/>
  <c r="C17" i="13"/>
  <c r="B17" i="13"/>
  <c r="A17" i="13"/>
  <c r="D16" i="13"/>
  <c r="F20" i="5" s="1"/>
  <c r="C16" i="13"/>
  <c r="B16" i="13"/>
  <c r="A16" i="13"/>
  <c r="D15" i="13"/>
  <c r="F19" i="5" s="1"/>
  <c r="C15" i="13"/>
  <c r="B15" i="13"/>
  <c r="A15" i="13"/>
  <c r="G14" i="13"/>
  <c r="D19" i="13"/>
  <c r="F23" i="5" s="1"/>
  <c r="C14" i="13"/>
  <c r="B14" i="13"/>
  <c r="A14" i="13"/>
  <c r="C13" i="13"/>
  <c r="B13" i="13"/>
  <c r="A13" i="13"/>
  <c r="C12" i="13"/>
  <c r="B12" i="13"/>
  <c r="A12" i="13"/>
  <c r="C11" i="13"/>
  <c r="B11" i="13"/>
  <c r="A11" i="13"/>
  <c r="B10" i="13"/>
  <c r="A10" i="13"/>
  <c r="C9" i="13"/>
  <c r="B9" i="13"/>
  <c r="A9" i="13"/>
  <c r="B8" i="13"/>
  <c r="A8" i="13"/>
  <c r="E5" i="13"/>
  <c r="A5" i="13"/>
  <c r="A4" i="13"/>
  <c r="G60" i="5"/>
  <c r="H60" i="5" s="1"/>
  <c r="H59" i="5"/>
  <c r="F59" i="5"/>
  <c r="H58" i="5"/>
  <c r="F58" i="5"/>
  <c r="H57" i="5"/>
  <c r="F57" i="5"/>
  <c r="H56" i="5"/>
  <c r="F56" i="5"/>
  <c r="H55" i="5"/>
  <c r="F55" i="5"/>
  <c r="F54" i="5"/>
  <c r="H53" i="5"/>
  <c r="F53" i="5"/>
  <c r="H52" i="5"/>
  <c r="F52" i="5"/>
  <c r="H51" i="5"/>
  <c r="F51" i="5"/>
  <c r="H50" i="5"/>
  <c r="F50" i="5"/>
  <c r="H49" i="5"/>
  <c r="H48" i="5"/>
  <c r="F48" i="5"/>
  <c r="H47" i="5"/>
  <c r="F47" i="5"/>
  <c r="H46" i="5"/>
  <c r="H45" i="5"/>
  <c r="H44" i="5"/>
  <c r="H43" i="5"/>
  <c r="F43" i="5"/>
  <c r="H42" i="5"/>
  <c r="F42" i="5"/>
  <c r="H41" i="5"/>
  <c r="F41" i="5"/>
  <c r="H40" i="5"/>
  <c r="F40" i="5"/>
  <c r="F39" i="5"/>
  <c r="F38" i="5"/>
  <c r="F37" i="5"/>
  <c r="F36" i="5"/>
  <c r="F33" i="5"/>
  <c r="F32" i="5"/>
  <c r="H31" i="5"/>
  <c r="F31" i="5"/>
  <c r="H30" i="5"/>
  <c r="F30" i="5"/>
  <c r="H29" i="5"/>
  <c r="F29" i="5"/>
  <c r="H28" i="5"/>
  <c r="F28" i="5"/>
  <c r="F27" i="5"/>
  <c r="H26" i="5"/>
  <c r="F26" i="5"/>
  <c r="H25" i="5"/>
  <c r="F25" i="5"/>
  <c r="H24" i="5"/>
  <c r="F24" i="5"/>
  <c r="H23" i="5"/>
  <c r="H22" i="5"/>
  <c r="F22" i="5"/>
  <c r="H21" i="5"/>
  <c r="F21" i="5"/>
  <c r="H20" i="5"/>
  <c r="H19" i="5"/>
  <c r="H18" i="5"/>
  <c r="F18" i="5"/>
  <c r="H17" i="5"/>
  <c r="F17" i="5"/>
  <c r="F16" i="5"/>
  <c r="F15" i="5"/>
  <c r="F14" i="5"/>
  <c r="H11" i="5"/>
  <c r="F11" i="5"/>
  <c r="H10" i="5"/>
  <c r="H4" i="5"/>
  <c r="F44" i="5" l="1"/>
  <c r="I50" i="5"/>
  <c r="I52" i="5"/>
  <c r="I40" i="5"/>
  <c r="I29" i="5"/>
  <c r="I44" i="5"/>
  <c r="I48" i="5"/>
  <c r="I25" i="5"/>
  <c r="I46" i="5"/>
  <c r="I20" i="5"/>
  <c r="I56" i="5"/>
  <c r="I19" i="5"/>
  <c r="I21" i="5"/>
  <c r="I24" i="5"/>
  <c r="I26" i="5"/>
  <c r="I28" i="5"/>
  <c r="I41" i="5"/>
  <c r="I47" i="5"/>
  <c r="I53" i="5"/>
  <c r="I14" i="5"/>
  <c r="I13" i="5" s="1"/>
  <c r="D10" i="10" s="1"/>
  <c r="I55" i="5"/>
  <c r="I31" i="5"/>
  <c r="I33" i="5"/>
  <c r="I32" i="5"/>
  <c r="I60" i="5"/>
  <c r="I30" i="5"/>
  <c r="I42" i="5"/>
  <c r="I18" i="5"/>
  <c r="I23" i="5"/>
  <c r="I11" i="5"/>
  <c r="I10" i="5" s="1"/>
  <c r="I22" i="5"/>
  <c r="I45" i="5"/>
  <c r="I51" i="5"/>
  <c r="I59" i="5"/>
  <c r="I58" i="5"/>
  <c r="I57" i="5"/>
  <c r="I49" i="5"/>
  <c r="I54" i="5" l="1"/>
  <c r="D20" i="10" s="1"/>
  <c r="F20" i="10" s="1"/>
  <c r="I27" i="5"/>
  <c r="D14" i="10" s="1"/>
  <c r="E14" i="10" s="1"/>
  <c r="I39" i="5"/>
  <c r="D16" i="10" s="1"/>
  <c r="I17" i="5"/>
  <c r="D12" i="10" s="1"/>
  <c r="H12" i="10" s="1"/>
  <c r="G10" i="10"/>
  <c r="H10" i="10"/>
  <c r="E10" i="10"/>
  <c r="F10" i="10"/>
  <c r="I43" i="5"/>
  <c r="D18" i="10" s="1"/>
  <c r="E18" i="10" s="1"/>
  <c r="D8" i="10"/>
  <c r="E8" i="10" s="1"/>
  <c r="G16" i="10" l="1"/>
  <c r="E16" i="10"/>
  <c r="H16" i="10"/>
  <c r="F16" i="10"/>
  <c r="H14" i="10"/>
  <c r="G14" i="10"/>
  <c r="I65" i="5"/>
  <c r="F14" i="10"/>
  <c r="G18" i="10"/>
  <c r="F18" i="10"/>
  <c r="I63" i="5"/>
  <c r="H18" i="10"/>
  <c r="I36" i="5"/>
  <c r="E12" i="10"/>
  <c r="E20" i="10"/>
  <c r="F8" i="10"/>
  <c r="G8" i="10"/>
  <c r="H8" i="10"/>
  <c r="H20" i="10"/>
  <c r="F12" i="10"/>
  <c r="G20" i="10"/>
  <c r="G12" i="10"/>
  <c r="H22" i="10" l="1"/>
  <c r="E22" i="10"/>
  <c r="F22" i="10"/>
  <c r="G22" i="10"/>
  <c r="G48" i="13"/>
  <c r="G9" i="13" s="1"/>
  <c r="D22" i="10"/>
  <c r="D9" i="10" s="1"/>
  <c r="I23" i="10" l="1"/>
  <c r="D7" i="10"/>
  <c r="D15" i="10"/>
  <c r="D13" i="10"/>
  <c r="E21" i="10"/>
  <c r="H21" i="10"/>
  <c r="D11" i="10"/>
  <c r="F21" i="10"/>
  <c r="D3" i="10"/>
  <c r="D19" i="10"/>
  <c r="D17" i="10"/>
  <c r="G21" i="10"/>
  <c r="D21" i="10" l="1"/>
  <c r="I22" i="10"/>
</calcChain>
</file>

<file path=xl/sharedStrings.xml><?xml version="1.0" encoding="utf-8"?>
<sst xmlns="http://schemas.openxmlformats.org/spreadsheetml/2006/main" count="350" uniqueCount="221">
  <si>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</si>
  <si>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</si>
  <si>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</si>
  <si>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</si>
  <si>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</si>
  <si>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</si>
  <si>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</si>
  <si>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</si>
  <si>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1.1</t>
  </si>
  <si>
    <t>M3</t>
  </si>
  <si>
    <t>M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</si>
  <si>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</si>
  <si>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</si>
  <si>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</si>
  <si>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</si>
  <si>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</si>
  <si>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</si>
  <si>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Observações:</t>
  </si>
  <si>
    <t>(    )</t>
  </si>
  <si>
    <t>DATA:</t>
  </si>
  <si>
    <t>VALOR DO CONVÊNIO:</t>
  </si>
  <si>
    <t>1.0</t>
  </si>
  <si>
    <t>MEMÓRIA DE CÁLCULO DE QUANTITATIVOS</t>
  </si>
  <si>
    <t>% ISS MUNICIPAL:</t>
  </si>
  <si>
    <t>CÓDIGO</t>
  </si>
  <si>
    <t>DESCRIÇÃO</t>
  </si>
  <si>
    <t>PLANILHA ORÇAMENTÁRIA DE CUSTOS</t>
  </si>
  <si>
    <t>PREÇO UNITÁRIO S/ BDI</t>
  </si>
  <si>
    <t>PREÇO UNITÁRIO C/ BDI</t>
  </si>
  <si>
    <t>BDI:</t>
  </si>
  <si>
    <t>01/01.</t>
  </si>
  <si>
    <t>( X )</t>
  </si>
  <si>
    <t>VALOR TOTAL DA OBRA</t>
  </si>
  <si>
    <t>FÓRMULA DO CÁLCULO</t>
  </si>
  <si>
    <t>COMPOSIÇÃO/DEMONSTRATIVO DE BDI - EM ANEXO</t>
  </si>
  <si>
    <t>ITENS</t>
  </si>
  <si>
    <t>PREFEITURA MUNICIPAL DE INHAPIM-MG</t>
  </si>
  <si>
    <r>
      <t xml:space="preserve">FOLHA N 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</si>
  <si>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UN</t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</si>
  <si>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>: 01/01</t>
    </r>
  </si>
  <si>
    <t>MÊS 1</t>
  </si>
  <si>
    <t>MÊS 2</t>
  </si>
  <si>
    <t>ESCAVAÇÃO MECANIZADA DE VALA COM PROFUNDIDADE ATÉ 1,5 M (MÉDIA MONTANTE E JUSANTE/UMA COMPOSIÇÃO POR TRECHO), RETROESCAV. (0,26 M3), LARGURA DE 0,8 M A 1,5 M, EM SOLO DE 1A CATEGORIA, LOCAIS COM BAIXO NÍVEL DE INTERFERÊNCIA. AF_02/2021</t>
  </si>
  <si>
    <t>PREPARO DE FUNDO DE VALA COM LARGURA MENOR QUE 1,5 M (ACERTO DO SOLO NATURAL). AF_08/2020</t>
  </si>
  <si>
    <t>CONCRETO MAGRO PARA LASTRO, TRAÇO 1:4,5:4,5 (EM MASSA SECA DE CIMENTO/ AREIA MÉDIA/ BRITA 1) - PREPARO MANUAL. AF_05/2021</t>
  </si>
  <si>
    <t>TUBO DE CONCRETO PARA REDES COLETORAS DE ÁGUAS PLUVIAIS, DIÂMETRO DE 400 MM, JUNTA RÍGIDA, INSTALADO EM LOCAL COM BAIXO NÍVEL DE INTERFERÊNCIAS - FORNECIMENTO E ASSENTAMENTO. AF_12/2015</t>
  </si>
  <si>
    <t>REATERRO MECANIZADO DE VALA COM RETROESCAVADEIRA (CAPACIDADE DA CAÇAMBA DA RETRO: 0,26 M³ / POTÊNCIA: 88 HP), LARGURA ATÉ 0,8 M, PROFUNDIDADE ATÉ 1,5 M, COM SOLO DE 1ª CATEGORIA EM LOCAIS COM BAIXO NÍVEL DE INTERFERÊNCIA. AF_04/2016</t>
  </si>
  <si>
    <t>ASSENTAMENTO DE GUIA (MEIO-FIO) EM TRECHO RETO, CONFECCIONADA EM CONCRETO PRÉ-FABRICADO, DIMENSÕES 100X15X13X30 CM (COMPRIMENTO X BASE INFERIOR X BASE SUPERIOR X ALTURA), PARA VIAS URBANAS (USO VIÁRIO). AF_06/2016</t>
  </si>
  <si>
    <t>EXECUÇÃO DE PAVIMENTO EM PISO INTERTRAVADO, COM BLOCO SEXTAVADO DE 25 X 25 CM, ESPESSURA 8 CM. AF_10/2022</t>
  </si>
  <si>
    <t>MÊS 3</t>
  </si>
  <si>
    <t>DETALHAMENTO DE BDI</t>
  </si>
  <si>
    <t xml:space="preserve">ITEM COMPONENTE DO BDI </t>
  </si>
  <si>
    <t>%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</si>
  <si>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</si>
  <si>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</si>
  <si>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</si>
  <si>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</si>
  <si>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</si>
  <si>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</si>
  <si>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</si>
  <si>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</si>
  <si>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</si>
  <si>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</si>
  <si>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Tibutos ( Impostos COFINS, 3% E PIS 0,65)</t>
  </si>
  <si>
    <t>CP</t>
  </si>
  <si>
    <t xml:space="preserve">Tributos (ISS, variável de acordo com o município)  </t>
  </si>
  <si>
    <t>ISS</t>
  </si>
  <si>
    <t>Tributos (Contribuição Previdenciária - 0% ou 4,5%, conforme Lei 12.844/2013 - Desoneração)</t>
  </si>
  <si>
    <t>CPRB</t>
  </si>
  <si>
    <t>BDI = [((1+AC + DF+RE+GA)*(1+DF)*(1+L)) /(1-CP-ISS-CPRB)]-1</t>
  </si>
  <si>
    <t>BDI=</t>
  </si>
  <si>
    <t>COMPOSIÇÃO</t>
  </si>
  <si>
    <t>001</t>
  </si>
  <si>
    <t xml:space="preserve">QUADRO DE COMPOSIÇÕES </t>
  </si>
  <si>
    <t>_________________________________</t>
  </si>
  <si>
    <t>3.1</t>
  </si>
  <si>
    <t>3.2</t>
  </si>
  <si>
    <t>HORA</t>
  </si>
  <si>
    <t xml:space="preserve">EXECUÇÃO DE SARJETA DE CONCRETO USINADO, MOLDADO IN LOCO EM TRECHO RETO, 30 CM BASE X 10 CM </t>
  </si>
  <si>
    <r>
      <rPr>
        <b/>
        <sz val="8"/>
        <rFont val="Arial Nova"/>
        <family val="2"/>
      </rPr>
      <t>DATA:</t>
    </r>
    <r>
      <rPr>
        <sz val="10"/>
        <rFont val="Arial Nova"/>
        <family val="2"/>
      </rPr>
      <t xml:space="preserve"> </t>
    </r>
  </si>
  <si>
    <t>Caixa coletora de sarjeta - CCS 01 - com grelha de concreto - TCC 01 - areia e brita comerciais</t>
  </si>
  <si>
    <t>TOTAL:</t>
  </si>
  <si>
    <t>Descida d'água de aterros em degraus - DAD 04 - areia e brita comerciais</t>
  </si>
  <si>
    <t>TUBO DE CONCRETO PARA REDES COLETORAS DE ÁGUAS PLUVIAIS, DIÂMETRO DE 600 MM, JUNTA RÍGIDA, INSTALADO EM LOCAL COM BAIXO NÍVEL DE INTERFERÊNCIAS - FORNECIMENTO E ASSENTAMENTO. AF_12/2015</t>
  </si>
  <si>
    <t>MUNICIPIO:  INHAPIM/MG - CEP: 35330-000</t>
  </si>
  <si>
    <t>OBRA: PAVIMENTAÇÃO DA RUA BEIRA-RIO</t>
  </si>
  <si>
    <t>BASE PARA POÇO DE VISITA RETANGULAR PARA DRENAGEM, EM ALVENARIA COM BLOCOS DE CONCRETO, DIMENSÕES INTERNAS = 1X1,5 M, PROFUNDIDADE = 1,40 M, EXCLUINDO TAMPÃO. AF_12/2020_PA</t>
  </si>
  <si>
    <t>UNID</t>
  </si>
  <si>
    <t>TAMPA CIRCULAR PARA ESGOTO E DRENAGEM, EM FERRO FUNDIDO, DIÂMETRO INTERNO = 0,6 M. AF_12/2020</t>
  </si>
  <si>
    <t>OBRA: PAVIMENTAÇÃO DA SERRA DO CIRILO FELIPE</t>
  </si>
  <si>
    <t>002</t>
  </si>
  <si>
    <t>SINAPI</t>
  </si>
  <si>
    <t>CONCRETO FCK = 20MPA, TRAÇO 1:2,7:3 (EM MASSA SECA DE CIMENTO/ AREIA MÉDIA/ BRITA 1) - PREPARO MECÂNICO COM BETONEIRA 600 L. AF_05/2021</t>
  </si>
  <si>
    <t>ESCAVAÇÃO MANUAL DE VALA COM PROFUNDIDADE MENOR OU IGUAL A 1,30 M. AF_02/2021</t>
  </si>
  <si>
    <t>CORTE E DOBRA DE AÇO CA-50, DIÂMETRO DE 8,0 MM. AF_06/2022</t>
  </si>
  <si>
    <t>KG</t>
  </si>
  <si>
    <t>CORTE E DOBRA DE AÇO CA-60, DIÂMETRO DE 5,0 MM. AF_06/2022</t>
  </si>
  <si>
    <t>FABRICAÇÃO, MONTAGEM E DESMONTAGEM DE FÔRMA PARA BACIA DE DISSIPAÇÃO, EM MADEIRA SERRADA, E = 25 MM, 2 UTILIZAÇÕES. AF_08/2022</t>
  </si>
  <si>
    <t>FORNECIMENTO E INSTALAÇÃO DE PLACA DE OBRA COM CHAPA GALVANIZADA E ESTRUTURA DE MADEIRA. AF_03/2022_PS</t>
  </si>
  <si>
    <t xml:space="preserve">SERVIÇOS PRELIMINARES </t>
  </si>
  <si>
    <t>TUBO DE CONCRETO PARA REDES COLETORAS DE ÁGUAS PLUVIAIS, DIÂMETRO DE 800 MM, JUNTA RÍGIDA, INSTALADO EM LOCAL COM BAIXO NÍVEL DE INTERFERÊNCIAS - FORNECIMENTO E ASSENTAMENTO. AF_12/2015</t>
  </si>
  <si>
    <t>DRENAGEM - SERRA PITA FOGO</t>
  </si>
  <si>
    <t>PAVIMENTAÇÃO - SERRA PITA FOGO</t>
  </si>
  <si>
    <t>SERRA DA VILA MARQUES</t>
  </si>
  <si>
    <t>DRENAGEM - SERRA DA VILA MARQUES</t>
  </si>
  <si>
    <t>PAVIMENTAÇÃO - SERRA DA VILA MARQUES</t>
  </si>
  <si>
    <t>_______________________________                
CLAUDEMIR MÁXIMO DE SOUSA                     
Engenheiro Civil                                 
Crea-MG 174.203/D</t>
  </si>
  <si>
    <t>LOCAL: SERRA DO PITA FOGO E SERRA DA VILA MARQUES</t>
  </si>
  <si>
    <t>Sarjeta trapezoidal sem revestimento - SZT 60-20 - escavação mecânica</t>
  </si>
  <si>
    <t>ENGENHEIRO CIVIL DE OBRA SENIOR COM ENCARGOS COMPLEMENTARES</t>
  </si>
  <si>
    <t>ENCARREGADO GERAL DE OBRAS COM ENCARGOS COMPLEMENTARES</t>
  </si>
  <si>
    <t>SICRO</t>
  </si>
  <si>
    <t>REGULARIZAÇÃO E COMPACTAÇÃO DE SUBLEITO DE SOLO  PREDOMINANTEMENTE ARGILOSO. AF_11/2019</t>
  </si>
  <si>
    <t>ADMINISTRAÇÃO LOCAL</t>
  </si>
  <si>
    <t>VALOR TOTAL DA SERRA DA VILA MARQUES</t>
  </si>
  <si>
    <t>VALOR TOTAL DA SERRA DO PITA FOGO</t>
  </si>
  <si>
    <t>SERRA DO PITA FOGO</t>
  </si>
  <si>
    <t>CHAMINÉ CIRCULAR PARA POÇO DE VISITA PARA ESGOTO, EM ALVENARIA COM TIJOLOS CERÂMICOS MACIÇOS, DIÂMETRO INTERNO = 0,6 M. AF_12/2020</t>
  </si>
  <si>
    <t>RETALUDAMENTO - SERRA DA VILA MARQUES</t>
  </si>
  <si>
    <t>1.2</t>
  </si>
  <si>
    <t>3.1.1</t>
  </si>
  <si>
    <t>3.1.2</t>
  </si>
  <si>
    <t>3.1.3</t>
  </si>
  <si>
    <t>3.2.1</t>
  </si>
  <si>
    <t>3.2.2</t>
  </si>
  <si>
    <t>3.2.3</t>
  </si>
  <si>
    <t>3.2.4</t>
  </si>
  <si>
    <t>3.2.5</t>
  </si>
  <si>
    <t>3.2.6</t>
  </si>
  <si>
    <t>MÊS 4</t>
  </si>
  <si>
    <t>PREVISÃO DE EXECUÇÃO DAS OBRAS: 4 MESES</t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</si>
  <si>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PAVIMENTAÇÃO DA SERRA DO PITA FOGO E SERRA DA VILA MARQUES</t>
    </r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</si>
  <si>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 CÓRREGO PITA FOGO E VILA MARQUES -  INHAPIM/MG - CEP: 35330-000</t>
    </r>
  </si>
  <si>
    <t>Conforme software Auto CAD</t>
  </si>
  <si>
    <t>Lateral Esquerda: 21,7+ 22,7+ 22,4 + 22,31 + 10,72 + 7,18 + 25,38 + 20,22 + 48,54 + 13,5 + 2,46 + 43,92 = 261,03m 
Lateral Esquerda antes da Ponte: 40,64 + 13,81 + 6,58 + 3,05 = 64,08m 
Lateral Direita antes da Ponte: 33,22 + 13,41 + 14,29 = 60,29m 
Total = 261,03 +64,08+60,29 = 386,03m</t>
  </si>
  <si>
    <t>Somantorio de Sarjeta: 
36,54 + 22,11 + 30,72 + 15,63+ 40,19+ 23,95+ 13,32+ 29,99 + 3,7 + 12,4 + 17,83 + 17,12 + 10,39 + 4,23 + 19,93 + 17,3 + 19,23 = 334,58m</t>
  </si>
  <si>
    <t>Somatório de travamentos:4,4 + 5,1 + 5,06 + 5,4 + 5,4 +  5,4 + 5,4 + 5,4 + 5,7 + 3,71 + 3,72 + 5,4 = 60,09m</t>
  </si>
  <si>
    <t>conforme composição de custos</t>
  </si>
  <si>
    <t>Comprimeto dos trechos especificados no Projeto de drenagem = 8,00m</t>
  </si>
  <si>
    <t>conforme projeto = 2 unid</t>
  </si>
  <si>
    <t>conforme projeto = 17 m</t>
  </si>
  <si>
    <t>conforme projeto</t>
  </si>
  <si>
    <t>conforme projeto = 10 unid</t>
  </si>
  <si>
    <t>conforme projeto = 7 unid</t>
  </si>
  <si>
    <t>7 *0,50 = 3,50</t>
  </si>
  <si>
    <t>conforme projeto = 24m</t>
  </si>
  <si>
    <t xml:space="preserve">conforme projeto = 183m </t>
  </si>
  <si>
    <t xml:space="preserve">Largura de escavação x Comprimento de tubulação + Área da vala existente = (1,00 x 24) + (1,20 x 183,00) = 243,60m² </t>
  </si>
  <si>
    <t>Somatório de travamentos:5,4+4,86+7,46+5,4 = 23,12m</t>
  </si>
  <si>
    <t>Lado direito = 14,7 + 43,49 + 1,83 + 3,53 + 3,59 + 29,45 + 36,42 + 9,74 + 3,6 + 10,22 + 16,01 + 32,9 + 0,9 + 8,02 + 3,47 + 0,7 + 11,53 + 51,91 + 49,01 = 331,02m
Lado esquerdo = 15,01 + 40,75 + 49,83 + 36,42 + 7,89 + 3,6 + 12,62 + 16,01 + 37,32 + 33,13 + 43,33 + 49,01 = 344,92m
Total= 331,02 + 344,92 = 695,94m</t>
  </si>
  <si>
    <t>Somatório das Sarjetas: 49,01 + 39,46 + 33,13 + 39,33 + 16,01 + 13,71 + 3,6 + 7,05 + 36,42 + 40,05 + 6,55 = 284,32m</t>
  </si>
  <si>
    <t>Somatótio da Sarjetas:
Lado direito = 14,7 + 43,49 + 1,83 + 3,53 + 3,59 + 29,45 + 36,42 + 9,74 + 3,6 + 10,22 + 16,01 + 32,9 + 0,9 + 8,02 + 3,47 + 0,7 + 11,53 + 51,91 + 49,01 = 331,02m
Lado esquerdo = 15,01 + 40,75 + 49,83 + 36,42 + 7,89 + 3,6 + 12,62 + 16,01 + 37,32 + 33,13 + 43,33 + 49,01 = 344,92m
Total= 331,02 + 344,92 = 695,94m</t>
  </si>
  <si>
    <t>Sarjeta trapezoidal de concreto - SZC 90-30 - escavação mecânica - areia e brita comerciais</t>
  </si>
  <si>
    <t>ESCAVAÇÃO VERTICAL PARA INFRAESTRUTURA, COM CARGA, DESCARGA E TRANSPORTE DE SOLO DE 1ª CATEGORIA, COM ESCAVADEIRA HIDRÁULICA (CAÇAMBA: 1,2M³ / 155HP), FROTA DE 6 CAMINHÕES BASCULANTES DE 14 M³, DMT DE 1,5 KM E VELOCIDADE MÉDIA18 KM/H. AF_05/2020</t>
  </si>
  <si>
    <t>Dimensões = 3,00 x 1,5 x 2 = 9,00m²</t>
  </si>
  <si>
    <t>ADIMINISTAÇÃO LOCAL</t>
  </si>
  <si>
    <t>VIGA DE TRAVAMENTO EM CONCRETO ARMADO TAMANHO 15 X 30.</t>
  </si>
  <si>
    <t xml:space="preserve">SARJETA EM V 60/20 EM CONCRETO USINADO, MOLDADO IN LOCO </t>
  </si>
  <si>
    <t>Claudemir Máximo de Sousa</t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</si>
  <si>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MG 174.203/D</t>
    </r>
  </si>
  <si>
    <t>2.0</t>
  </si>
  <si>
    <t>3.1.4</t>
  </si>
  <si>
    <t>3.1.5</t>
  </si>
  <si>
    <t>3.1.6</t>
  </si>
  <si>
    <t>3.1.7</t>
  </si>
  <si>
    <t>3.1.8</t>
  </si>
  <si>
    <t>3.1.9</t>
  </si>
  <si>
    <t>4.1</t>
  </si>
  <si>
    <t>4.1.1</t>
  </si>
  <si>
    <t>4.1.2</t>
  </si>
  <si>
    <t>4.2</t>
  </si>
  <si>
    <t>4.2.1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</si>
  <si>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</si>
  <si>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</si>
  <si>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</si>
  <si>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</si>
  <si>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</si>
  <si>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</si>
  <si>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</si>
  <si>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</si>
  <si>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4.2.10</t>
  </si>
  <si>
    <t>4.3</t>
  </si>
  <si>
    <t>4.3.1</t>
  </si>
  <si>
    <t>4.3.2</t>
  </si>
  <si>
    <t>4.3.3</t>
  </si>
  <si>
    <t>4.3.4</t>
  </si>
  <si>
    <t>4.3.5</t>
  </si>
  <si>
    <t>4.3.6</t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</si>
  <si>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SINAPI 08/2025 - SEM DESONERAÇÃO / SICRO MG 07/2025</t>
    </r>
  </si>
  <si>
    <t>CAIXA PARA BOCA DE LOBO SIMPLES RETANGULAR, EM ALVENARIA COM BLOCOS DE CONCRETO, DIMENSÕES INTERNAS: 0,6X1X1,2 M. AF_12/2020</t>
  </si>
  <si>
    <t>Comprimeto dos trechos especificados no Projeto de drenagem = 7,00 + 7,00 + 2,00 + 2,00 = 18,00m</t>
  </si>
  <si>
    <t>Comprimento da tubulação x (Ø do tubo + 0,60)] x Altura da escavação = 18,00*(0,40+0,60)*1,40 + 8,00 *(0,80+0,60) * 1, 5  = 42,00 m³</t>
  </si>
  <si>
    <t xml:space="preserve">Largura de escavação x Comprimento de tubulação  = (1,00 x 18) + (1,40 x 8,00) = 29,20m² </t>
  </si>
  <si>
    <t>(Ø  do tubo x Comprimento da tubulação x Altura do lastro: (18,00*0,4) *0,07 +( 8,00*0,8)*0,07= 0,95m³</t>
  </si>
  <si>
    <t>'Volume de escavação - Volume da Tubulação = 
42,00-(0,4²x3,1415x8 + 0,02²x3,14159 x18 = 37,96m³</t>
  </si>
  <si>
    <t>Comprimento da tubulação x (Ø tubo + 0,60)] x Altura da escavação = 24,00*1,00*1,40 + 183,00 *1,2 * 1, 5  = 363,00 m³</t>
  </si>
  <si>
    <t>(Ø do tubo x Comprimento da tubulação x Altura do lastro: (24,00*0,4 + 183,00*0,6) *0,07 = 8,36m³</t>
  </si>
  <si>
    <t>Volume de escavação - Volume da Tubulação = 
363,00-(0,3²*3,1415*183 + 0,02²*3,14159 *24 = 311,26m³</t>
  </si>
  <si>
    <t>3.2.7</t>
  </si>
  <si>
    <t>4.3.7</t>
  </si>
  <si>
    <t>4.3.8</t>
  </si>
  <si>
    <t>3.2.8</t>
  </si>
  <si>
    <t>Suporte para placa de sinalização em madeira de lei tratada 8 x 8 cm - fornecimento e implantação</t>
  </si>
  <si>
    <t>un</t>
  </si>
  <si>
    <t>Placa de regulamentação em aço D = 0,60 m - película retrorrefletiva tipo I + SI - fornecimento e implantação</t>
  </si>
  <si>
    <t>somatório das Placas = 1+1 = 2 un</t>
  </si>
  <si>
    <t>somatório das Placas = 1+1 = 2 um</t>
  </si>
  <si>
    <t>Meio Fio Serra do pita Fogo</t>
  </si>
  <si>
    <t>somatório de Meio fio 
Lado Esquerdo: 21,7+ 22,7+ 22,4 + 22,31 + 10,72 + 7,18 + 25,38 + 20,22 + 48,54 + 13,5 + 2,46 + 43,92 = 261,03 m 
Lado direito: 21,7 + 22,7 + 22,37 + 18,72 + 8,97 + 7,51 + 27,64 + 20,62 + 53,12 + 16,2 + 40,02 + 32,98 + 22,11 + 33,78 + 15,52 + 31,31 + 22,07 + 14,3 + 34,90 + 28,65 + 6,73 + 17,27 + 17,39 + 32,40 + 17,69 + 12,32 + 3,37 = 602,36m 
Lado Esquerdo perto da Ponte: 6,01 + 1,83 + 3,34 + 2,83 = 14,01m 
Lado Esquerdo antes da Ponte: 40,64 + 13,81 + 6,58 + 3,05 + 2,53 = 66,61m 
Lado direito antes da Ponte: 33,22 + 13,41 + 14,29 + 3,31 = 64,61m 
Total = 261,03 + 602,36 + 14,01 + 66,61 + 64,23 = 1008,24m</t>
  </si>
  <si>
    <t>Lado Esquerdo</t>
  </si>
  <si>
    <t>Lado Esquerdo perto da ponte</t>
  </si>
  <si>
    <t>Lado direito</t>
  </si>
  <si>
    <t>Lado Esquerdo antes da ponte</t>
  </si>
  <si>
    <t>Lado direito antes da ponte</t>
  </si>
  <si>
    <t>Meio Fio Serra da Vila Marques</t>
  </si>
  <si>
    <t>total</t>
  </si>
  <si>
    <t>Sarjeta trapezoidal</t>
  </si>
  <si>
    <t>SARJETA 60-20</t>
  </si>
  <si>
    <t>TOTAL MEIO FIO</t>
  </si>
  <si>
    <t>somatório = 1 + 1 + 1+1 =4</t>
  </si>
  <si>
    <t>somatório = 1 + 1 + 1 +1=4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</si>
</sst>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_(* #,##0.00_);_(* \(#,##0.00\);_(* &quot;-&quot;??_);_(@_)"/>
    <numFmt numFmtId="165" formatCode="_([$€-2]* #,##0.00_);_([$€-2]* \(#,##0.00\);_([$€-2]* &quot;-&quot;??_)"/>
    <numFmt numFmtId="166" formatCode="#,#00"/>
    <numFmt numFmtId="167" formatCode="_(&quot;R$ &quot;* #,##0.00_);_(&quot;R$ &quot;* \(#,##0.00\);_(&quot;R$ &quot;* &quot;-&quot;??_);_(@_)"/>
    <numFmt numFmtId="168" formatCode="&quot;R$&quot;\ #,##0_);[Red]\(&quot;R$&quot;\ #,##0\)"/>
    <numFmt numFmtId="169" formatCode="&quot;R$&quot;\ #,##0.00_);\(&quot;R$&quot;\ #,##0.00\)"/>
    <numFmt numFmtId="170" formatCode="%#,#00"/>
    <numFmt numFmtId="171" formatCode="#.##000"/>
    <numFmt numFmtId="172" formatCode="#,"/>
    <numFmt numFmtId="173" formatCode="&quot;R$&quot;#,##0.00"/>
    <numFmt numFmtId="174" formatCode="&quot;R$&quot;\ #,##0.00"/>
    <numFmt numFmtId="175" formatCode="&quot;Verdadeiro&quot;;&quot;Verdadeiro&quot;;&quot;Falso&quot;"/>
    <numFmt numFmtId="176" formatCode="_(* #,##0.00000_);_(* \(#,##0.00000\);_(* &quot;-&quot;??_);_(@_)"/>
    <numFmt numFmtId="177" formatCode="_(* #,##0_);_(* \(#,##0\);_(* &quot;-&quot;??_);_(@_)"/>
    <numFmt numFmtId="178" formatCode="_-* #,##0.00000_-;\-* #,##0.00000_-;_-* &quot;-&quot;?????_-;_-@_-"/>
  </numFmts>
  <fonts count="6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sz val="10"/>
      <color rgb="FFFF0000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sz val="7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1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26"/>
      <color theme="1"/>
      <name val="Arial Black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indexed="20"/>
      <name val="Arial"/>
      <family val="2"/>
    </font>
    <font>
      <b/>
      <sz val="9"/>
      <name val="Arial"/>
      <family val="2"/>
    </font>
    <font>
      <b/>
      <sz val="9"/>
      <color indexed="23"/>
      <name val="Arial Nova"/>
      <family val="2"/>
    </font>
    <font>
      <sz val="10"/>
      <color indexed="20"/>
      <name val="Arial Nova"/>
      <family val="2"/>
    </font>
    <font>
      <sz val="11"/>
      <name val="Arial Nova"/>
      <family val="2"/>
    </font>
    <font>
      <sz val="11"/>
      <color indexed="20"/>
      <name val="Arial Nova"/>
      <family val="2"/>
    </font>
    <font>
      <b/>
      <sz val="11"/>
      <name val="Arial Nova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Arial"/>
      <family val="2"/>
    </font>
    <font>
      <sz val="8"/>
      <name val="Calibri"/>
      <family val="2"/>
      <scheme val="minor"/>
    </font>
    <font>
      <sz val="8"/>
      <color rgb="FF000000"/>
      <name val="Arial Nova"/>
      <family val="2"/>
    </font>
    <font>
      <b/>
      <sz val="10"/>
      <color indexed="8"/>
      <name val="Arial Nova"/>
      <family val="2"/>
    </font>
    <font>
      <b/>
      <sz val="9"/>
      <color indexed="8"/>
      <name val="Arial Nova"/>
      <family val="2"/>
    </font>
    <font>
      <b/>
      <sz val="16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8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16" applyNumberFormat="0" applyAlignment="0" applyProtection="0"/>
    <xf numFmtId="0" fontId="9" fillId="0" borderId="0">
      <protection locked="0"/>
    </xf>
    <xf numFmtId="165" fontId="6" fillId="0" borderId="0" applyFont="0" applyFill="0" applyBorder="0" applyAlignment="0" applyProtection="0"/>
    <xf numFmtId="0" fontId="10" fillId="0" borderId="0"/>
    <xf numFmtId="0" fontId="10" fillId="0" borderId="0"/>
    <xf numFmtId="164" fontId="11" fillId="0" borderId="0" applyBorder="0" applyProtection="0"/>
    <xf numFmtId="166" fontId="9" fillId="0" borderId="0">
      <protection locked="0"/>
    </xf>
    <xf numFmtId="0" fontId="12" fillId="7" borderId="0" applyNumberFormat="0" applyBorder="0" applyAlignment="0" applyProtection="0"/>
    <xf numFmtId="0" fontId="13" fillId="0" borderId="0">
      <alignment horizontal="left"/>
    </xf>
    <xf numFmtId="0" fontId="14" fillId="8" borderId="17" applyNumberFormat="0" applyAlignment="0" applyProtection="0"/>
    <xf numFmtId="0" fontId="15" fillId="0" borderId="18" applyNumberFormat="0" applyFill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7" fillId="0" borderId="7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8" fillId="9" borderId="0" applyNumberFormat="0" applyBorder="0" applyAlignment="0" applyProtection="0"/>
    <xf numFmtId="0" fontId="6" fillId="0" borderId="0"/>
    <xf numFmtId="0" fontId="6" fillId="0" borderId="0"/>
    <xf numFmtId="0" fontId="3" fillId="0" borderId="0"/>
    <xf numFmtId="0" fontId="6" fillId="10" borderId="19" applyNumberFormat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170" fontId="9" fillId="0" borderId="0">
      <protection locked="0"/>
    </xf>
    <xf numFmtId="171" fontId="9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2" fontId="20" fillId="0" borderId="0">
      <protection locked="0"/>
    </xf>
    <xf numFmtId="164" fontId="6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7" fillId="0" borderId="0"/>
    <xf numFmtId="0" fontId="22" fillId="3" borderId="4">
      <alignment wrapText="1"/>
    </xf>
    <xf numFmtId="0" fontId="22" fillId="3" borderId="4">
      <alignment wrapText="1"/>
    </xf>
    <xf numFmtId="0" fontId="23" fillId="0" borderId="20" applyNumberFormat="0" applyFill="0" applyAlignment="0" applyProtection="0"/>
    <xf numFmtId="172" fontId="24" fillId="0" borderId="0">
      <protection locked="0"/>
    </xf>
    <xf numFmtId="172" fontId="24" fillId="0" borderId="0">
      <protection locked="0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175" fontId="10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</cellStyleXfs>
  <cellXfs count="481">
    <xf numFmtId="0" fontId="0" fillId="0" borderId="0" xfId="0"/>
    <xf numFmtId="0" fontId="29" fillId="0" borderId="0" xfId="0" applyFont="1"/>
    <xf numFmtId="4" fontId="29" fillId="0" borderId="0" xfId="0" applyNumberFormat="1" applyFont="1"/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4" fontId="32" fillId="0" borderId="0" xfId="0" applyNumberFormat="1" applyFont="1" applyAlignment="1">
      <alignment horizontal="center" vertical="center" wrapText="1"/>
    </xf>
    <xf numFmtId="4" fontId="32" fillId="0" borderId="10" xfId="0" applyNumberFormat="1" applyFont="1" applyBorder="1" applyAlignment="1">
      <alignment horizontal="center" vertical="center" wrapText="1"/>
    </xf>
    <xf numFmtId="0" fontId="27" fillId="0" borderId="11" xfId="0" applyFont="1" applyBorder="1" applyAlignment="1">
      <alignment vertical="center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27" fillId="0" borderId="10" xfId="0" applyFont="1" applyBorder="1" applyAlignment="1">
      <alignment vertical="center"/>
    </xf>
    <xf numFmtId="0" fontId="27" fillId="0" borderId="11" xfId="0" applyFont="1" applyBorder="1"/>
    <xf numFmtId="0" fontId="27" fillId="0" borderId="0" xfId="0" applyFont="1"/>
    <xf numFmtId="4" fontId="27" fillId="0" borderId="0" xfId="0" applyNumberFormat="1" applyFont="1"/>
    <xf numFmtId="0" fontId="27" fillId="0" borderId="10" xfId="0" applyFont="1" applyBorder="1"/>
    <xf numFmtId="0" fontId="37" fillId="0" borderId="0" xfId="0" applyFont="1"/>
    <xf numFmtId="0" fontId="32" fillId="2" borderId="5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8" fillId="0" borderId="0" xfId="0" applyFont="1"/>
    <xf numFmtId="49" fontId="32" fillId="2" borderId="1" xfId="0" applyNumberFormat="1" applyFont="1" applyFill="1" applyBorder="1" applyAlignment="1">
      <alignment horizontal="center" vertical="center" wrapText="1"/>
    </xf>
    <xf numFmtId="2" fontId="34" fillId="2" borderId="1" xfId="2" applyNumberFormat="1" applyFont="1" applyFill="1" applyBorder="1" applyAlignment="1">
      <alignment horizontal="center" vertical="center" wrapText="1"/>
    </xf>
    <xf numFmtId="4" fontId="34" fillId="2" borderId="1" xfId="0" applyNumberFormat="1" applyFont="1" applyFill="1" applyBorder="1" applyAlignment="1">
      <alignment horizontal="center" vertical="center" wrapText="1"/>
    </xf>
    <xf numFmtId="4" fontId="32" fillId="0" borderId="4" xfId="0" applyNumberFormat="1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5" fillId="0" borderId="0" xfId="0" applyFont="1"/>
    <xf numFmtId="0" fontId="33" fillId="0" borderId="11" xfId="0" applyFont="1" applyBorder="1"/>
    <xf numFmtId="0" fontId="33" fillId="0" borderId="0" xfId="0" applyFont="1"/>
    <xf numFmtId="4" fontId="33" fillId="0" borderId="0" xfId="0" applyNumberFormat="1" applyFont="1"/>
    <xf numFmtId="0" fontId="33" fillId="0" borderId="10" xfId="0" applyFont="1" applyBorder="1"/>
    <xf numFmtId="0" fontId="39" fillId="0" borderId="0" xfId="0" applyFont="1"/>
    <xf numFmtId="0" fontId="32" fillId="0" borderId="4" xfId="0" applyFont="1" applyBorder="1" applyAlignment="1">
      <alignment horizontal="center" vertical="center"/>
    </xf>
    <xf numFmtId="4" fontId="32" fillId="0" borderId="4" xfId="0" applyNumberFormat="1" applyFont="1" applyBorder="1" applyAlignment="1">
      <alignment horizontal="center" vertical="center"/>
    </xf>
    <xf numFmtId="0" fontId="39" fillId="0" borderId="10" xfId="0" applyFont="1" applyBorder="1"/>
    <xf numFmtId="14" fontId="32" fillId="0" borderId="6" xfId="0" applyNumberFormat="1" applyFont="1" applyBorder="1" applyAlignment="1">
      <alignment horizontal="left" vertical="center"/>
    </xf>
    <xf numFmtId="0" fontId="28" fillId="0" borderId="8" xfId="0" applyFont="1" applyBorder="1" applyAlignment="1">
      <alignment vertical="center" wrapText="1"/>
    </xf>
    <xf numFmtId="0" fontId="27" fillId="11" borderId="0" xfId="3" applyFont="1" applyFill="1"/>
    <xf numFmtId="0" fontId="27" fillId="11" borderId="0" xfId="3" applyFont="1" applyFill="1" applyAlignment="1">
      <alignment vertical="center"/>
    </xf>
    <xf numFmtId="0" fontId="28" fillId="11" borderId="11" xfId="3" applyFont="1" applyFill="1" applyBorder="1" applyAlignment="1">
      <alignment wrapText="1"/>
    </xf>
    <xf numFmtId="0" fontId="28" fillId="11" borderId="0" xfId="3" applyFont="1" applyFill="1" applyAlignment="1">
      <alignment wrapText="1"/>
    </xf>
    <xf numFmtId="0" fontId="27" fillId="11" borderId="0" xfId="3" applyFont="1" applyFill="1" applyAlignment="1">
      <alignment wrapText="1"/>
    </xf>
    <xf numFmtId="0" fontId="27" fillId="11" borderId="11" xfId="3" applyFont="1" applyFill="1" applyBorder="1"/>
    <xf numFmtId="0" fontId="31" fillId="11" borderId="11" xfId="3" applyFont="1" applyFill="1" applyBorder="1"/>
    <xf numFmtId="0" fontId="31" fillId="11" borderId="0" xfId="3" applyFont="1" applyFill="1" applyAlignment="1">
      <alignment wrapText="1"/>
    </xf>
    <xf numFmtId="0" fontId="28" fillId="11" borderId="0" xfId="3" applyFont="1" applyFill="1" applyAlignment="1">
      <alignment horizontal="right"/>
    </xf>
    <xf numFmtId="0" fontId="27" fillId="11" borderId="0" xfId="3" applyFont="1" applyFill="1" applyAlignment="1">
      <alignment horizontal="center" vertical="center"/>
    </xf>
    <xf numFmtId="0" fontId="27" fillId="11" borderId="14" xfId="3" applyFont="1" applyFill="1" applyBorder="1"/>
    <xf numFmtId="0" fontId="27" fillId="11" borderId="9" xfId="3" applyFont="1" applyFill="1" applyBorder="1"/>
    <xf numFmtId="0" fontId="27" fillId="11" borderId="9" xfId="3" applyFont="1" applyFill="1" applyBorder="1" applyAlignment="1">
      <alignment wrapText="1"/>
    </xf>
    <xf numFmtId="0" fontId="31" fillId="11" borderId="4" xfId="3" applyFont="1" applyFill="1" applyBorder="1" applyAlignment="1">
      <alignment horizontal="center" vertical="center"/>
    </xf>
    <xf numFmtId="0" fontId="31" fillId="11" borderId="4" xfId="3" applyFont="1" applyFill="1" applyBorder="1" applyAlignment="1">
      <alignment horizontal="center" vertical="center" wrapText="1"/>
    </xf>
    <xf numFmtId="0" fontId="33" fillId="11" borderId="0" xfId="3" applyFont="1" applyFill="1" applyAlignment="1">
      <alignment wrapText="1"/>
    </xf>
    <xf numFmtId="0" fontId="33" fillId="11" borderId="0" xfId="3" applyFont="1" applyFill="1"/>
    <xf numFmtId="0" fontId="33" fillId="11" borderId="11" xfId="3" applyFont="1" applyFill="1" applyBorder="1"/>
    <xf numFmtId="0" fontId="31" fillId="0" borderId="3" xfId="3" applyFont="1" applyBorder="1" applyAlignment="1">
      <alignment vertical="center"/>
    </xf>
    <xf numFmtId="0" fontId="28" fillId="11" borderId="11" xfId="3" applyFont="1" applyFill="1" applyBorder="1" applyAlignment="1">
      <alignment horizontal="right"/>
    </xf>
    <xf numFmtId="14" fontId="31" fillId="11" borderId="2" xfId="3" applyNumberFormat="1" applyFont="1" applyFill="1" applyBorder="1" applyAlignment="1">
      <alignment horizontal="left" vertical="center"/>
    </xf>
    <xf numFmtId="0" fontId="31" fillId="11" borderId="8" xfId="3" applyFont="1" applyFill="1" applyBorder="1" applyAlignment="1">
      <alignment horizontal="right" vertical="center"/>
    </xf>
    <xf numFmtId="49" fontId="31" fillId="11" borderId="4" xfId="3" applyNumberFormat="1" applyFont="1" applyFill="1" applyBorder="1" applyAlignment="1">
      <alignment horizontal="center" vertical="center" wrapText="1"/>
    </xf>
    <xf numFmtId="49" fontId="33" fillId="11" borderId="4" xfId="3" applyNumberFormat="1" applyFont="1" applyFill="1" applyBorder="1" applyAlignment="1">
      <alignment horizontal="center" vertical="center" wrapText="1"/>
    </xf>
    <xf numFmtId="0" fontId="33" fillId="11" borderId="0" xfId="3" applyFont="1" applyFill="1" applyAlignment="1">
      <alignment horizontal="center" vertical="center"/>
    </xf>
    <xf numFmtId="0" fontId="34" fillId="0" borderId="0" xfId="0" applyFont="1"/>
    <xf numFmtId="4" fontId="34" fillId="0" borderId="0" xfId="0" applyNumberFormat="1" applyFont="1"/>
    <xf numFmtId="9" fontId="27" fillId="0" borderId="0" xfId="1" applyFont="1"/>
    <xf numFmtId="0" fontId="27" fillId="0" borderId="14" xfId="0" applyFont="1" applyBorder="1"/>
    <xf numFmtId="0" fontId="27" fillId="0" borderId="9" xfId="0" applyFont="1" applyBorder="1"/>
    <xf numFmtId="4" fontId="27" fillId="0" borderId="9" xfId="0" applyNumberFormat="1" applyFont="1" applyBorder="1"/>
    <xf numFmtId="0" fontId="27" fillId="0" borderId="15" xfId="0" applyFont="1" applyBorder="1"/>
    <xf numFmtId="0" fontId="34" fillId="0" borderId="4" xfId="0" applyFont="1" applyBorder="1" applyAlignment="1">
      <alignment horizontal="center" vertical="center" wrapText="1"/>
    </xf>
    <xf numFmtId="0" fontId="42" fillId="0" borderId="6" xfId="0" applyFont="1" applyBorder="1" applyAlignment="1">
      <alignment vertical="center"/>
    </xf>
    <xf numFmtId="10" fontId="42" fillId="12" borderId="4" xfId="0" applyNumberFormat="1" applyFont="1" applyFill="1" applyBorder="1" applyAlignment="1">
      <alignment horizontal="center" vertical="center"/>
    </xf>
    <xf numFmtId="10" fontId="42" fillId="12" borderId="4" xfId="1" applyNumberFormat="1" applyFont="1" applyFill="1" applyBorder="1" applyAlignment="1">
      <alignment horizontal="center" vertical="center"/>
    </xf>
    <xf numFmtId="0" fontId="41" fillId="0" borderId="4" xfId="0" applyFont="1" applyBorder="1" applyAlignment="1">
      <alignment horizontal="center" vertical="center" wrapText="1"/>
    </xf>
    <xf numFmtId="4" fontId="42" fillId="0" borderId="4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/>
    </xf>
    <xf numFmtId="0" fontId="42" fillId="2" borderId="1" xfId="0" applyFont="1" applyFill="1" applyBorder="1" applyAlignment="1">
      <alignment horizontal="center" vertical="center" wrapText="1"/>
    </xf>
    <xf numFmtId="4" fontId="42" fillId="0" borderId="12" xfId="0" applyNumberFormat="1" applyFont="1" applyBorder="1" applyAlignment="1">
      <alignment horizontal="center" vertical="center" wrapText="1"/>
    </xf>
    <xf numFmtId="173" fontId="34" fillId="0" borderId="0" xfId="0" applyNumberFormat="1" applyFont="1"/>
    <xf numFmtId="10" fontId="31" fillId="11" borderId="4" xfId="3" applyNumberFormat="1" applyFont="1" applyFill="1" applyBorder="1" applyAlignment="1">
      <alignment horizontal="center" vertical="center" wrapText="1"/>
    </xf>
    <xf numFmtId="10" fontId="27" fillId="11" borderId="0" xfId="3" applyNumberFormat="1" applyFont="1" applyFill="1" applyAlignment="1">
      <alignment vertical="center"/>
    </xf>
    <xf numFmtId="174" fontId="27" fillId="11" borderId="0" xfId="3" applyNumberFormat="1" applyFont="1" applyFill="1"/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7" fillId="0" borderId="5" xfId="0" applyFont="1" applyBorder="1"/>
    <xf numFmtId="0" fontId="27" fillId="0" borderId="1" xfId="0" applyFont="1" applyBorder="1"/>
    <xf numFmtId="49" fontId="34" fillId="0" borderId="4" xfId="2" applyNumberFormat="1" applyFont="1" applyFill="1" applyBorder="1" applyAlignment="1" applyProtection="1">
      <alignment horizontal="left" vertical="center" wrapText="1" shrinkToFit="1"/>
      <protection locked="0"/>
    </xf>
    <xf numFmtId="0" fontId="49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164" fontId="4" fillId="0" borderId="0" xfId="2" applyFont="1" applyBorder="1"/>
    <xf numFmtId="0" fontId="52" fillId="0" borderId="0" xfId="0" applyFont="1"/>
    <xf numFmtId="0" fontId="53" fillId="0" borderId="0" xfId="0" applyFont="1"/>
    <xf numFmtId="164" fontId="52" fillId="0" borderId="0" xfId="2" applyFont="1" applyBorder="1"/>
    <xf numFmtId="164" fontId="27" fillId="0" borderId="0" xfId="2" applyFont="1" applyBorder="1"/>
    <xf numFmtId="164" fontId="57" fillId="0" borderId="0" xfId="2" applyFont="1" applyBorder="1"/>
    <xf numFmtId="177" fontId="57" fillId="0" borderId="0" xfId="2" applyNumberFormat="1" applyFont="1" applyBorder="1"/>
    <xf numFmtId="0" fontId="59" fillId="0" borderId="22" xfId="0" applyFont="1" applyBorder="1" applyAlignment="1">
      <alignment horizontal="right"/>
    </xf>
    <xf numFmtId="0" fontId="0" fillId="0" borderId="10" xfId="0" applyBorder="1"/>
    <xf numFmtId="14" fontId="27" fillId="0" borderId="9" xfId="0" applyNumberFormat="1" applyFont="1" applyBorder="1" applyAlignment="1">
      <alignment horizontal="left" vertical="top"/>
    </xf>
    <xf numFmtId="0" fontId="0" fillId="0" borderId="9" xfId="0" applyBorder="1"/>
    <xf numFmtId="0" fontId="0" fillId="0" borderId="15" xfId="0" applyBorder="1"/>
    <xf numFmtId="0" fontId="27" fillId="0" borderId="14" xfId="0" applyFont="1" applyBorder="1" applyAlignment="1">
      <alignment vertical="top"/>
    </xf>
    <xf numFmtId="0" fontId="27" fillId="0" borderId="9" xfId="0" applyFont="1" applyBorder="1" applyAlignment="1">
      <alignment vertical="top"/>
    </xf>
    <xf numFmtId="0" fontId="50" fillId="0" borderId="11" xfId="0" applyFont="1" applyBorder="1" applyAlignment="1">
      <alignment vertical="distributed"/>
    </xf>
    <xf numFmtId="0" fontId="51" fillId="0" borderId="11" xfId="0" applyFont="1" applyBorder="1" applyAlignment="1">
      <alignment vertical="distributed"/>
    </xf>
    <xf numFmtId="0" fontId="51" fillId="0" borderId="0" xfId="0" applyFont="1" applyAlignment="1">
      <alignment vertical="distributed"/>
    </xf>
    <xf numFmtId="0" fontId="51" fillId="0" borderId="10" xfId="0" applyFont="1" applyBorder="1" applyAlignment="1">
      <alignment vertical="distributed"/>
    </xf>
    <xf numFmtId="0" fontId="4" fillId="0" borderId="11" xfId="0" applyFont="1" applyBorder="1"/>
    <xf numFmtId="0" fontId="4" fillId="0" borderId="10" xfId="0" applyFont="1" applyBorder="1"/>
    <xf numFmtId="0" fontId="56" fillId="0" borderId="10" xfId="0" applyFont="1" applyBorder="1"/>
    <xf numFmtId="0" fontId="57" fillId="0" borderId="11" xfId="0" applyFont="1" applyBorder="1"/>
    <xf numFmtId="0" fontId="57" fillId="0" borderId="0" xfId="0" applyFont="1"/>
    <xf numFmtId="0" fontId="58" fillId="0" borderId="0" xfId="0" applyFont="1"/>
    <xf numFmtId="0" fontId="58" fillId="0" borderId="10" xfId="0" applyFont="1" applyBorder="1"/>
    <xf numFmtId="0" fontId="57" fillId="0" borderId="10" xfId="0" applyFont="1" applyBorder="1"/>
    <xf numFmtId="0" fontId="59" fillId="0" borderId="0" xfId="0" applyFont="1" applyAlignment="1">
      <alignment horizontal="right"/>
    </xf>
    <xf numFmtId="0" fontId="57" fillId="0" borderId="0" xfId="0" applyFont="1" applyAlignment="1">
      <alignment horizontal="center" vertical="center"/>
    </xf>
    <xf numFmtId="178" fontId="57" fillId="0" borderId="0" xfId="0" applyNumberFormat="1" applyFont="1"/>
    <xf numFmtId="0" fontId="52" fillId="0" borderId="11" xfId="0" applyFont="1" applyBorder="1"/>
    <xf numFmtId="0" fontId="54" fillId="0" borderId="10" xfId="0" applyFont="1" applyBorder="1" applyAlignment="1">
      <alignment vertical="distributed"/>
    </xf>
    <xf numFmtId="0" fontId="52" fillId="0" borderId="10" xfId="0" applyFont="1" applyBorder="1"/>
    <xf numFmtId="0" fontId="52" fillId="0" borderId="14" xfId="0" applyFont="1" applyBorder="1"/>
    <xf numFmtId="0" fontId="52" fillId="0" borderId="9" xfId="0" applyFont="1" applyBorder="1"/>
    <xf numFmtId="0" fontId="53" fillId="0" borderId="9" xfId="0" applyFont="1" applyBorder="1"/>
    <xf numFmtId="164" fontId="52" fillId="0" borderId="9" xfId="2" applyFont="1" applyBorder="1"/>
    <xf numFmtId="0" fontId="52" fillId="0" borderId="15" xfId="0" applyFont="1" applyBorder="1"/>
    <xf numFmtId="0" fontId="28" fillId="0" borderId="5" xfId="0" applyFont="1" applyBorder="1" applyAlignment="1">
      <alignment vertical="top" wrapText="1"/>
    </xf>
    <xf numFmtId="0" fontId="27" fillId="0" borderId="11" xfId="0" applyFont="1" applyBorder="1" applyAlignment="1">
      <alignment vertical="top" wrapText="1"/>
    </xf>
    <xf numFmtId="0" fontId="27" fillId="0" borderId="5" xfId="0" applyFont="1" applyBorder="1" applyAlignment="1">
      <alignment vertical="top" wrapText="1"/>
    </xf>
    <xf numFmtId="0" fontId="27" fillId="0" borderId="14" xfId="0" applyFont="1" applyBorder="1" applyAlignment="1">
      <alignment vertical="top" wrapText="1"/>
    </xf>
    <xf numFmtId="0" fontId="28" fillId="0" borderId="6" xfId="0" applyFont="1" applyBorder="1" applyAlignment="1">
      <alignment horizontal="center"/>
    </xf>
    <xf numFmtId="164" fontId="28" fillId="0" borderId="6" xfId="2" applyFont="1" applyBorder="1" applyAlignment="1">
      <alignment vertical="center"/>
    </xf>
    <xf numFmtId="2" fontId="28" fillId="0" borderId="15" xfId="2" applyNumberFormat="1" applyFont="1" applyBorder="1" applyAlignment="1">
      <alignment vertical="center"/>
    </xf>
    <xf numFmtId="164" fontId="55" fillId="0" borderId="6" xfId="2" applyFont="1" applyBorder="1" applyAlignment="1">
      <alignment horizontal="center" vertical="top" wrapText="1"/>
    </xf>
    <xf numFmtId="176" fontId="27" fillId="0" borderId="10" xfId="2" applyNumberFormat="1" applyFont="1" applyBorder="1" applyAlignment="1">
      <alignment horizontal="center" vertical="top" wrapText="1"/>
    </xf>
    <xf numFmtId="176" fontId="27" fillId="0" borderId="6" xfId="2" applyNumberFormat="1" applyFont="1" applyBorder="1" applyAlignment="1">
      <alignment horizontal="center" vertical="top" wrapText="1"/>
    </xf>
    <xf numFmtId="176" fontId="27" fillId="0" borderId="15" xfId="2" applyNumberFormat="1" applyFont="1" applyBorder="1" applyAlignment="1">
      <alignment horizontal="center" vertical="top" wrapText="1"/>
    </xf>
    <xf numFmtId="49" fontId="61" fillId="13" borderId="4" xfId="0" applyNumberFormat="1" applyFont="1" applyFill="1" applyBorder="1" applyAlignment="1" applyProtection="1">
      <alignment horizontal="center" vertical="center" wrapText="1"/>
      <protection locked="0"/>
    </xf>
    <xf numFmtId="0" fontId="61" fillId="0" borderId="4" xfId="0" applyFont="1" applyBorder="1" applyAlignment="1">
      <alignment horizontal="center" vertical="center" wrapText="1"/>
    </xf>
    <xf numFmtId="0" fontId="61" fillId="13" borderId="4" xfId="0" applyFont="1" applyFill="1" applyBorder="1" applyAlignment="1" applyProtection="1">
      <alignment horizontal="center" vertical="center" wrapText="1"/>
      <protection locked="0"/>
    </xf>
    <xf numFmtId="4" fontId="61" fillId="0" borderId="4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173" fontId="44" fillId="0" borderId="10" xfId="0" applyNumberFormat="1" applyFont="1" applyBorder="1" applyAlignment="1">
      <alignment horizontal="center" vertical="center" wrapText="1"/>
    </xf>
    <xf numFmtId="0" fontId="0" fillId="0" borderId="11" xfId="0" applyBorder="1"/>
    <xf numFmtId="0" fontId="0" fillId="0" borderId="14" xfId="0" applyBorder="1"/>
    <xf numFmtId="0" fontId="28" fillId="0" borderId="6" xfId="0" applyFont="1" applyBorder="1" applyAlignment="1">
      <alignment vertical="center" wrapText="1"/>
    </xf>
    <xf numFmtId="2" fontId="32" fillId="0" borderId="4" xfId="0" applyNumberFormat="1" applyFont="1" applyBorder="1" applyAlignment="1">
      <alignment horizontal="center" vertical="center"/>
    </xf>
    <xf numFmtId="0" fontId="63" fillId="0" borderId="4" xfId="0" applyFont="1" applyBorder="1" applyAlignment="1">
      <alignment horizontal="center" vertical="center"/>
    </xf>
    <xf numFmtId="14" fontId="34" fillId="0" borderId="9" xfId="0" applyNumberFormat="1" applyFont="1" applyBorder="1" applyAlignment="1">
      <alignment horizontal="left" vertical="top"/>
    </xf>
    <xf numFmtId="0" fontId="32" fillId="0" borderId="4" xfId="0" applyFont="1" applyBorder="1" applyAlignment="1">
      <alignment vertical="center"/>
    </xf>
    <xf numFmtId="2" fontId="28" fillId="0" borderId="1" xfId="0" applyNumberFormat="1" applyFont="1" applyBorder="1" applyAlignment="1">
      <alignment vertical="center" wrapText="1"/>
    </xf>
    <xf numFmtId="2" fontId="39" fillId="0" borderId="1" xfId="0" applyNumberFormat="1" applyFont="1" applyBorder="1"/>
    <xf numFmtId="2" fontId="32" fillId="0" borderId="5" xfId="0" applyNumberFormat="1" applyFont="1" applyBorder="1" applyAlignment="1">
      <alignment horizontal="right" vertical="center"/>
    </xf>
    <xf numFmtId="2" fontId="32" fillId="0" borderId="5" xfId="0" applyNumberFormat="1" applyFont="1" applyBorder="1" applyAlignment="1">
      <alignment horizontal="center" vertical="center"/>
    </xf>
    <xf numFmtId="2" fontId="32" fillId="0" borderId="1" xfId="0" applyNumberFormat="1" applyFont="1" applyBorder="1" applyAlignment="1">
      <alignment horizontal="center" vertical="center"/>
    </xf>
    <xf numFmtId="2" fontId="29" fillId="0" borderId="0" xfId="0" applyNumberFormat="1" applyFont="1"/>
    <xf numFmtId="0" fontId="64" fillId="0" borderId="4" xfId="0" applyFont="1" applyBorder="1" applyAlignment="1">
      <alignment horizontal="center" vertical="center"/>
    </xf>
    <xf numFmtId="0" fontId="59" fillId="0" borderId="0" xfId="0" applyFont="1" applyAlignment="1">
      <alignment horizontal="center"/>
    </xf>
    <xf numFmtId="0" fontId="54" fillId="0" borderId="0" xfId="0" applyFont="1" applyAlignment="1">
      <alignment horizontal="center" vertical="distributed"/>
    </xf>
    <xf numFmtId="2" fontId="41" fillId="0" borderId="4" xfId="0" applyNumberFormat="1" applyFont="1" applyBorder="1" applyAlignment="1">
      <alignment horizontal="left" vertical="center" wrapText="1"/>
    </xf>
    <xf numFmtId="0" fontId="34" fillId="0" borderId="5" xfId="0" applyFont="1" applyBorder="1" applyAlignment="1">
      <alignment horizontal="center" vertical="center"/>
    </xf>
    <xf numFmtId="0" fontId="34" fillId="0" borderId="4" xfId="67" applyFont="1" applyBorder="1" applyAlignment="1">
      <alignment horizontal="center" vertical="center"/>
    </xf>
    <xf numFmtId="49" fontId="60" fillId="13" borderId="4" xfId="67" applyNumberFormat="1" applyFont="1" applyFill="1" applyBorder="1" applyAlignment="1" applyProtection="1">
      <alignment horizontal="center" vertical="center" wrapText="1"/>
      <protection locked="0"/>
    </xf>
    <xf numFmtId="0" fontId="60" fillId="3" borderId="4" xfId="67" applyFont="1" applyFill="1" applyBorder="1" applyAlignment="1">
      <alignment horizontal="center" vertical="center"/>
    </xf>
    <xf numFmtId="4" fontId="60" fillId="3" borderId="4" xfId="67" applyNumberFormat="1" applyFont="1" applyFill="1" applyBorder="1" applyAlignment="1">
      <alignment horizontal="center" vertical="center"/>
    </xf>
    <xf numFmtId="49" fontId="61" fillId="13" borderId="4" xfId="67" applyNumberFormat="1" applyFont="1" applyFill="1" applyBorder="1" applyAlignment="1" applyProtection="1">
      <alignment horizontal="center" vertical="center" wrapText="1"/>
      <protection locked="0"/>
    </xf>
    <xf numFmtId="0" fontId="61" fillId="13" borderId="4" xfId="67" applyFont="1" applyFill="1" applyBorder="1" applyAlignment="1" applyProtection="1">
      <alignment horizontal="center" vertical="center" wrapText="1"/>
      <protection locked="0"/>
    </xf>
    <xf numFmtId="0" fontId="61" fillId="0" borderId="4" xfId="67" applyFont="1" applyBorder="1" applyAlignment="1">
      <alignment horizontal="center" vertical="center" wrapText="1"/>
    </xf>
    <xf numFmtId="4" fontId="61" fillId="0" borderId="4" xfId="67" applyNumberFormat="1" applyFont="1" applyBorder="1" applyAlignment="1">
      <alignment horizontal="center" vertical="center" wrapText="1"/>
    </xf>
    <xf numFmtId="4" fontId="63" fillId="0" borderId="4" xfId="67" applyNumberFormat="1" applyFont="1" applyBorder="1" applyAlignment="1">
      <alignment horizontal="center" vertical="center"/>
    </xf>
    <xf numFmtId="0" fontId="63" fillId="0" borderId="4" xfId="67" applyFont="1" applyBorder="1" applyAlignment="1">
      <alignment horizontal="center" vertical="center"/>
    </xf>
    <xf numFmtId="0" fontId="61" fillId="0" borderId="4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60" fillId="13" borderId="4" xfId="67" applyNumberFormat="1" applyFont="1" applyFill="1" applyBorder="1" applyAlignment="1" applyProtection="1">
      <alignment horizontal="left" vertical="center" wrapText="1"/>
      <protection locked="0"/>
    </xf>
    <xf numFmtId="0" fontId="34" fillId="0" borderId="4" xfId="0" applyFont="1" applyBorder="1" applyAlignment="1">
      <alignment vertical="center" wrapText="1"/>
    </xf>
    <xf numFmtId="0" fontId="34" fillId="0" borderId="0" xfId="0" applyFont="1" applyAlignment="1">
      <alignment vertical="center" wrapText="1"/>
    </xf>
    <xf numFmtId="0" fontId="64" fillId="0" borderId="4" xfId="0" applyFont="1" applyBorder="1" applyAlignment="1">
      <alignment vertical="center" wrapText="1"/>
    </xf>
    <xf numFmtId="0" fontId="34" fillId="0" borderId="4" xfId="67" applyFont="1" applyBorder="1" applyAlignment="1">
      <alignment vertical="center" wrapText="1"/>
    </xf>
    <xf numFmtId="0" fontId="34" fillId="0" borderId="4" xfId="0" quotePrefix="1" applyFont="1" applyBorder="1" applyAlignment="1">
      <alignment horizontal="left" vertical="center" wrapText="1"/>
    </xf>
    <xf numFmtId="0" fontId="33" fillId="0" borderId="0" xfId="0" applyFont="1" applyAlignment="1">
      <alignment horizontal="center"/>
    </xf>
    <xf numFmtId="0" fontId="32" fillId="11" borderId="5" xfId="3" applyFont="1" applyFill="1" applyBorder="1" applyAlignment="1">
      <alignment horizontal="center" vertical="center" wrapText="1"/>
    </xf>
    <xf numFmtId="0" fontId="31" fillId="11" borderId="2" xfId="3" applyFont="1" applyFill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10" fontId="59" fillId="0" borderId="0" xfId="0" applyNumberFormat="1" applyFont="1" applyAlignment="1">
      <alignment horizontal="center" vertical="center"/>
    </xf>
    <xf numFmtId="10" fontId="59" fillId="0" borderId="23" xfId="1" applyNumberFormat="1" applyFont="1" applyBorder="1" applyAlignment="1">
      <alignment horizontal="center" vertical="center"/>
    </xf>
    <xf numFmtId="0" fontId="34" fillId="0" borderId="1" xfId="0" applyFont="1" applyBorder="1" applyAlignment="1">
      <alignment vertical="center" wrapText="1"/>
    </xf>
    <xf numFmtId="49" fontId="34" fillId="0" borderId="4" xfId="0" applyNumberFormat="1" applyFont="1" applyBorder="1" applyAlignment="1">
      <alignment horizontal="center" vertical="center"/>
    </xf>
    <xf numFmtId="0" fontId="41" fillId="0" borderId="13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/>
    </xf>
    <xf numFmtId="0" fontId="34" fillId="0" borderId="13" xfId="0" applyFont="1" applyBorder="1" applyAlignment="1">
      <alignment vertical="center" wrapText="1"/>
    </xf>
    <xf numFmtId="4" fontId="42" fillId="0" borderId="13" xfId="0" applyNumberFormat="1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/>
    </xf>
    <xf numFmtId="0" fontId="34" fillId="0" borderId="8" xfId="0" applyFont="1" applyBorder="1" applyAlignment="1">
      <alignment vertical="center" wrapText="1"/>
    </xf>
    <xf numFmtId="4" fontId="42" fillId="0" borderId="8" xfId="0" applyNumberFormat="1" applyFont="1" applyBorder="1" applyAlignment="1">
      <alignment horizontal="center" vertical="center" wrapText="1"/>
    </xf>
    <xf numFmtId="174" fontId="34" fillId="0" borderId="8" xfId="0" applyNumberFormat="1" applyFont="1" applyBorder="1" applyAlignment="1">
      <alignment horizontal="center" vertical="center"/>
    </xf>
    <xf numFmtId="173" fontId="41" fillId="0" borderId="8" xfId="0" applyNumberFormat="1" applyFont="1" applyBorder="1" applyAlignment="1">
      <alignment horizontal="center" vertical="center" wrapText="1"/>
    </xf>
    <xf numFmtId="173" fontId="41" fillId="0" borderId="2" xfId="0" applyNumberFormat="1" applyFont="1" applyBorder="1" applyAlignment="1">
      <alignment horizontal="center" vertical="center" wrapText="1"/>
    </xf>
    <xf numFmtId="0" fontId="41" fillId="0" borderId="1" xfId="0" applyFont="1" applyBorder="1" applyAlignment="1">
      <alignment horizontal="right" vertical="center" wrapText="1"/>
    </xf>
    <xf numFmtId="0" fontId="34" fillId="0" borderId="1" xfId="0" applyFont="1" applyBorder="1" applyAlignment="1">
      <alignment horizontal="right" vertical="center"/>
    </xf>
    <xf numFmtId="4" fontId="42" fillId="0" borderId="1" xfId="0" applyNumberFormat="1" applyFont="1" applyBorder="1" applyAlignment="1">
      <alignment horizontal="right" vertical="center" wrapText="1"/>
    </xf>
    <xf numFmtId="0" fontId="32" fillId="0" borderId="1" xfId="0" quotePrefix="1" applyFont="1" applyBorder="1" applyAlignment="1">
      <alignment horizontal="right" vertical="center" wrapText="1"/>
    </xf>
    <xf numFmtId="4" fontId="32" fillId="0" borderId="12" xfId="0" applyNumberFormat="1" applyFont="1" applyBorder="1" applyAlignment="1">
      <alignment horizontal="center" vertical="center" wrapText="1"/>
    </xf>
    <xf numFmtId="0" fontId="41" fillId="2" borderId="9" xfId="0" applyFont="1" applyFill="1" applyBorder="1" applyAlignment="1">
      <alignment horizontal="center" vertical="center" wrapText="1"/>
    </xf>
    <xf numFmtId="0" fontId="34" fillId="2" borderId="9" xfId="0" applyFont="1" applyFill="1" applyBorder="1" applyAlignment="1">
      <alignment horizontal="center" vertical="center"/>
    </xf>
    <xf numFmtId="0" fontId="32" fillId="2" borderId="9" xfId="0" applyFont="1" applyFill="1" applyBorder="1" applyAlignment="1">
      <alignment horizontal="center" vertical="center" wrapText="1"/>
    </xf>
    <xf numFmtId="4" fontId="42" fillId="2" borderId="9" xfId="0" applyNumberFormat="1" applyFont="1" applyFill="1" applyBorder="1" applyAlignment="1">
      <alignment horizontal="center" vertical="center" wrapText="1"/>
    </xf>
    <xf numFmtId="0" fontId="41" fillId="14" borderId="5" xfId="0" applyFont="1" applyFill="1" applyBorder="1" applyAlignment="1">
      <alignment horizontal="center" vertical="center" wrapText="1"/>
    </xf>
    <xf numFmtId="0" fontId="34" fillId="14" borderId="1" xfId="0" applyFont="1" applyFill="1" applyBorder="1" applyAlignment="1">
      <alignment horizontal="center" vertical="center"/>
    </xf>
    <xf numFmtId="0" fontId="32" fillId="14" borderId="1" xfId="0" applyFont="1" applyFill="1" applyBorder="1" applyAlignment="1">
      <alignment horizontal="center" vertical="center" wrapText="1"/>
    </xf>
    <xf numFmtId="4" fontId="42" fillId="14" borderId="1" xfId="0" applyNumberFormat="1" applyFont="1" applyFill="1" applyBorder="1" applyAlignment="1">
      <alignment horizontal="center" vertical="center" wrapText="1"/>
    </xf>
    <xf numFmtId="174" fontId="34" fillId="14" borderId="1" xfId="0" applyNumberFormat="1" applyFont="1" applyFill="1" applyBorder="1" applyAlignment="1">
      <alignment horizontal="center" vertical="center"/>
    </xf>
    <xf numFmtId="173" fontId="41" fillId="14" borderId="1" xfId="0" applyNumberFormat="1" applyFont="1" applyFill="1" applyBorder="1" applyAlignment="1">
      <alignment horizontal="center" vertical="center" wrapText="1"/>
    </xf>
    <xf numFmtId="173" fontId="41" fillId="14" borderId="6" xfId="0" applyNumberFormat="1" applyFont="1" applyFill="1" applyBorder="1" applyAlignment="1">
      <alignment horizontal="center" vertical="center" wrapText="1"/>
    </xf>
    <xf numFmtId="2" fontId="32" fillId="14" borderId="1" xfId="0" applyNumberFormat="1" applyFont="1" applyFill="1" applyBorder="1" applyAlignment="1">
      <alignment horizontal="center" vertical="center"/>
    </xf>
    <xf numFmtId="164" fontId="34" fillId="2" borderId="9" xfId="2" applyFont="1" applyFill="1" applyBorder="1" applyAlignment="1">
      <alignment horizontal="center" vertical="center"/>
    </xf>
    <xf numFmtId="164" fontId="41" fillId="2" borderId="9" xfId="2" applyFont="1" applyFill="1" applyBorder="1" applyAlignment="1">
      <alignment horizontal="center" vertical="center" wrapText="1"/>
    </xf>
    <xf numFmtId="164" fontId="42" fillId="2" borderId="15" xfId="2" applyFont="1" applyFill="1" applyBorder="1" applyAlignment="1">
      <alignment horizontal="center" vertical="center" wrapText="1"/>
    </xf>
    <xf numFmtId="164" fontId="34" fillId="0" borderId="4" xfId="2" applyFont="1" applyBorder="1" applyAlignment="1">
      <alignment horizontal="center" vertical="center"/>
    </xf>
    <xf numFmtId="164" fontId="41" fillId="0" borderId="4" xfId="2" applyFont="1" applyBorder="1" applyAlignment="1">
      <alignment horizontal="center" vertical="center" wrapText="1"/>
    </xf>
    <xf numFmtId="164" fontId="34" fillId="2" borderId="1" xfId="2" applyFont="1" applyFill="1" applyBorder="1" applyAlignment="1">
      <alignment horizontal="center" vertical="center" wrapText="1"/>
    </xf>
    <xf numFmtId="164" fontId="42" fillId="2" borderId="6" xfId="2" applyFont="1" applyFill="1" applyBorder="1" applyAlignment="1">
      <alignment horizontal="center" vertical="center" wrapText="1"/>
    </xf>
    <xf numFmtId="164" fontId="41" fillId="0" borderId="12" xfId="2" applyFont="1" applyBorder="1" applyAlignment="1">
      <alignment horizontal="center" vertical="center" wrapText="1"/>
    </xf>
    <xf numFmtId="164" fontId="32" fillId="2" borderId="1" xfId="2" applyFont="1" applyFill="1" applyBorder="1" applyAlignment="1">
      <alignment horizontal="center" vertical="center" wrapText="1"/>
    </xf>
    <xf numFmtId="164" fontId="42" fillId="2" borderId="4" xfId="2" applyFont="1" applyFill="1" applyBorder="1" applyAlignment="1">
      <alignment horizontal="center" vertical="center" wrapText="1"/>
    </xf>
    <xf numFmtId="164" fontId="34" fillId="0" borderId="13" xfId="2" applyFont="1" applyBorder="1" applyAlignment="1">
      <alignment horizontal="center" vertical="center"/>
    </xf>
    <xf numFmtId="164" fontId="41" fillId="0" borderId="13" xfId="2" applyFont="1" applyBorder="1" applyAlignment="1">
      <alignment horizontal="center" vertical="center" wrapText="1"/>
    </xf>
    <xf numFmtId="164" fontId="34" fillId="0" borderId="1" xfId="2" applyFont="1" applyBorder="1" applyAlignment="1">
      <alignment horizontal="right" vertical="center"/>
    </xf>
    <xf numFmtId="164" fontId="41" fillId="0" borderId="1" xfId="2" applyFont="1" applyBorder="1" applyAlignment="1">
      <alignment horizontal="right" vertical="center" wrapText="1"/>
    </xf>
    <xf numFmtId="164" fontId="42" fillId="0" borderId="4" xfId="2" applyFont="1" applyBorder="1" applyAlignment="1">
      <alignment horizontal="right" vertical="center" wrapText="1"/>
    </xf>
    <xf numFmtId="164" fontId="34" fillId="0" borderId="4" xfId="2" applyFont="1" applyBorder="1" applyAlignment="1">
      <alignment horizontal="center" vertical="center" wrapText="1"/>
    </xf>
    <xf numFmtId="164" fontId="34" fillId="0" borderId="1" xfId="2" applyFont="1" applyBorder="1" applyAlignment="1">
      <alignment horizontal="center" vertical="center" wrapText="1"/>
    </xf>
    <xf numFmtId="164" fontId="41" fillId="0" borderId="1" xfId="2" applyFont="1" applyBorder="1" applyAlignment="1">
      <alignment horizontal="center" vertical="center" wrapText="1"/>
    </xf>
    <xf numFmtId="164" fontId="41" fillId="0" borderId="6" xfId="2" applyFont="1" applyBorder="1" applyAlignment="1">
      <alignment horizontal="center" vertical="center" wrapText="1"/>
    </xf>
    <xf numFmtId="164" fontId="34" fillId="14" borderId="1" xfId="2" applyFont="1" applyFill="1" applyBorder="1" applyAlignment="1">
      <alignment horizontal="center" vertical="center" wrapText="1"/>
    </xf>
    <xf numFmtId="164" fontId="41" fillId="14" borderId="1" xfId="2" applyFont="1" applyFill="1" applyBorder="1" applyAlignment="1">
      <alignment horizontal="center" vertical="center" wrapText="1"/>
    </xf>
    <xf numFmtId="164" fontId="41" fillId="14" borderId="6" xfId="2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3" fillId="0" borderId="10" xfId="0" applyFont="1" applyBorder="1" applyAlignment="1">
      <alignment vertical="center"/>
    </xf>
    <xf numFmtId="0" fontId="41" fillId="0" borderId="3" xfId="0" applyFont="1" applyBorder="1" applyAlignment="1">
      <alignment horizontal="right" vertical="center" wrapText="1"/>
    </xf>
    <xf numFmtId="0" fontId="41" fillId="0" borderId="8" xfId="0" applyFont="1" applyBorder="1" applyAlignment="1">
      <alignment horizontal="right" vertical="center" wrapText="1"/>
    </xf>
    <xf numFmtId="0" fontId="34" fillId="0" borderId="8" xfId="0" applyFont="1" applyBorder="1" applyAlignment="1">
      <alignment horizontal="right" vertical="center"/>
    </xf>
    <xf numFmtId="0" fontId="32" fillId="0" borderId="8" xfId="0" quotePrefix="1" applyFont="1" applyBorder="1" applyAlignment="1">
      <alignment horizontal="right" vertical="center" wrapText="1"/>
    </xf>
    <xf numFmtId="4" fontId="42" fillId="0" borderId="8" xfId="0" applyNumberFormat="1" applyFont="1" applyBorder="1" applyAlignment="1">
      <alignment horizontal="right" vertical="center" wrapText="1"/>
    </xf>
    <xf numFmtId="164" fontId="34" fillId="0" borderId="8" xfId="2" applyFont="1" applyBorder="1" applyAlignment="1">
      <alignment horizontal="right" vertical="center"/>
    </xf>
    <xf numFmtId="164" fontId="41" fillId="0" borderId="8" xfId="2" applyFont="1" applyBorder="1" applyAlignment="1">
      <alignment horizontal="right" vertical="center" wrapText="1"/>
    </xf>
    <xf numFmtId="164" fontId="42" fillId="0" borderId="13" xfId="2" applyFont="1" applyBorder="1" applyAlignment="1">
      <alignment horizontal="right" vertical="center" wrapText="1"/>
    </xf>
    <xf numFmtId="0" fontId="31" fillId="0" borderId="14" xfId="0" quotePrefix="1" applyFont="1" applyBorder="1" applyAlignment="1">
      <alignment vertical="center" wrapText="1"/>
    </xf>
    <xf numFmtId="0" fontId="31" fillId="0" borderId="9" xfId="0" applyFont="1" applyBorder="1" applyAlignment="1">
      <alignment vertical="center" wrapText="1"/>
    </xf>
    <xf numFmtId="0" fontId="31" fillId="0" borderId="9" xfId="0" quotePrefix="1" applyFont="1" applyBorder="1" applyAlignment="1">
      <alignment horizontal="right" vertical="center" wrapText="1"/>
    </xf>
    <xf numFmtId="0" fontId="31" fillId="0" borderId="15" xfId="0" applyFont="1" applyBorder="1" applyAlignment="1">
      <alignment vertical="center" wrapText="1"/>
    </xf>
    <xf numFmtId="164" fontId="44" fillId="0" borderId="15" xfId="2" applyFont="1" applyBorder="1" applyAlignment="1">
      <alignment horizontal="center" vertical="center" wrapText="1"/>
    </xf>
    <xf numFmtId="0" fontId="34" fillId="0" borderId="5" xfId="0" applyFont="1" applyBorder="1" applyAlignment="1">
      <alignment vertical="center" wrapText="1"/>
    </xf>
    <xf numFmtId="0" fontId="34" fillId="0" borderId="6" xfId="0" applyFont="1" applyBorder="1" applyAlignment="1">
      <alignment vertical="center" wrapText="1"/>
    </xf>
    <xf numFmtId="0" fontId="42" fillId="0" borderId="8" xfId="0" applyFont="1" applyBorder="1" applyAlignment="1">
      <alignment horizontal="center" vertical="center" wrapText="1"/>
    </xf>
    <xf numFmtId="0" fontId="42" fillId="2" borderId="4" xfId="0" applyFont="1" applyFill="1" applyBorder="1" applyAlignment="1">
      <alignment horizontal="center" vertical="center" wrapText="1"/>
    </xf>
    <xf numFmtId="2" fontId="42" fillId="2" borderId="4" xfId="0" applyNumberFormat="1" applyFont="1" applyFill="1" applyBorder="1" applyAlignment="1">
      <alignment vertical="center" wrapText="1"/>
    </xf>
    <xf numFmtId="0" fontId="32" fillId="0" borderId="4" xfId="0" quotePrefix="1" applyFont="1" applyBorder="1" applyAlignment="1">
      <alignment horizontal="right" vertical="center" wrapText="1"/>
    </xf>
    <xf numFmtId="0" fontId="29" fillId="0" borderId="4" xfId="0" applyFont="1" applyBorder="1"/>
    <xf numFmtId="2" fontId="29" fillId="0" borderId="4" xfId="0" applyNumberFormat="1" applyFont="1" applyBorder="1"/>
    <xf numFmtId="4" fontId="29" fillId="0" borderId="4" xfId="0" applyNumberFormat="1" applyFont="1" applyBorder="1"/>
    <xf numFmtId="0" fontId="45" fillId="0" borderId="4" xfId="0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32" fillId="2" borderId="12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/>
    </xf>
    <xf numFmtId="2" fontId="32" fillId="2" borderId="1" xfId="0" applyNumberFormat="1" applyFont="1" applyFill="1" applyBorder="1" applyAlignment="1">
      <alignment horizontal="center" vertical="center"/>
    </xf>
    <xf numFmtId="4" fontId="32" fillId="2" borderId="6" xfId="0" applyNumberFormat="1" applyFont="1" applyFill="1" applyBorder="1" applyAlignment="1">
      <alignment horizontal="center" vertical="center" wrapText="1"/>
    </xf>
    <xf numFmtId="49" fontId="32" fillId="2" borderId="4" xfId="2" applyNumberFormat="1" applyFont="1" applyFill="1" applyBorder="1" applyAlignment="1" applyProtection="1">
      <alignment horizontal="left" vertical="center" wrapText="1" shrinkToFit="1"/>
      <protection locked="0"/>
    </xf>
    <xf numFmtId="0" fontId="42" fillId="2" borderId="12" xfId="0" applyFont="1" applyFill="1" applyBorder="1" applyAlignment="1">
      <alignment horizontal="center" vertical="center" wrapText="1"/>
    </xf>
    <xf numFmtId="4" fontId="44" fillId="2" borderId="12" xfId="0" applyNumberFormat="1" applyFont="1" applyFill="1" applyBorder="1" applyAlignment="1">
      <alignment vertical="center"/>
    </xf>
    <xf numFmtId="0" fontId="46" fillId="2" borderId="4" xfId="0" applyFont="1" applyFill="1" applyBorder="1" applyAlignment="1">
      <alignment vertical="center"/>
    </xf>
    <xf numFmtId="0" fontId="46" fillId="2" borderId="4" xfId="0" applyFont="1" applyFill="1" applyBorder="1" applyAlignment="1">
      <alignment horizontal="center" vertical="center"/>
    </xf>
    <xf numFmtId="0" fontId="65" fillId="2" borderId="4" xfId="0" applyFont="1" applyFill="1" applyBorder="1" applyAlignment="1">
      <alignment horizontal="center" vertical="center"/>
    </xf>
    <xf numFmtId="4" fontId="65" fillId="2" borderId="4" xfId="0" applyNumberFormat="1" applyFont="1" applyFill="1" applyBorder="1" applyAlignment="1">
      <alignment vertical="center"/>
    </xf>
    <xf numFmtId="4" fontId="34" fillId="0" borderId="4" xfId="0" quotePrefix="1" applyNumberFormat="1" applyFont="1" applyBorder="1" applyAlignment="1">
      <alignment horizontal="center" vertical="center" wrapText="1"/>
    </xf>
    <xf numFmtId="2" fontId="34" fillId="0" borderId="13" xfId="2" applyNumberFormat="1" applyFont="1" applyFill="1" applyBorder="1" applyAlignment="1">
      <alignment horizontal="center" vertical="center" wrapText="1"/>
    </xf>
    <xf numFmtId="4" fontId="34" fillId="0" borderId="13" xfId="0" applyNumberFormat="1" applyFont="1" applyBorder="1" applyAlignment="1">
      <alignment horizontal="center" vertical="center" wrapText="1"/>
    </xf>
    <xf numFmtId="0" fontId="41" fillId="14" borderId="12" xfId="0" applyFont="1" applyFill="1" applyBorder="1" applyAlignment="1">
      <alignment horizontal="center" vertical="center" wrapText="1"/>
    </xf>
    <xf numFmtId="0" fontId="32" fillId="14" borderId="12" xfId="0" applyFont="1" applyFill="1" applyBorder="1" applyAlignment="1">
      <alignment horizontal="center" vertical="center" wrapText="1"/>
    </xf>
    <xf numFmtId="49" fontId="34" fillId="14" borderId="12" xfId="2" applyNumberFormat="1" applyFont="1" applyFill="1" applyBorder="1" applyAlignment="1" applyProtection="1">
      <alignment horizontal="left" vertical="center" wrapText="1" shrinkToFit="1"/>
      <protection locked="0"/>
    </xf>
    <xf numFmtId="49" fontId="34" fillId="0" borderId="6" xfId="2" applyNumberFormat="1" applyFont="1" applyFill="1" applyBorder="1" applyAlignment="1" applyProtection="1">
      <alignment horizontal="left" vertical="center" wrapText="1" shrinkToFit="1"/>
      <protection locked="0"/>
    </xf>
    <xf numFmtId="4" fontId="42" fillId="0" borderId="2" xfId="0" applyNumberFormat="1" applyFont="1" applyBorder="1" applyAlignment="1">
      <alignment horizontal="center" vertical="center" wrapText="1"/>
    </xf>
    <xf numFmtId="0" fontId="32" fillId="14" borderId="9" xfId="0" applyFont="1" applyFill="1" applyBorder="1" applyAlignment="1">
      <alignment horizontal="center" vertical="center" wrapText="1"/>
    </xf>
    <xf numFmtId="0" fontId="42" fillId="14" borderId="9" xfId="0" applyFont="1" applyFill="1" applyBorder="1" applyAlignment="1">
      <alignment horizontal="center" vertical="center" wrapText="1"/>
    </xf>
    <xf numFmtId="0" fontId="45" fillId="14" borderId="15" xfId="0" applyFont="1" applyFill="1" applyBorder="1" applyAlignment="1">
      <alignment vertical="center"/>
    </xf>
    <xf numFmtId="0" fontId="34" fillId="0" borderId="9" xfId="0" applyFont="1" applyBorder="1" applyAlignment="1">
      <alignment vertical="center" wrapText="1"/>
    </xf>
    <xf numFmtId="0" fontId="42" fillId="0" borderId="9" xfId="0" applyFont="1" applyBorder="1" applyAlignment="1">
      <alignment horizontal="center" vertical="center" wrapText="1"/>
    </xf>
    <xf numFmtId="4" fontId="45" fillId="0" borderId="15" xfId="0" applyNumberFormat="1" applyFont="1" applyBorder="1" applyAlignment="1">
      <alignment vertical="center"/>
    </xf>
    <xf numFmtId="0" fontId="34" fillId="14" borderId="5" xfId="0" applyFont="1" applyFill="1" applyBorder="1" applyAlignment="1">
      <alignment horizontal="center" vertical="center"/>
    </xf>
    <xf numFmtId="0" fontId="41" fillId="2" borderId="5" xfId="0" applyFont="1" applyFill="1" applyBorder="1" applyAlignment="1">
      <alignment horizontal="center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9" xfId="0" applyFont="1" applyBorder="1" applyAlignment="1">
      <alignment horizontal="center" vertical="center" wrapText="1"/>
    </xf>
    <xf numFmtId="0" fontId="44" fillId="14" borderId="9" xfId="0" applyFont="1" applyFill="1" applyBorder="1" applyAlignment="1">
      <alignment horizontal="center" vertical="center" wrapText="1"/>
    </xf>
    <xf numFmtId="0" fontId="44" fillId="2" borderId="12" xfId="0" applyFont="1" applyFill="1" applyBorder="1" applyAlignment="1">
      <alignment horizontal="center" vertical="center" wrapText="1"/>
    </xf>
    <xf numFmtId="164" fontId="33" fillId="11" borderId="4" xfId="2" applyFont="1" applyFill="1" applyBorder="1" applyAlignment="1">
      <alignment horizontal="center" vertical="center" wrapText="1"/>
    </xf>
    <xf numFmtId="164" fontId="33" fillId="11" borderId="5" xfId="2" applyFont="1" applyFill="1" applyBorder="1" applyAlignment="1">
      <alignment horizontal="center" vertical="center" wrapText="1"/>
    </xf>
    <xf numFmtId="164" fontId="31" fillId="11" borderId="4" xfId="2" applyFont="1" applyFill="1" applyBorder="1" applyAlignment="1">
      <alignment horizontal="center" vertical="center" wrapText="1"/>
    </xf>
    <xf numFmtId="10" fontId="31" fillId="11" borderId="4" xfId="1" applyNumberFormat="1" applyFont="1" applyFill="1" applyBorder="1" applyAlignment="1">
      <alignment horizontal="center" vertical="center" wrapText="1"/>
    </xf>
    <xf numFmtId="164" fontId="31" fillId="11" borderId="5" xfId="2" applyFont="1" applyFill="1" applyBorder="1" applyAlignment="1">
      <alignment horizontal="center" vertical="center" wrapText="1"/>
    </xf>
    <xf numFmtId="10" fontId="31" fillId="11" borderId="5" xfId="1" applyNumberFormat="1" applyFont="1" applyFill="1" applyBorder="1" applyAlignment="1">
      <alignment horizontal="center" vertical="center" wrapText="1"/>
    </xf>
    <xf numFmtId="10" fontId="31" fillId="0" borderId="5" xfId="1" applyNumberFormat="1" applyFont="1" applyBorder="1" applyAlignment="1">
      <alignment horizontal="center" vertical="center" wrapText="1"/>
    </xf>
    <xf numFmtId="10" fontId="31" fillId="0" borderId="4" xfId="1" applyNumberFormat="1" applyFont="1" applyBorder="1" applyAlignment="1">
      <alignment horizontal="center" vertical="center" wrapText="1"/>
    </xf>
    <xf numFmtId="10" fontId="32" fillId="11" borderId="5" xfId="1" applyNumberFormat="1" applyFont="1" applyFill="1" applyBorder="1" applyAlignment="1">
      <alignment horizontal="center" vertical="center" wrapText="1"/>
    </xf>
    <xf numFmtId="49" fontId="34" fillId="0" borderId="4" xfId="2" quotePrefix="1" applyNumberFormat="1" applyFont="1" applyFill="1" applyBorder="1" applyAlignment="1" applyProtection="1">
      <alignment horizontal="left" vertical="center" wrapText="1" shrinkToFit="1"/>
      <protection locked="0"/>
    </xf>
    <xf numFmtId="0" fontId="41" fillId="0" borderId="13" xfId="0" quotePrefix="1" applyFont="1" applyBorder="1" applyAlignment="1">
      <alignment horizontal="left" vertical="center" wrapText="1"/>
    </xf>
    <xf numFmtId="164" fontId="44" fillId="0" borderId="4" xfId="2" applyFont="1" applyBorder="1" applyAlignment="1">
      <alignment horizontal="center" vertical="center"/>
    </xf>
    <xf numFmtId="164" fontId="44" fillId="2" borderId="4" xfId="2" applyFont="1" applyFill="1" applyBorder="1" applyAlignment="1">
      <alignment horizontal="center" vertical="center"/>
    </xf>
    <xf numFmtId="164" fontId="66" fillId="0" borderId="4" xfId="2" applyFont="1" applyBorder="1" applyAlignment="1">
      <alignment horizontal="center" vertical="center"/>
    </xf>
    <xf numFmtId="164" fontId="66" fillId="2" borderId="4" xfId="2" applyFont="1" applyFill="1" applyBorder="1" applyAlignment="1">
      <alignment horizontal="center" vertical="center"/>
    </xf>
    <xf numFmtId="164" fontId="31" fillId="0" borderId="4" xfId="2" applyFont="1" applyBorder="1" applyAlignment="1">
      <alignment horizontal="center" vertical="center"/>
    </xf>
    <xf numFmtId="164" fontId="31" fillId="0" borderId="13" xfId="2" applyFont="1" applyBorder="1" applyAlignment="1">
      <alignment horizontal="center" vertical="center" wrapText="1"/>
    </xf>
    <xf numFmtId="164" fontId="44" fillId="0" borderId="1" xfId="2" applyFont="1" applyBorder="1" applyAlignment="1">
      <alignment horizontal="center" vertical="center" wrapText="1"/>
    </xf>
    <xf numFmtId="164" fontId="44" fillId="14" borderId="12" xfId="2" applyFont="1" applyFill="1" applyBorder="1" applyAlignment="1">
      <alignment horizontal="center" vertical="center" wrapText="1"/>
    </xf>
    <xf numFmtId="164" fontId="44" fillId="2" borderId="4" xfId="2" applyFont="1" applyFill="1" applyBorder="1" applyAlignment="1">
      <alignment horizontal="center" vertical="center" wrapText="1"/>
    </xf>
    <xf numFmtId="164" fontId="44" fillId="0" borderId="4" xfId="2" applyFont="1" applyBorder="1" applyAlignment="1">
      <alignment horizontal="center" vertical="center" wrapText="1"/>
    </xf>
    <xf numFmtId="164" fontId="44" fillId="0" borderId="13" xfId="2" applyFont="1" applyBorder="1" applyAlignment="1">
      <alignment horizontal="center" vertical="center" wrapText="1"/>
    </xf>
    <xf numFmtId="43" fontId="38" fillId="0" borderId="0" xfId="0" applyNumberFormat="1" applyFont="1"/>
    <xf numFmtId="2" fontId="41" fillId="0" borderId="4" xfId="0" quotePrefix="1" applyNumberFormat="1" applyFont="1" applyBorder="1" applyAlignment="1">
      <alignment horizontal="left" vertical="center" wrapText="1"/>
    </xf>
    <xf numFmtId="0" fontId="44" fillId="2" borderId="12" xfId="0" applyFont="1" applyFill="1" applyBorder="1" applyAlignment="1">
      <alignment horizontal="center"/>
    </xf>
    <xf numFmtId="0" fontId="45" fillId="0" borderId="4" xfId="0" applyFont="1" applyBorder="1" applyAlignment="1">
      <alignment horizontal="center"/>
    </xf>
    <xf numFmtId="0" fontId="43" fillId="0" borderId="4" xfId="0" applyFont="1" applyBorder="1" applyAlignment="1">
      <alignment horizontal="center"/>
    </xf>
    <xf numFmtId="0" fontId="29" fillId="0" borderId="4" xfId="0" applyFont="1" applyBorder="1" applyAlignment="1">
      <alignment horizontal="center"/>
    </xf>
    <xf numFmtId="0" fontId="65" fillId="2" borderId="4" xfId="0" applyFont="1" applyFill="1" applyBorder="1" applyAlignment="1">
      <alignment horizontal="center"/>
    </xf>
    <xf numFmtId="0" fontId="32" fillId="0" borderId="4" xfId="0" applyFont="1" applyBorder="1" applyAlignment="1">
      <alignment horizontal="center"/>
    </xf>
    <xf numFmtId="0" fontId="42" fillId="2" borderId="1" xfId="0" applyFont="1" applyFill="1" applyBorder="1" applyAlignment="1">
      <alignment horizontal="center" wrapText="1"/>
    </xf>
    <xf numFmtId="0" fontId="34" fillId="0" borderId="4" xfId="0" applyFont="1" applyBorder="1" applyAlignment="1">
      <alignment horizontal="center"/>
    </xf>
    <xf numFmtId="0" fontId="32" fillId="0" borderId="13" xfId="0" applyFont="1" applyBorder="1" applyAlignment="1">
      <alignment horizontal="center" wrapText="1"/>
    </xf>
    <xf numFmtId="0" fontId="41" fillId="0" borderId="5" xfId="0" applyFont="1" applyBorder="1" applyAlignment="1">
      <alignment horizontal="center" wrapText="1"/>
    </xf>
    <xf numFmtId="0" fontId="41" fillId="14" borderId="12" xfId="0" applyFont="1" applyFill="1" applyBorder="1" applyAlignment="1">
      <alignment horizontal="center" wrapText="1"/>
    </xf>
    <xf numFmtId="0" fontId="42" fillId="2" borderId="4" xfId="0" applyFont="1" applyFill="1" applyBorder="1" applyAlignment="1">
      <alignment horizontal="center" wrapText="1"/>
    </xf>
    <xf numFmtId="0" fontId="41" fillId="0" borderId="4" xfId="0" applyFont="1" applyBorder="1" applyAlignment="1">
      <alignment horizontal="center" wrapText="1"/>
    </xf>
    <xf numFmtId="0" fontId="41" fillId="0" borderId="13" xfId="0" applyFont="1" applyBorder="1" applyAlignment="1">
      <alignment horizontal="center" wrapText="1"/>
    </xf>
    <xf numFmtId="0" fontId="42" fillId="0" borderId="3" xfId="0" applyFont="1" applyBorder="1" applyAlignment="1">
      <alignment horizontal="center" wrapText="1"/>
    </xf>
    <xf numFmtId="0" fontId="45" fillId="0" borderId="14" xfId="0" applyFont="1" applyBorder="1" applyAlignment="1">
      <alignment horizontal="center"/>
    </xf>
    <xf numFmtId="0" fontId="45" fillId="14" borderId="14" xfId="0" applyFont="1" applyFill="1" applyBorder="1" applyAlignment="1">
      <alignment horizontal="center"/>
    </xf>
    <xf numFmtId="0" fontId="46" fillId="2" borderId="4" xfId="0" applyFont="1" applyFill="1" applyBorder="1" applyAlignment="1">
      <alignment horizontal="center"/>
    </xf>
    <xf numFmtId="164" fontId="29" fillId="0" borderId="0" xfId="2" applyFont="1"/>
    <xf numFmtId="164" fontId="38" fillId="0" borderId="0" xfId="0" applyNumberFormat="1" applyFont="1"/>
    <xf numFmtId="49" fontId="60" fillId="13" borderId="4" xfId="67" quotePrefix="1" applyNumberFormat="1" applyFont="1" applyFill="1" applyBorder="1" applyAlignment="1" applyProtection="1">
      <alignment horizontal="left" vertical="center" wrapText="1"/>
      <protection locked="0"/>
    </xf>
    <xf numFmtId="49" fontId="34" fillId="0" borderId="13" xfId="0" applyNumberFormat="1" applyFont="1" applyBorder="1" applyAlignment="1">
      <alignment vertical="center" wrapText="1"/>
    </xf>
    <xf numFmtId="49" fontId="34" fillId="0" borderId="13" xfId="0" quotePrefix="1" applyNumberFormat="1" applyFont="1" applyBorder="1" applyAlignment="1">
      <alignment horizontal="left" vertical="center" wrapText="1"/>
    </xf>
    <xf numFmtId="49" fontId="34" fillId="0" borderId="13" xfId="0" applyNumberFormat="1" applyFont="1" applyBorder="1" applyAlignment="1">
      <alignment horizontal="center" vertical="center"/>
    </xf>
    <xf numFmtId="0" fontId="27" fillId="0" borderId="0" xfId="3" applyFont="1" applyAlignment="1">
      <alignment vertical="center"/>
    </xf>
    <xf numFmtId="0" fontId="33" fillId="0" borderId="0" xfId="3" applyFont="1" applyAlignment="1">
      <alignment horizontal="center" vertical="center"/>
    </xf>
    <xf numFmtId="0" fontId="27" fillId="0" borderId="0" xfId="3" applyFont="1" applyAlignment="1">
      <alignment horizontal="center" vertical="center"/>
    </xf>
    <xf numFmtId="49" fontId="60" fillId="13" borderId="4" xfId="0" quotePrefix="1" applyNumberFormat="1" applyFont="1" applyFill="1" applyBorder="1" applyAlignment="1" applyProtection="1">
      <alignment horizontal="center" vertical="center" wrapText="1"/>
      <protection locked="0"/>
    </xf>
    <xf numFmtId="10" fontId="31" fillId="11" borderId="4" xfId="1" applyNumberFormat="1" applyFont="1" applyFill="1" applyBorder="1" applyAlignment="1">
      <alignment horizontal="center" wrapText="1"/>
    </xf>
    <xf numFmtId="0" fontId="34" fillId="0" borderId="4" xfId="0" applyNumberFormat="1" applyFont="1" applyBorder="1" applyAlignment="1">
      <alignment horizontal="center" vertical="center"/>
    </xf>
    <xf numFmtId="49" fontId="34" fillId="0" borderId="8" xfId="0" quotePrefix="1" applyNumberFormat="1" applyFont="1" applyBorder="1" applyAlignment="1">
      <alignment horizontal="left" vertical="center" wrapText="1"/>
    </xf>
    <xf numFmtId="0" fontId="41" fillId="0" borderId="2" xfId="0" quotePrefix="1" applyFont="1" applyBorder="1" applyAlignment="1">
      <alignment horizontal="left" vertical="center" wrapText="1"/>
    </xf>
    <xf numFmtId="0" fontId="34" fillId="0" borderId="13" xfId="0" applyNumberFormat="1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0" xfId="0" quotePrefix="1" applyFont="1" applyAlignment="1">
      <alignment horizontal="left"/>
    </xf>
    <xf numFmtId="0" fontId="50" fillId="0" borderId="0" xfId="0" applyFont="1"/>
    <xf numFmtId="0" fontId="4" fillId="0" borderId="27" xfId="0" quotePrefix="1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0" xfId="0" quotePrefix="1" applyFont="1" applyBorder="1" applyAlignment="1">
      <alignment horizontal="center" wrapText="1"/>
    </xf>
    <xf numFmtId="0" fontId="0" fillId="0" borderId="0" xfId="0" applyBorder="1"/>
    <xf numFmtId="0" fontId="0" fillId="0" borderId="28" xfId="0" applyBorder="1"/>
    <xf numFmtId="0" fontId="0" fillId="0" borderId="27" xfId="0" applyBorder="1"/>
    <xf numFmtId="0" fontId="50" fillId="0" borderId="0" xfId="0" applyFont="1" applyBorder="1"/>
    <xf numFmtId="0" fontId="4" fillId="0" borderId="0" xfId="0" applyFont="1" applyBorder="1"/>
    <xf numFmtId="2" fontId="50" fillId="0" borderId="0" xfId="0" applyNumberFormat="1" applyFont="1" applyBorder="1"/>
    <xf numFmtId="0" fontId="50" fillId="0" borderId="27" xfId="0" applyFont="1" applyBorder="1"/>
    <xf numFmtId="0" fontId="0" fillId="0" borderId="29" xfId="0" applyBorder="1"/>
    <xf numFmtId="0" fontId="50" fillId="0" borderId="7" xfId="0" applyFont="1" applyBorder="1"/>
    <xf numFmtId="0" fontId="0" fillId="0" borderId="7" xfId="0" applyBorder="1"/>
    <xf numFmtId="0" fontId="0" fillId="0" borderId="30" xfId="0" applyBorder="1"/>
    <xf numFmtId="49" fontId="34" fillId="0" borderId="0" xfId="2" quotePrefix="1" applyNumberFormat="1" applyFont="1" applyFill="1" applyBorder="1" applyAlignment="1" applyProtection="1">
      <alignment vertical="center" wrapText="1" shrinkToFit="1"/>
      <protection locked="0"/>
    </xf>
    <xf numFmtId="0" fontId="34" fillId="0" borderId="0" xfId="2" quotePrefix="1" applyNumberFormat="1" applyFont="1" applyFill="1" applyBorder="1" applyAlignment="1" applyProtection="1">
      <alignment vertical="center" wrapText="1" shrinkToFit="1"/>
      <protection locked="0"/>
    </xf>
    <xf numFmtId="0" fontId="67" fillId="0" borderId="25" xfId="0" applyFont="1" applyBorder="1" applyAlignment="1"/>
    <xf numFmtId="0" fontId="67" fillId="0" borderId="26" xfId="0" applyFont="1" applyBorder="1" applyAlignment="1"/>
    <xf numFmtId="0" fontId="34" fillId="0" borderId="28" xfId="2" quotePrefix="1" applyNumberFormat="1" applyFont="1" applyFill="1" applyBorder="1" applyAlignment="1" applyProtection="1">
      <alignment vertical="center" wrapText="1" shrinkToFit="1"/>
      <protection locked="0"/>
    </xf>
    <xf numFmtId="0" fontId="32" fillId="0" borderId="28" xfId="2" quotePrefix="1" applyNumberFormat="1" applyFont="1" applyFill="1" applyBorder="1" applyAlignment="1" applyProtection="1">
      <alignment vertical="center" wrapText="1" shrinkToFit="1"/>
      <protection locked="0"/>
    </xf>
    <xf numFmtId="0" fontId="0" fillId="0" borderId="0" xfId="0" applyNumberFormat="1" applyBorder="1"/>
    <xf numFmtId="0" fontId="0" fillId="0" borderId="28" xfId="0" applyNumberFormat="1" applyBorder="1"/>
    <xf numFmtId="0" fontId="0" fillId="0" borderId="0" xfId="0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0" fillId="0" borderId="0" xfId="0" applyFill="1" applyBorder="1"/>
    <xf numFmtId="0" fontId="0" fillId="0" borderId="0" xfId="0" applyFont="1" applyFill="1" applyBorder="1"/>
    <xf numFmtId="164" fontId="50" fillId="0" borderId="0" xfId="2" applyFont="1" applyBorder="1"/>
    <xf numFmtId="0" fontId="30" fillId="0" borderId="5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6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41" fillId="0" borderId="4" xfId="0" quotePrefix="1" applyFont="1" applyBorder="1" applyAlignment="1">
      <alignment horizontal="left" vertical="center"/>
    </xf>
    <xf numFmtId="0" fontId="41" fillId="0" borderId="4" xfId="0" applyFont="1" applyBorder="1" applyAlignment="1">
      <alignment horizontal="left" vertical="center"/>
    </xf>
    <xf numFmtId="0" fontId="41" fillId="12" borderId="5" xfId="0" quotePrefix="1" applyFont="1" applyFill="1" applyBorder="1" applyAlignment="1">
      <alignment horizontal="left" vertical="center" wrapText="1"/>
    </xf>
    <xf numFmtId="0" fontId="41" fillId="12" borderId="1" xfId="0" applyFont="1" applyFill="1" applyBorder="1" applyAlignment="1">
      <alignment horizontal="left" vertical="center" wrapText="1"/>
    </xf>
    <xf numFmtId="0" fontId="41" fillId="12" borderId="6" xfId="0" applyFont="1" applyFill="1" applyBorder="1" applyAlignment="1">
      <alignment horizontal="left" vertical="center" wrapText="1"/>
    </xf>
    <xf numFmtId="0" fontId="31" fillId="0" borderId="4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/>
    </xf>
    <xf numFmtId="0" fontId="40" fillId="12" borderId="5" xfId="0" applyFont="1" applyFill="1" applyBorder="1" applyAlignment="1">
      <alignment horizontal="left" vertical="center" wrapText="1"/>
    </xf>
    <xf numFmtId="0" fontId="40" fillId="12" borderId="1" xfId="0" applyFont="1" applyFill="1" applyBorder="1" applyAlignment="1">
      <alignment horizontal="left" vertical="center" wrapText="1"/>
    </xf>
    <xf numFmtId="0" fontId="40" fillId="12" borderId="6" xfId="0" applyFont="1" applyFill="1" applyBorder="1" applyAlignment="1">
      <alignment horizontal="left" vertical="center" wrapText="1"/>
    </xf>
    <xf numFmtId="0" fontId="36" fillId="0" borderId="5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14" fontId="32" fillId="0" borderId="6" xfId="0" applyNumberFormat="1" applyFont="1" applyBorder="1" applyAlignment="1">
      <alignment horizontal="center" vertical="center"/>
    </xf>
    <xf numFmtId="0" fontId="41" fillId="0" borderId="5" xfId="0" quotePrefix="1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1" fillId="0" borderId="6" xfId="0" applyFont="1" applyBorder="1" applyAlignment="1">
      <alignment horizontal="left" vertical="center"/>
    </xf>
    <xf numFmtId="0" fontId="32" fillId="0" borderId="5" xfId="0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32" fillId="0" borderId="5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2" fontId="42" fillId="0" borderId="1" xfId="0" applyNumberFormat="1" applyFont="1" applyBorder="1" applyAlignment="1">
      <alignment horizontal="center" vertical="center"/>
    </xf>
    <xf numFmtId="2" fontId="42" fillId="0" borderId="6" xfId="0" applyNumberFormat="1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41" fillId="0" borderId="5" xfId="0" applyFont="1" applyBorder="1" applyAlignment="1">
      <alignment horizontal="left" vertical="center"/>
    </xf>
    <xf numFmtId="0" fontId="67" fillId="0" borderId="24" xfId="0" applyFont="1" applyBorder="1" applyAlignment="1">
      <alignment horizontal="center"/>
    </xf>
    <xf numFmtId="0" fontId="67" fillId="0" borderId="25" xfId="0" applyFont="1" applyBorder="1" applyAlignment="1">
      <alignment horizontal="center"/>
    </xf>
    <xf numFmtId="0" fontId="67" fillId="0" borderId="26" xfId="0" applyFont="1" applyBorder="1" applyAlignment="1">
      <alignment horizontal="center"/>
    </xf>
    <xf numFmtId="0" fontId="67" fillId="0" borderId="24" xfId="0" quotePrefix="1" applyFont="1" applyBorder="1" applyAlignment="1">
      <alignment horizontal="center"/>
    </xf>
    <xf numFmtId="0" fontId="67" fillId="0" borderId="25" xfId="0" quotePrefix="1" applyFont="1" applyBorder="1" applyAlignment="1">
      <alignment horizontal="center"/>
    </xf>
    <xf numFmtId="0" fontId="67" fillId="0" borderId="26" xfId="0" quotePrefix="1" applyFont="1" applyBorder="1" applyAlignment="1">
      <alignment horizontal="center"/>
    </xf>
    <xf numFmtId="0" fontId="36" fillId="11" borderId="5" xfId="3" applyFont="1" applyFill="1" applyBorder="1" applyAlignment="1">
      <alignment horizontal="center" vertical="center"/>
    </xf>
    <xf numFmtId="0" fontId="36" fillId="11" borderId="1" xfId="3" applyFont="1" applyFill="1" applyBorder="1" applyAlignment="1">
      <alignment horizontal="center" vertical="center"/>
    </xf>
    <xf numFmtId="0" fontId="31" fillId="11" borderId="4" xfId="3" applyFont="1" applyFill="1" applyBorder="1" applyAlignment="1">
      <alignment horizontal="center" vertical="center" wrapText="1"/>
    </xf>
    <xf numFmtId="0" fontId="44" fillId="11" borderId="4" xfId="3" applyFont="1" applyFill="1" applyBorder="1" applyAlignment="1">
      <alignment horizontal="left" vertical="center" wrapText="1"/>
    </xf>
    <xf numFmtId="0" fontId="31" fillId="11" borderId="4" xfId="3" applyFont="1" applyFill="1" applyBorder="1" applyAlignment="1">
      <alignment horizontal="left" vertical="center"/>
    </xf>
    <xf numFmtId="0" fontId="31" fillId="11" borderId="5" xfId="3" applyFont="1" applyFill="1" applyBorder="1" applyAlignment="1">
      <alignment horizontal="left" vertical="center" wrapText="1"/>
    </xf>
    <xf numFmtId="0" fontId="31" fillId="11" borderId="6" xfId="3" applyFont="1" applyFill="1" applyBorder="1" applyAlignment="1">
      <alignment horizontal="left" vertical="center" wrapText="1"/>
    </xf>
    <xf numFmtId="0" fontId="31" fillId="11" borderId="13" xfId="3" applyFont="1" applyFill="1" applyBorder="1" applyAlignment="1">
      <alignment horizontal="center" vertical="center"/>
    </xf>
    <xf numFmtId="0" fontId="31" fillId="11" borderId="12" xfId="3" applyFont="1" applyFill="1" applyBorder="1" applyAlignment="1">
      <alignment horizontal="center" vertical="center"/>
    </xf>
    <xf numFmtId="0" fontId="31" fillId="11" borderId="5" xfId="3" applyFont="1" applyFill="1" applyBorder="1" applyAlignment="1">
      <alignment horizontal="left" vertical="center"/>
    </xf>
    <xf numFmtId="0" fontId="31" fillId="11" borderId="6" xfId="3" applyFont="1" applyFill="1" applyBorder="1" applyAlignment="1">
      <alignment horizontal="left" vertical="center"/>
    </xf>
    <xf numFmtId="0" fontId="31" fillId="11" borderId="13" xfId="3" applyFont="1" applyFill="1" applyBorder="1" applyAlignment="1">
      <alignment horizontal="left" vertical="center" wrapText="1"/>
    </xf>
    <xf numFmtId="0" fontId="31" fillId="11" borderId="12" xfId="3" applyFont="1" applyFill="1" applyBorder="1" applyAlignment="1">
      <alignment horizontal="left" vertical="center" wrapText="1"/>
    </xf>
    <xf numFmtId="0" fontId="31" fillId="11" borderId="13" xfId="3" applyFont="1" applyFill="1" applyBorder="1" applyAlignment="1">
      <alignment horizontal="center" vertical="center" wrapText="1"/>
    </xf>
    <xf numFmtId="0" fontId="31" fillId="11" borderId="12" xfId="3" applyFont="1" applyFill="1" applyBorder="1" applyAlignment="1">
      <alignment horizontal="center" vertical="center" wrapText="1"/>
    </xf>
    <xf numFmtId="0" fontId="44" fillId="11" borderId="13" xfId="3" applyFont="1" applyFill="1" applyBorder="1" applyAlignment="1">
      <alignment horizontal="left" vertical="center" wrapText="1"/>
    </xf>
    <xf numFmtId="0" fontId="44" fillId="11" borderId="12" xfId="3" applyFont="1" applyFill="1" applyBorder="1" applyAlignment="1">
      <alignment horizontal="left" vertical="center" wrapText="1"/>
    </xf>
    <xf numFmtId="0" fontId="31" fillId="11" borderId="21" xfId="3" applyFont="1" applyFill="1" applyBorder="1" applyAlignment="1">
      <alignment horizontal="center" vertical="center" wrapText="1"/>
    </xf>
    <xf numFmtId="0" fontId="31" fillId="11" borderId="3" xfId="3" quotePrefix="1" applyFont="1" applyFill="1" applyBorder="1" applyAlignment="1">
      <alignment horizontal="center" vertical="center" wrapText="1"/>
    </xf>
    <xf numFmtId="0" fontId="31" fillId="11" borderId="8" xfId="3" applyFont="1" applyFill="1" applyBorder="1" applyAlignment="1">
      <alignment horizontal="center" vertical="center" wrapText="1"/>
    </xf>
    <xf numFmtId="0" fontId="31" fillId="11" borderId="14" xfId="3" applyFont="1" applyFill="1" applyBorder="1" applyAlignment="1">
      <alignment horizontal="center" vertical="center" wrapText="1"/>
    </xf>
    <xf numFmtId="0" fontId="31" fillId="11" borderId="9" xfId="3" applyFont="1" applyFill="1" applyBorder="1" applyAlignment="1">
      <alignment horizontal="center" vertical="center" wrapText="1"/>
    </xf>
    <xf numFmtId="173" fontId="31" fillId="11" borderId="13" xfId="3" applyNumberFormat="1" applyFont="1" applyFill="1" applyBorder="1" applyAlignment="1">
      <alignment horizontal="center" vertical="center" wrapText="1"/>
    </xf>
    <xf numFmtId="0" fontId="52" fillId="0" borderId="11" xfId="0" applyFont="1" applyBorder="1" applyAlignment="1">
      <alignment horizontal="center" wrapText="1"/>
    </xf>
    <xf numFmtId="0" fontId="52" fillId="0" borderId="0" xfId="0" applyFont="1" applyAlignment="1">
      <alignment horizontal="center"/>
    </xf>
    <xf numFmtId="0" fontId="52" fillId="0" borderId="10" xfId="0" applyFont="1" applyBorder="1" applyAlignment="1">
      <alignment horizontal="center"/>
    </xf>
    <xf numFmtId="0" fontId="52" fillId="0" borderId="11" xfId="0" applyFont="1" applyBorder="1" applyAlignment="1">
      <alignment horizontal="center"/>
    </xf>
    <xf numFmtId="0" fontId="42" fillId="0" borderId="4" xfId="0" applyFont="1" applyBorder="1" applyAlignment="1">
      <alignment horizontal="left" vertical="center"/>
    </xf>
    <xf numFmtId="0" fontId="32" fillId="0" borderId="4" xfId="0" applyFont="1" applyBorder="1" applyAlignment="1">
      <alignment horizontal="left" vertical="top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1" fillId="0" borderId="0" xfId="0" applyFont="1" applyAlignment="1">
      <alignment horizontal="center" vertical="distributed"/>
    </xf>
    <xf numFmtId="0" fontId="59" fillId="0" borderId="11" xfId="0" applyFont="1" applyBorder="1" applyAlignment="1">
      <alignment horizontal="center"/>
    </xf>
    <xf numFmtId="0" fontId="59" fillId="0" borderId="0" xfId="0" applyFont="1" applyAlignment="1">
      <alignment horizontal="center"/>
    </xf>
    <xf numFmtId="0" fontId="59" fillId="0" borderId="10" xfId="0" applyFont="1" applyBorder="1" applyAlignment="1">
      <alignment horizontal="center"/>
    </xf>
    <xf numFmtId="0" fontId="54" fillId="0" borderId="0" xfId="0" applyFont="1" applyAlignment="1">
      <alignment horizontal="center" vertical="distributed"/>
    </xf>
    <xf numFmtId="0" fontId="4" fillId="0" borderId="9" xfId="0" applyFont="1" applyBorder="1" applyAlignment="1">
      <alignment horizontal="center"/>
    </xf>
    <xf numFmtId="0" fontId="57" fillId="0" borderId="8" xfId="0" applyFont="1" applyBorder="1" applyAlignment="1">
      <alignment horizontal="center"/>
    </xf>
    <xf numFmtId="0" fontId="27" fillId="0" borderId="1" xfId="0" applyFont="1" applyBorder="1" applyAlignment="1">
      <alignment horizontal="center" vertical="top"/>
    </xf>
    <xf numFmtId="0" fontId="27" fillId="0" borderId="6" xfId="0" applyFont="1" applyBorder="1" applyAlignment="1">
      <alignment horizontal="center" vertical="top"/>
    </xf>
    <xf numFmtId="0" fontId="0" fillId="0" borderId="4" xfId="0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3" fillId="0" borderId="11" xfId="0" applyFont="1" applyBorder="1" applyAlignment="1">
      <alignment horizontal="center"/>
    </xf>
    <xf numFmtId="0" fontId="43" fillId="0" borderId="0" xfId="0" applyFont="1" applyAlignment="1">
      <alignment horizontal="center"/>
    </xf>
    <xf numFmtId="0" fontId="43" fillId="0" borderId="10" xfId="0" applyFont="1" applyBorder="1" applyAlignment="1">
      <alignment horizontal="center"/>
    </xf>
    <xf numFmtId="0" fontId="51" fillId="0" borderId="12" xfId="0" applyFont="1" applyBorder="1" applyAlignment="1">
      <alignment horizontal="center"/>
    </xf>
  </cellXfs>
  <cellStyles count="68">
    <cellStyle name="60% - Accent1" xfId="8" xr:uid="{00000000-0005-0000-0000-000000000000}"/>
    <cellStyle name="Accent1" xfId="9" xr:uid="{00000000-0005-0000-0000-000001000000}"/>
    <cellStyle name="Check Cell" xfId="10" xr:uid="{00000000-0005-0000-0000-000002000000}"/>
    <cellStyle name="Data" xfId="11" xr:uid="{00000000-0005-0000-0000-000003000000}"/>
    <cellStyle name="Euro" xfId="12" xr:uid="{00000000-0005-0000-0000-000004000000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 2" xfId="24" xr:uid="{00000000-0005-0000-0000-000011000000}"/>
    <cellStyle name="Moeda 3" xfId="25" xr:uid="{00000000-0005-0000-0000-000012000000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3" xfId="67" xr:uid="{CA3B9B5A-4949-4F03-B79B-70AC4F9E1AFD}"/>
    <cellStyle name="Normal 2 3" xfId="61" xr:uid="{00000000-0005-0000-0000-00001A000000}"/>
    <cellStyle name="Normal 2 4" xfId="66" xr:uid="{30157227-CD1B-4DDA-8F1E-B1189BD4B7DD}"/>
    <cellStyle name="Normal 3" xfId="30" xr:uid="{00000000-0005-0000-0000-00001B000000}"/>
    <cellStyle name="Normal 4" xfId="31" xr:uid="{00000000-0005-0000-0000-00001C000000}"/>
    <cellStyle name="Normal 5" xfId="65" xr:uid="{03CAE97B-3E4F-435E-AEDB-1D43445423D8}"/>
    <cellStyle name="Note" xfId="32" xr:uid="{00000000-0005-0000-0000-00001D000000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3" xfId="38" xr:uid="{00000000-0005-0000-0000-000025000000}"/>
    <cellStyle name="Porcentagem 3 2" xfId="39" xr:uid="{00000000-0005-0000-0000-000026000000}"/>
    <cellStyle name="Porcentagem 4" xfId="40" xr:uid="{00000000-0005-0000-0000-000027000000}"/>
    <cellStyle name="Porcentagem 5" xfId="41" xr:uid="{00000000-0005-0000-0000-000028000000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3" xfId="6" xr:uid="{00000000-0005-0000-0000-00002C000000}"/>
    <cellStyle name="Separador de milhares 3 2" xfId="43" xr:uid="{00000000-0005-0000-0000-00002D000000}"/>
    <cellStyle name="Separador de milhares 4" xfId="44" xr:uid="{00000000-0005-0000-0000-00002E000000}"/>
    <cellStyle name="Separador de milhares 5" xfId="45" xr:uid="{00000000-0005-0000-0000-00002F000000}"/>
    <cellStyle name="Separador de milhares 6" xfId="46" xr:uid="{00000000-0005-0000-0000-000030000000}"/>
    <cellStyle name="Separador de milhares 6 2" xfId="47" xr:uid="{00000000-0005-0000-0000-000031000000}"/>
    <cellStyle name="Separador de milhares 7" xfId="48" xr:uid="{00000000-0005-0000-0000-000032000000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ítulo 1 1" xfId="52" xr:uid="{00000000-0005-0000-0000-000036000000}"/>
    <cellStyle name="Titulo1" xfId="53" xr:uid="{00000000-0005-0000-0000-000037000000}"/>
    <cellStyle name="Titulo2" xfId="54" xr:uid="{00000000-0005-0000-0000-000038000000}"/>
    <cellStyle name="Vírgula" xfId="2" builtinId="3"/>
    <cellStyle name="Vírgula 2" xfId="55" xr:uid="{00000000-0005-0000-0000-00003A000000}"/>
    <cellStyle name="Vírgula 2 2" xfId="56" xr:uid="{00000000-0005-0000-0000-00003B000000}"/>
    <cellStyle name="Vírgula 3" xfId="57" xr:uid="{00000000-0005-0000-0000-00003C000000}"/>
    <cellStyle name="Vírgula 3 2" xfId="64" xr:uid="{037D8F93-F68F-41B2-A8A5-5E86226B5129}"/>
    <cellStyle name="Vírgula 4" xfId="58" xr:uid="{00000000-0005-0000-0000-00003D000000}"/>
    <cellStyle name="Vírgula 5" xfId="59" xr:uid="{00000000-0005-0000-0000-00003E000000}"/>
    <cellStyle name="Vírgula 6" xfId="63" xr:uid="{00000000-0005-0000-0000-00003F000000}"/>
    <cellStyle name="Warning Text" xfId="60" xr:uid="{00000000-0005-0000-0000-000040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0</xdr:row>
      <xdr:rowOff>76200</xdr:rowOff>
    </xdr:from>
    <xdr:to>
      <xdr:col>7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55077</xdr:colOff>
      <xdr:row>0</xdr:row>
      <xdr:rowOff>55910</xdr:rowOff>
    </xdr:from>
    <xdr:to>
      <xdr:col>3</xdr:col>
      <xdr:colOff>19036</xdr:colOff>
      <xdr:row>0</xdr:row>
      <xdr:rowOff>1160808</xdr:rowOff>
    </xdr:to>
    <xdr:pic>
      <xdr:nvPicPr>
        <xdr:cNvPr id="2" name="Imagem 6" descr="Descrição: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77" y="55910"/>
          <a:ext cx="1347155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337039</xdr:colOff>
      <xdr:row>70</xdr:row>
      <xdr:rowOff>7327</xdr:rowOff>
    </xdr:from>
    <xdr:to>
      <xdr:col>3</xdr:col>
      <xdr:colOff>1926981</xdr:colOff>
      <xdr:row>75</xdr:row>
      <xdr:rowOff>43962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F2BCF5A7-D0E8-383A-C2CE-304DA28D3767}"/>
            </a:ext>
          </a:extLst>
        </xdr:cNvPr>
        <xdr:cNvSpPr txBox="1"/>
      </xdr:nvSpPr>
      <xdr:spPr>
        <a:xfrm>
          <a:off x="718039" y="18698308"/>
          <a:ext cx="2938096" cy="8425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/>
            <a:t>__________________________</a:t>
          </a:r>
        </a:p>
        <a:p>
          <a:pPr algn="ctr"/>
          <a:r>
            <a:rPr lang="pt-BR" sz="1100"/>
            <a:t>Claudemir Máximo</a:t>
          </a:r>
          <a:r>
            <a:rPr lang="pt-BR" sz="1100" baseline="0"/>
            <a:t> de Sousa</a:t>
          </a:r>
          <a:br>
            <a:rPr lang="pt-BR" sz="1100" baseline="0"/>
          </a:br>
          <a:r>
            <a:rPr lang="pt-BR" sz="1100" baseline="0"/>
            <a:t>Engenheiro Civil</a:t>
          </a:r>
        </a:p>
        <a:p>
          <a:pPr algn="ctr"/>
          <a:r>
            <a:rPr lang="pt-BR" sz="1100" baseline="0"/>
            <a:t>Crea-MG 174.203/D</a:t>
          </a:r>
          <a:endParaRPr lang="pt-BR" sz="1100"/>
        </a:p>
        <a:p>
          <a:endParaRPr lang="pt-BR" sz="1100"/>
        </a:p>
      </xdr:txBody>
    </xdr:sp>
    <xdr:clientData/>
  </xdr:twoCellAnchor>
  <xdr:twoCellAnchor>
    <xdr:from>
      <xdr:col>3</xdr:col>
      <xdr:colOff>3993173</xdr:colOff>
      <xdr:row>69</xdr:row>
      <xdr:rowOff>139212</xdr:rowOff>
    </xdr:from>
    <xdr:to>
      <xdr:col>7</xdr:col>
      <xdr:colOff>725365</xdr:colOff>
      <xdr:row>75</xdr:row>
      <xdr:rowOff>21981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1FCF8016-DF12-45EF-96CF-D9A58F99198F}"/>
            </a:ext>
          </a:extLst>
        </xdr:cNvPr>
        <xdr:cNvSpPr txBox="1"/>
      </xdr:nvSpPr>
      <xdr:spPr>
        <a:xfrm>
          <a:off x="5722327" y="18676327"/>
          <a:ext cx="2938096" cy="8425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/>
            <a:t>__________________________</a:t>
          </a:r>
        </a:p>
        <a:p>
          <a:pPr algn="ctr"/>
          <a:r>
            <a:rPr lang="pt-BR" sz="1100"/>
            <a:t>Sandro</a:t>
          </a:r>
          <a:r>
            <a:rPr lang="pt-BR" sz="1100" baseline="0"/>
            <a:t> Adriano Oliveira Silva</a:t>
          </a:r>
        </a:p>
        <a:p>
          <a:pPr algn="ctr"/>
          <a:r>
            <a:rPr lang="pt-BR" sz="1100" baseline="0"/>
            <a:t>Prefeito Municipal</a:t>
          </a:r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921026</xdr:colOff>
      <xdr:row>0</xdr:row>
      <xdr:rowOff>92765</xdr:rowOff>
    </xdr:from>
    <xdr:to>
      <xdr:col>4</xdr:col>
      <xdr:colOff>1416326</xdr:colOff>
      <xdr:row>0</xdr:row>
      <xdr:rowOff>1083365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302026" y="92765"/>
          <a:ext cx="600323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104775</xdr:colOff>
      <xdr:row>0</xdr:row>
      <xdr:rowOff>47627</xdr:rowOff>
    </xdr:from>
    <xdr:to>
      <xdr:col>1</xdr:col>
      <xdr:colOff>629478</xdr:colOff>
      <xdr:row>0</xdr:row>
      <xdr:rowOff>1152525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7"/>
          <a:ext cx="905703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24848</xdr:colOff>
      <xdr:row>62</xdr:row>
      <xdr:rowOff>66261</xdr:rowOff>
    </xdr:from>
    <xdr:to>
      <xdr:col>1</xdr:col>
      <xdr:colOff>2962944</xdr:colOff>
      <xdr:row>67</xdr:row>
      <xdr:rowOff>80596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122366AC-105D-4D9F-A26D-C72A649CFA42}"/>
            </a:ext>
          </a:extLst>
        </xdr:cNvPr>
        <xdr:cNvSpPr txBox="1"/>
      </xdr:nvSpPr>
      <xdr:spPr>
        <a:xfrm>
          <a:off x="405848" y="22967674"/>
          <a:ext cx="2938096" cy="8425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/>
            <a:t>__________________________</a:t>
          </a:r>
        </a:p>
        <a:p>
          <a:pPr algn="ctr"/>
          <a:r>
            <a:rPr lang="pt-BR" sz="1100"/>
            <a:t>Claudemir Máximo</a:t>
          </a:r>
          <a:r>
            <a:rPr lang="pt-BR" sz="1100" baseline="0"/>
            <a:t> de Sousa</a:t>
          </a:r>
          <a:br>
            <a:rPr lang="pt-BR" sz="1100" baseline="0"/>
          </a:br>
          <a:r>
            <a:rPr lang="pt-BR" sz="1100" baseline="0"/>
            <a:t>Engenheiro Civil</a:t>
          </a:r>
        </a:p>
        <a:p>
          <a:pPr algn="ctr"/>
          <a:r>
            <a:rPr lang="pt-BR" sz="1100" baseline="0"/>
            <a:t>Crea-MG 174.203/D</a:t>
          </a:r>
          <a:endParaRPr lang="pt-BR" sz="1100"/>
        </a:p>
        <a:p>
          <a:endParaRPr lang="pt-BR" sz="1100"/>
        </a:p>
      </xdr:txBody>
    </xdr:sp>
    <xdr:clientData/>
  </xdr:twoCellAnchor>
  <xdr:twoCellAnchor>
    <xdr:from>
      <xdr:col>1</xdr:col>
      <xdr:colOff>3959087</xdr:colOff>
      <xdr:row>62</xdr:row>
      <xdr:rowOff>91109</xdr:rowOff>
    </xdr:from>
    <xdr:to>
      <xdr:col>4</xdr:col>
      <xdr:colOff>1389248</xdr:colOff>
      <xdr:row>67</xdr:row>
      <xdr:rowOff>105444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0EA8F573-7D74-4A73-81C7-79C189EF9B96}"/>
            </a:ext>
          </a:extLst>
        </xdr:cNvPr>
        <xdr:cNvSpPr txBox="1"/>
      </xdr:nvSpPr>
      <xdr:spPr>
        <a:xfrm>
          <a:off x="4340087" y="23274131"/>
          <a:ext cx="2938096" cy="8425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/>
            <a:t>__________________________</a:t>
          </a:r>
        </a:p>
        <a:p>
          <a:pPr algn="ctr"/>
          <a:r>
            <a:rPr lang="pt-BR" sz="1100"/>
            <a:t>Sandro</a:t>
          </a:r>
          <a:r>
            <a:rPr lang="pt-BR" sz="1100" baseline="0"/>
            <a:t> Adriano Oliveira Silva</a:t>
          </a:r>
        </a:p>
        <a:p>
          <a:pPr algn="ctr"/>
          <a:r>
            <a:rPr lang="pt-BR" sz="1100" baseline="0"/>
            <a:t>Prefeito Municipal</a:t>
          </a:r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5</xdr:col>
      <xdr:colOff>0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697935" y="26504"/>
          <a:ext cx="7183093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190501</xdr:colOff>
      <xdr:row>0</xdr:row>
      <xdr:rowOff>41412</xdr:rowOff>
    </xdr:from>
    <xdr:to>
      <xdr:col>1</xdr:col>
      <xdr:colOff>604206</xdr:colOff>
      <xdr:row>0</xdr:row>
      <xdr:rowOff>1146310</xdr:rowOff>
    </xdr:to>
    <xdr:pic>
      <xdr:nvPicPr>
        <xdr:cNvPr id="4" name="Imagem 6" descr="Descrição: 1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1" y="41412"/>
          <a:ext cx="1126009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2938096</xdr:colOff>
      <xdr:row>30</xdr:row>
      <xdr:rowOff>64030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132BFE0E-629E-4495-BD4E-9230A2DF7CC9}"/>
            </a:ext>
          </a:extLst>
        </xdr:cNvPr>
        <xdr:cNvSpPr txBox="1"/>
      </xdr:nvSpPr>
      <xdr:spPr>
        <a:xfrm>
          <a:off x="712304" y="6236804"/>
          <a:ext cx="2938096" cy="8425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/>
            <a:t>__________________________</a:t>
          </a:r>
        </a:p>
        <a:p>
          <a:pPr algn="ctr"/>
          <a:r>
            <a:rPr lang="pt-BR" sz="1100"/>
            <a:t>Claudemir Máximo</a:t>
          </a:r>
          <a:r>
            <a:rPr lang="pt-BR" sz="1100" baseline="0"/>
            <a:t> de Sousa</a:t>
          </a:r>
          <a:br>
            <a:rPr lang="pt-BR" sz="1100" baseline="0"/>
          </a:br>
          <a:r>
            <a:rPr lang="pt-BR" sz="1100" baseline="0"/>
            <a:t>Engenheiro Civil</a:t>
          </a:r>
        </a:p>
        <a:p>
          <a:pPr algn="ctr"/>
          <a:r>
            <a:rPr lang="pt-BR" sz="1100" baseline="0"/>
            <a:t>Crea-MG 174.203/D</a:t>
          </a:r>
          <a:endParaRPr lang="pt-BR" sz="1100"/>
        </a:p>
        <a:p>
          <a:endParaRPr lang="pt-BR" sz="1100"/>
        </a:p>
      </xdr:txBody>
    </xdr:sp>
    <xdr:clientData/>
  </xdr:twoCellAnchor>
  <xdr:twoCellAnchor>
    <xdr:from>
      <xdr:col>2</xdr:col>
      <xdr:colOff>844828</xdr:colOff>
      <xdr:row>25</xdr:row>
      <xdr:rowOff>49695</xdr:rowOff>
    </xdr:from>
    <xdr:to>
      <xdr:col>5</xdr:col>
      <xdr:colOff>420185</xdr:colOff>
      <xdr:row>29</xdr:row>
      <xdr:rowOff>146856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D7106BA7-11F2-4A2D-90E2-FF45EC69AB06}"/>
            </a:ext>
          </a:extLst>
        </xdr:cNvPr>
        <xdr:cNvSpPr txBox="1"/>
      </xdr:nvSpPr>
      <xdr:spPr>
        <a:xfrm>
          <a:off x="5516219" y="6476999"/>
          <a:ext cx="2938096" cy="8425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/>
            <a:t>__________________________</a:t>
          </a:r>
        </a:p>
        <a:p>
          <a:pPr algn="ctr"/>
          <a:r>
            <a:rPr lang="pt-BR" sz="1100"/>
            <a:t>Sandro</a:t>
          </a:r>
          <a:r>
            <a:rPr lang="pt-BR" sz="1100" baseline="0"/>
            <a:t> Adriano Oliveira Silva</a:t>
          </a:r>
        </a:p>
        <a:p>
          <a:pPr algn="ctr"/>
          <a:r>
            <a:rPr lang="pt-BR" sz="1100" baseline="0"/>
            <a:t>Prefeito Municipal</a:t>
          </a:r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590550</xdr:colOff>
      <xdr:row>2</xdr:row>
      <xdr:rowOff>123825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65151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41413</xdr:colOff>
      <xdr:row>0</xdr:row>
      <xdr:rowOff>147018</xdr:rowOff>
    </xdr:from>
    <xdr:to>
      <xdr:col>1</xdr:col>
      <xdr:colOff>357326</xdr:colOff>
      <xdr:row>2</xdr:row>
      <xdr:rowOff>82827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13" y="147018"/>
          <a:ext cx="721761" cy="623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0</xdr:row>
      <xdr:rowOff>66675</xdr:rowOff>
    </xdr:from>
    <xdr:to>
      <xdr:col>6</xdr:col>
      <xdr:colOff>142875</xdr:colOff>
      <xdr:row>2</xdr:row>
      <xdr:rowOff>95250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609599" y="66675"/>
          <a:ext cx="5105401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161925</xdr:colOff>
      <xdr:row>0</xdr:row>
      <xdr:rowOff>66675</xdr:rowOff>
    </xdr:from>
    <xdr:to>
      <xdr:col>1</xdr:col>
      <xdr:colOff>337137</xdr:colOff>
      <xdr:row>2</xdr:row>
      <xdr:rowOff>76200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66675"/>
          <a:ext cx="784812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ENHARIA\Desktop\MORRO%20DO%20EXPEDITO\Refer&#234;ncia%20mm-aaaa%201.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2"/>
  <sheetViews>
    <sheetView showGridLines="0" showZeros="0" view="pageBreakPreview" topLeftCell="A52" zoomScaleNormal="100" zoomScaleSheetLayoutView="100" workbookViewId="0">
      <selection activeCell="D31" sqref="D31"/>
    </sheetView>
  </sheetViews>
  <sheetFormatPr defaultColWidth="9.140625" defaultRowHeight="12.75"/>
  <cols>
    <col min="1" max="1" width="5.7109375" style="12" customWidth="1"/>
    <col min="2" max="2" width="11.5703125" style="12" customWidth="1"/>
    <col min="3" max="3" width="8.7109375" style="12" customWidth="1"/>
    <col min="4" max="4" width="60.42578125" style="12" customWidth="1"/>
    <col min="5" max="5" width="10.140625" style="12" customWidth="1"/>
    <col min="6" max="6" width="10.7109375" style="12" bestFit="1" customWidth="1"/>
    <col min="7" max="7" width="11.7109375" style="13" customWidth="1"/>
    <col min="8" max="8" width="11.7109375" style="12" customWidth="1"/>
    <col min="9" max="9" width="13.5703125" style="12" bestFit="1" customWidth="1"/>
    <col min="10" max="10" width="11.85546875" style="12" bestFit="1" customWidth="1"/>
    <col min="11" max="16384" width="9.140625" style="12"/>
  </cols>
  <sheetData>
    <row r="1" spans="1:10" ht="94.5" customHeight="1">
      <c r="A1" s="391"/>
      <c r="B1" s="392"/>
      <c r="C1" s="392"/>
      <c r="D1" s="389"/>
      <c r="E1" s="389"/>
      <c r="F1" s="389"/>
      <c r="G1" s="389"/>
      <c r="H1" s="389"/>
      <c r="I1" s="390"/>
    </row>
    <row r="2" spans="1:10" s="27" customFormat="1" ht="21.75" customHeight="1">
      <c r="A2" s="403" t="s">
        <v>26</v>
      </c>
      <c r="B2" s="404"/>
      <c r="C2" s="405"/>
      <c r="D2" s="405"/>
      <c r="E2" s="405"/>
      <c r="F2" s="405"/>
      <c r="G2" s="405"/>
      <c r="H2" s="405"/>
      <c r="I2" s="406"/>
    </row>
    <row r="3" spans="1:10" s="61" customFormat="1" ht="20.100000000000001" customHeight="1">
      <c r="A3" s="412" t="s">
        <v>36</v>
      </c>
      <c r="B3" s="413"/>
      <c r="C3" s="413"/>
      <c r="D3" s="413"/>
      <c r="E3" s="413"/>
      <c r="F3" s="414" t="s">
        <v>37</v>
      </c>
      <c r="G3" s="415"/>
      <c r="H3" s="416" t="s">
        <v>30</v>
      </c>
      <c r="I3" s="417"/>
    </row>
    <row r="4" spans="1:10" s="61" customFormat="1" ht="20.100000000000001" customHeight="1">
      <c r="A4" s="409" t="s">
        <v>131</v>
      </c>
      <c r="B4" s="410"/>
      <c r="C4" s="410"/>
      <c r="D4" s="410"/>
      <c r="E4" s="411"/>
      <c r="F4" s="414" t="s">
        <v>19</v>
      </c>
      <c r="G4" s="415"/>
      <c r="H4" s="407">
        <f ca="1">TODAY()</f>
        <v>45996</v>
      </c>
      <c r="I4" s="408"/>
    </row>
    <row r="5" spans="1:10" s="61" customFormat="1" ht="20.100000000000001" customHeight="1">
      <c r="A5" s="393" t="s">
        <v>132</v>
      </c>
      <c r="B5" s="394"/>
      <c r="C5" s="394"/>
      <c r="D5" s="394"/>
      <c r="E5" s="394"/>
      <c r="F5" s="399" t="s">
        <v>6</v>
      </c>
      <c r="G5" s="399"/>
      <c r="H5" s="399"/>
      <c r="I5" s="399"/>
      <c r="J5" s="77"/>
    </row>
    <row r="6" spans="1:10" s="61" customFormat="1" ht="24.95" customHeight="1">
      <c r="A6" s="395" t="s">
        <v>188</v>
      </c>
      <c r="B6" s="396"/>
      <c r="C6" s="396"/>
      <c r="D6" s="396"/>
      <c r="E6" s="397"/>
      <c r="F6" s="31" t="s">
        <v>18</v>
      </c>
      <c r="G6" s="32" t="s">
        <v>3</v>
      </c>
      <c r="H6" s="31" t="s">
        <v>31</v>
      </c>
      <c r="I6" s="31" t="s">
        <v>4</v>
      </c>
    </row>
    <row r="7" spans="1:10" s="61" customFormat="1" ht="24.95" customHeight="1">
      <c r="A7" s="400" t="s">
        <v>34</v>
      </c>
      <c r="B7" s="401"/>
      <c r="C7" s="401"/>
      <c r="D7" s="401"/>
      <c r="E7" s="402"/>
      <c r="F7" s="24" t="s">
        <v>23</v>
      </c>
      <c r="G7" s="70">
        <v>0.05</v>
      </c>
      <c r="H7" s="31" t="s">
        <v>29</v>
      </c>
      <c r="I7" s="71">
        <v>0.2122</v>
      </c>
    </row>
    <row r="8" spans="1:10" ht="3.75" customHeight="1">
      <c r="A8" s="398"/>
      <c r="B8" s="398"/>
      <c r="C8" s="398"/>
      <c r="D8" s="398"/>
      <c r="E8" s="398"/>
      <c r="F8" s="398"/>
      <c r="G8" s="398"/>
      <c r="H8" s="398"/>
      <c r="I8" s="398"/>
    </row>
    <row r="9" spans="1:10" s="61" customFormat="1" ht="35.1" customHeight="1">
      <c r="A9" s="31" t="s">
        <v>0</v>
      </c>
      <c r="B9" s="31"/>
      <c r="C9" s="31" t="s">
        <v>24</v>
      </c>
      <c r="D9" s="31" t="s">
        <v>25</v>
      </c>
      <c r="E9" s="31" t="s">
        <v>2</v>
      </c>
      <c r="F9" s="150" t="s">
        <v>1</v>
      </c>
      <c r="G9" s="23" t="s">
        <v>27</v>
      </c>
      <c r="H9" s="24" t="s">
        <v>28</v>
      </c>
      <c r="I9" s="24" t="s">
        <v>5</v>
      </c>
    </row>
    <row r="10" spans="1:10" s="61" customFormat="1" ht="11.25">
      <c r="A10" s="16" t="s">
        <v>21</v>
      </c>
      <c r="B10" s="17"/>
      <c r="C10" s="20"/>
      <c r="D10" s="75" t="s">
        <v>99</v>
      </c>
      <c r="E10" s="21"/>
      <c r="F10" s="22"/>
      <c r="G10" s="22"/>
      <c r="H10" s="22">
        <f t="shared" ref="H10:H26" si="0">ROUND(G10+(G10*$I$7),2)</f>
        <v>0</v>
      </c>
      <c r="I10" s="224">
        <f>SUM(I11)</f>
        <v>5468.58</v>
      </c>
    </row>
    <row r="11" spans="1:10" s="61" customFormat="1" ht="22.5">
      <c r="A11" s="161" t="s">
        <v>8</v>
      </c>
      <c r="B11" s="161" t="s">
        <v>91</v>
      </c>
      <c r="C11" s="74">
        <v>103689</v>
      </c>
      <c r="D11" s="175" t="s">
        <v>98</v>
      </c>
      <c r="E11" s="74" t="s">
        <v>7</v>
      </c>
      <c r="F11" s="147">
        <f>'Memória de Cálculo'!D9</f>
        <v>9</v>
      </c>
      <c r="G11" s="233">
        <v>501.25</v>
      </c>
      <c r="H11" s="222">
        <f t="shared" si="0"/>
        <v>607.62</v>
      </c>
      <c r="I11" s="222">
        <f t="shared" ref="I11:I24" si="1">ROUND((F11*H11),2)</f>
        <v>5468.58</v>
      </c>
    </row>
    <row r="12" spans="1:10" s="61" customFormat="1" ht="7.5" customHeight="1">
      <c r="A12" s="161"/>
      <c r="B12" s="185"/>
      <c r="C12" s="185"/>
      <c r="D12" s="188"/>
      <c r="E12" s="185"/>
      <c r="F12" s="155"/>
      <c r="G12" s="234"/>
      <c r="H12" s="235"/>
      <c r="I12" s="236"/>
    </row>
    <row r="13" spans="1:10" s="61" customFormat="1" ht="11.25">
      <c r="A13" s="16" t="s">
        <v>160</v>
      </c>
      <c r="B13" s="17"/>
      <c r="C13" s="20"/>
      <c r="D13" s="75" t="s">
        <v>113</v>
      </c>
      <c r="E13" s="21"/>
      <c r="F13" s="22"/>
      <c r="G13" s="22"/>
      <c r="H13" s="22">
        <f t="shared" ref="H13" si="2">ROUND(G13+(G13*$I$7),2)</f>
        <v>0</v>
      </c>
      <c r="I13" s="224">
        <f>SUM(I14)</f>
        <v>32891.68</v>
      </c>
    </row>
    <row r="14" spans="1:10" s="61" customFormat="1" ht="11.25">
      <c r="A14" s="74" t="s">
        <v>119</v>
      </c>
      <c r="B14" s="185" t="s">
        <v>71</v>
      </c>
      <c r="C14" s="189" t="str">
        <f>Composição!B19</f>
        <v>002</v>
      </c>
      <c r="D14" s="188" t="s">
        <v>113</v>
      </c>
      <c r="E14" s="74"/>
      <c r="F14" s="147">
        <f>'Memória de Cálculo'!D10</f>
        <v>1</v>
      </c>
      <c r="G14" s="234">
        <f>Composição!G19</f>
        <v>27133.87</v>
      </c>
      <c r="H14" s="222">
        <f t="shared" si="0"/>
        <v>32891.68</v>
      </c>
      <c r="I14" s="222">
        <f t="shared" si="1"/>
        <v>32891.68</v>
      </c>
    </row>
    <row r="15" spans="1:10" s="61" customFormat="1" ht="6" customHeight="1">
      <c r="A15" s="161"/>
      <c r="B15" s="185"/>
      <c r="C15" s="185"/>
      <c r="D15" s="188"/>
      <c r="E15" s="185"/>
      <c r="F15" s="155">
        <f>'Memória de Cálculo'!D11</f>
        <v>0</v>
      </c>
      <c r="G15" s="234"/>
      <c r="H15" s="235"/>
      <c r="I15" s="236"/>
    </row>
    <row r="16" spans="1:10" s="61" customFormat="1" ht="11.25">
      <c r="A16" s="293">
        <v>3</v>
      </c>
      <c r="B16" s="211"/>
      <c r="C16" s="211"/>
      <c r="D16" s="212" t="s">
        <v>116</v>
      </c>
      <c r="E16" s="211"/>
      <c r="F16" s="217">
        <f>'Memória de Cálculo'!D12</f>
        <v>0</v>
      </c>
      <c r="G16" s="237"/>
      <c r="H16" s="238"/>
      <c r="I16" s="239"/>
    </row>
    <row r="17" spans="1:10" s="61" customFormat="1" ht="11.25">
      <c r="A17" s="16" t="s">
        <v>75</v>
      </c>
      <c r="B17" s="17"/>
      <c r="C17" s="20"/>
      <c r="D17" s="75" t="s">
        <v>101</v>
      </c>
      <c r="E17" s="21"/>
      <c r="F17" s="22">
        <f>'Memória de Cálculo'!D13</f>
        <v>0</v>
      </c>
      <c r="G17" s="223"/>
      <c r="H17" s="223">
        <f t="shared" si="0"/>
        <v>0</v>
      </c>
      <c r="I17" s="224">
        <f>SUM(I18:I26)</f>
        <v>42094.96</v>
      </c>
    </row>
    <row r="18" spans="1:10" s="61" customFormat="1" ht="45">
      <c r="A18" s="68" t="s">
        <v>120</v>
      </c>
      <c r="B18" s="68" t="s">
        <v>91</v>
      </c>
      <c r="C18" s="74">
        <v>90106</v>
      </c>
      <c r="D18" s="175" t="s">
        <v>42</v>
      </c>
      <c r="E18" s="72" t="s">
        <v>9</v>
      </c>
      <c r="F18" s="73">
        <f>'Memória de Cálculo'!D14</f>
        <v>42</v>
      </c>
      <c r="G18" s="221">
        <v>8.8699999999999992</v>
      </c>
      <c r="H18" s="222">
        <f t="shared" si="0"/>
        <v>10.75</v>
      </c>
      <c r="I18" s="222">
        <f t="shared" si="1"/>
        <v>451.5</v>
      </c>
    </row>
    <row r="19" spans="1:10" s="61" customFormat="1" ht="22.5">
      <c r="A19" s="68" t="s">
        <v>121</v>
      </c>
      <c r="B19" s="68" t="s">
        <v>91</v>
      </c>
      <c r="C19" s="74">
        <v>101616</v>
      </c>
      <c r="D19" s="175" t="s">
        <v>43</v>
      </c>
      <c r="E19" s="72" t="s">
        <v>7</v>
      </c>
      <c r="F19" s="73">
        <f>'Memória de Cálculo'!D15</f>
        <v>29.2</v>
      </c>
      <c r="G19" s="221">
        <v>6.93</v>
      </c>
      <c r="H19" s="222">
        <f t="shared" si="0"/>
        <v>8.4</v>
      </c>
      <c r="I19" s="225">
        <f t="shared" si="1"/>
        <v>245.28</v>
      </c>
    </row>
    <row r="20" spans="1:10" s="61" customFormat="1" ht="34.5" customHeight="1">
      <c r="A20" s="68" t="s">
        <v>122</v>
      </c>
      <c r="B20" s="68" t="s">
        <v>91</v>
      </c>
      <c r="C20" s="74">
        <v>94974</v>
      </c>
      <c r="D20" s="175" t="s">
        <v>44</v>
      </c>
      <c r="E20" s="68" t="s">
        <v>9</v>
      </c>
      <c r="F20" s="23">
        <f>'Memória de Cálculo'!D16</f>
        <v>0.95200000000000018</v>
      </c>
      <c r="G20" s="221">
        <v>525.34</v>
      </c>
      <c r="H20" s="225">
        <f t="shared" si="0"/>
        <v>636.82000000000005</v>
      </c>
      <c r="I20" s="225">
        <f t="shared" si="1"/>
        <v>606.25</v>
      </c>
      <c r="J20" s="62"/>
    </row>
    <row r="21" spans="1:10" s="61" customFormat="1" ht="37.5" customHeight="1">
      <c r="A21" s="68" t="s">
        <v>161</v>
      </c>
      <c r="B21" s="68" t="s">
        <v>91</v>
      </c>
      <c r="C21" s="74">
        <v>92210</v>
      </c>
      <c r="D21" s="175" t="s">
        <v>45</v>
      </c>
      <c r="E21" s="74" t="s">
        <v>10</v>
      </c>
      <c r="F21" s="23">
        <f>'Memória de Cálculo'!D17</f>
        <v>18</v>
      </c>
      <c r="G21" s="221">
        <v>161.22999999999999</v>
      </c>
      <c r="H21" s="225">
        <f t="shared" si="0"/>
        <v>195.44</v>
      </c>
      <c r="I21" s="225">
        <f t="shared" si="1"/>
        <v>3517.92</v>
      </c>
      <c r="J21" s="62"/>
    </row>
    <row r="22" spans="1:10" s="61" customFormat="1" ht="45">
      <c r="A22" s="68" t="s">
        <v>162</v>
      </c>
      <c r="B22" s="68" t="s">
        <v>91</v>
      </c>
      <c r="C22" s="74">
        <v>92214</v>
      </c>
      <c r="D22" s="176" t="s">
        <v>100</v>
      </c>
      <c r="E22" s="74" t="s">
        <v>10</v>
      </c>
      <c r="F22" s="205">
        <f>'Memória de Cálculo'!D18</f>
        <v>8</v>
      </c>
      <c r="G22" s="221">
        <v>482.62</v>
      </c>
      <c r="H22" s="225">
        <f t="shared" si="0"/>
        <v>585.03</v>
      </c>
      <c r="I22" s="225">
        <f t="shared" si="1"/>
        <v>4680.24</v>
      </c>
      <c r="J22" s="62"/>
    </row>
    <row r="23" spans="1:10" s="61" customFormat="1" ht="50.25" customHeight="1">
      <c r="A23" s="68" t="s">
        <v>163</v>
      </c>
      <c r="B23" s="68" t="s">
        <v>91</v>
      </c>
      <c r="C23" s="74">
        <v>93378</v>
      </c>
      <c r="D23" s="175" t="s">
        <v>46</v>
      </c>
      <c r="E23" s="74" t="s">
        <v>9</v>
      </c>
      <c r="F23" s="76">
        <f>'Memória de Cálculo'!D19</f>
        <v>37.96</v>
      </c>
      <c r="G23" s="221">
        <v>26.56</v>
      </c>
      <c r="H23" s="225">
        <f t="shared" si="0"/>
        <v>32.200000000000003</v>
      </c>
      <c r="I23" s="225">
        <f t="shared" si="1"/>
        <v>1222.31</v>
      </c>
    </row>
    <row r="24" spans="1:10" s="61" customFormat="1" ht="22.5">
      <c r="A24" s="68" t="s">
        <v>164</v>
      </c>
      <c r="B24" s="68" t="s">
        <v>91</v>
      </c>
      <c r="C24" s="352">
        <v>97956</v>
      </c>
      <c r="D24" s="179" t="s">
        <v>189</v>
      </c>
      <c r="E24" s="74" t="s">
        <v>38</v>
      </c>
      <c r="F24" s="73">
        <f>'Memória de Cálculo'!D20</f>
        <v>2</v>
      </c>
      <c r="G24" s="222">
        <v>1653.73</v>
      </c>
      <c r="H24" s="222">
        <f t="shared" si="0"/>
        <v>2004.65</v>
      </c>
      <c r="I24" s="222">
        <f t="shared" si="1"/>
        <v>4009.3</v>
      </c>
      <c r="J24" s="62"/>
    </row>
    <row r="25" spans="1:10" s="61" customFormat="1" ht="22.5">
      <c r="A25" s="68" t="s">
        <v>165</v>
      </c>
      <c r="B25" s="68" t="s">
        <v>111</v>
      </c>
      <c r="C25" s="157">
        <v>2003477</v>
      </c>
      <c r="D25" s="177" t="s">
        <v>80</v>
      </c>
      <c r="E25" s="74" t="s">
        <v>38</v>
      </c>
      <c r="F25" s="73">
        <f>'Memória de Cálculo'!D21</f>
        <v>2</v>
      </c>
      <c r="G25" s="222">
        <v>4684.88</v>
      </c>
      <c r="H25" s="222">
        <f t="shared" si="0"/>
        <v>5679.01</v>
      </c>
      <c r="I25" s="222">
        <f>ROUND((F25*H25),2)</f>
        <v>11358.02</v>
      </c>
      <c r="J25" s="62"/>
    </row>
    <row r="26" spans="1:10" s="61" customFormat="1" ht="11.25">
      <c r="A26" s="68" t="s">
        <v>166</v>
      </c>
      <c r="B26" s="68" t="s">
        <v>111</v>
      </c>
      <c r="C26" s="157">
        <v>2003411</v>
      </c>
      <c r="D26" s="177" t="s">
        <v>82</v>
      </c>
      <c r="E26" s="74" t="s">
        <v>10</v>
      </c>
      <c r="F26" s="73">
        <f>'Memória de Cálculo'!D22</f>
        <v>17</v>
      </c>
      <c r="G26" s="222">
        <v>776.62</v>
      </c>
      <c r="H26" s="222">
        <f t="shared" si="0"/>
        <v>941.42</v>
      </c>
      <c r="I26" s="222">
        <f>ROUND((F26*H26),2)</f>
        <v>16004.14</v>
      </c>
      <c r="J26" s="62"/>
    </row>
    <row r="27" spans="1:10" s="61" customFormat="1" ht="11.25">
      <c r="A27" s="16" t="s">
        <v>76</v>
      </c>
      <c r="B27" s="17"/>
      <c r="C27" s="17"/>
      <c r="D27" s="75" t="s">
        <v>102</v>
      </c>
      <c r="E27" s="17"/>
      <c r="F27" s="18">
        <f>'Memória de Cálculo'!D23</f>
        <v>0</v>
      </c>
      <c r="G27" s="226"/>
      <c r="H27" s="226"/>
      <c r="I27" s="224">
        <f>SUM(I28:I35)</f>
        <v>499991.45</v>
      </c>
    </row>
    <row r="28" spans="1:10" s="61" customFormat="1" ht="22.5">
      <c r="A28" s="72" t="s">
        <v>123</v>
      </c>
      <c r="B28" s="72" t="s">
        <v>91</v>
      </c>
      <c r="C28" s="74">
        <v>100576</v>
      </c>
      <c r="D28" s="175" t="s">
        <v>112</v>
      </c>
      <c r="E28" s="74" t="s">
        <v>7</v>
      </c>
      <c r="F28" s="73">
        <f>'Memória de Cálculo'!D24</f>
        <v>4074.07</v>
      </c>
      <c r="G28" s="222">
        <v>2.86</v>
      </c>
      <c r="H28" s="222">
        <f t="shared" ref="H28:H35" si="3">ROUND(G28+(G28*$I$7),2)</f>
        <v>3.47</v>
      </c>
      <c r="I28" s="222">
        <f t="shared" ref="I28:I35" si="4">ROUND((F28*H28),2)</f>
        <v>14137.02</v>
      </c>
    </row>
    <row r="29" spans="1:10" s="61" customFormat="1" ht="45">
      <c r="A29" s="72" t="s">
        <v>124</v>
      </c>
      <c r="B29" s="68" t="s">
        <v>91</v>
      </c>
      <c r="C29" s="74">
        <v>94273</v>
      </c>
      <c r="D29" s="175" t="s">
        <v>47</v>
      </c>
      <c r="E29" s="74" t="s">
        <v>10</v>
      </c>
      <c r="F29" s="73">
        <f>'Memória de Cálculo'!D25</f>
        <v>23.95</v>
      </c>
      <c r="G29" s="222">
        <v>64.41</v>
      </c>
      <c r="H29" s="222">
        <f t="shared" si="3"/>
        <v>78.08</v>
      </c>
      <c r="I29" s="222">
        <f t="shared" si="4"/>
        <v>1870.02</v>
      </c>
    </row>
    <row r="30" spans="1:10" s="61" customFormat="1" ht="22.5">
      <c r="A30" s="72" t="s">
        <v>125</v>
      </c>
      <c r="B30" s="68" t="s">
        <v>91</v>
      </c>
      <c r="C30" s="74">
        <v>92394</v>
      </c>
      <c r="D30" s="175" t="s">
        <v>48</v>
      </c>
      <c r="E30" s="74" t="s">
        <v>7</v>
      </c>
      <c r="F30" s="73">
        <f>'Memória de Cálculo'!D26</f>
        <v>3598.06</v>
      </c>
      <c r="G30" s="222">
        <v>98.8</v>
      </c>
      <c r="H30" s="222">
        <f t="shared" si="3"/>
        <v>119.77</v>
      </c>
      <c r="I30" s="222">
        <f t="shared" si="4"/>
        <v>430939.65</v>
      </c>
    </row>
    <row r="31" spans="1:10" s="61" customFormat="1" ht="22.5">
      <c r="A31" s="72" t="s">
        <v>126</v>
      </c>
      <c r="B31" s="68" t="s">
        <v>91</v>
      </c>
      <c r="C31" s="74">
        <v>94287</v>
      </c>
      <c r="D31" s="179" t="s">
        <v>78</v>
      </c>
      <c r="E31" s="74" t="s">
        <v>10</v>
      </c>
      <c r="F31" s="73">
        <f>'Memória de Cálculo'!D27</f>
        <v>471.28999999999996</v>
      </c>
      <c r="G31" s="222">
        <v>35.32</v>
      </c>
      <c r="H31" s="222">
        <f>ROUND(G31+(G31*$I$7),2)</f>
        <v>42.81</v>
      </c>
      <c r="I31" s="222">
        <f t="shared" si="4"/>
        <v>20175.919999999998</v>
      </c>
    </row>
    <row r="32" spans="1:10" s="61" customFormat="1" ht="11.25">
      <c r="A32" s="72" t="s">
        <v>127</v>
      </c>
      <c r="B32" s="72" t="s">
        <v>111</v>
      </c>
      <c r="C32" s="74">
        <v>2003345</v>
      </c>
      <c r="D32" s="175" t="s">
        <v>157</v>
      </c>
      <c r="E32" s="74" t="s">
        <v>10</v>
      </c>
      <c r="F32" s="73">
        <f>'Memória de Cálculo'!D28</f>
        <v>334.58000000000004</v>
      </c>
      <c r="G32" s="222">
        <v>56.6</v>
      </c>
      <c r="H32" s="222">
        <f>ROUND(G32+(G32*$I$7),2)</f>
        <v>68.61</v>
      </c>
      <c r="I32" s="222">
        <f t="shared" si="4"/>
        <v>22955.53</v>
      </c>
    </row>
    <row r="33" spans="1:9" s="61" customFormat="1" ht="14.25" customHeight="1">
      <c r="A33" s="72" t="s">
        <v>128</v>
      </c>
      <c r="B33" s="190" t="s">
        <v>71</v>
      </c>
      <c r="C33" s="346" t="str">
        <f>Composição!B12</f>
        <v>001</v>
      </c>
      <c r="D33" s="344" t="str">
        <f>Composição!C12</f>
        <v>VIGA DE TRAVAMENTO EM CONCRETO ARMADO TAMANHO 15 X 30.</v>
      </c>
      <c r="E33" s="191" t="s">
        <v>10</v>
      </c>
      <c r="F33" s="193">
        <f>'Memória de Cálculo'!D29</f>
        <v>60.09</v>
      </c>
      <c r="G33" s="228">
        <f>Composição!G12</f>
        <v>108.76697</v>
      </c>
      <c r="H33" s="229">
        <f t="shared" si="3"/>
        <v>131.85</v>
      </c>
      <c r="I33" s="229">
        <f t="shared" si="4"/>
        <v>7922.87</v>
      </c>
    </row>
    <row r="34" spans="1:9" s="61" customFormat="1" ht="22.5">
      <c r="A34" s="72" t="s">
        <v>198</v>
      </c>
      <c r="B34" s="72" t="s">
        <v>111</v>
      </c>
      <c r="C34" s="355">
        <v>5213440</v>
      </c>
      <c r="D34" s="353" t="s">
        <v>204</v>
      </c>
      <c r="E34" s="191" t="s">
        <v>203</v>
      </c>
      <c r="F34" s="193">
        <f>'Memória de Cálculo'!D30</f>
        <v>4</v>
      </c>
      <c r="G34" s="228">
        <v>279.08</v>
      </c>
      <c r="H34" s="229">
        <f t="shared" si="3"/>
        <v>338.3</v>
      </c>
      <c r="I34" s="229">
        <f t="shared" si="4"/>
        <v>1353.2</v>
      </c>
    </row>
    <row r="35" spans="1:9" s="61" customFormat="1" ht="22.5">
      <c r="A35" s="72" t="s">
        <v>201</v>
      </c>
      <c r="B35" s="72" t="s">
        <v>111</v>
      </c>
      <c r="C35" s="355">
        <v>5216111</v>
      </c>
      <c r="D35" s="344" t="s">
        <v>202</v>
      </c>
      <c r="E35" s="191" t="s">
        <v>203</v>
      </c>
      <c r="F35" s="193">
        <f>'Memória de Cálculo'!D31</f>
        <v>4</v>
      </c>
      <c r="G35" s="228">
        <v>131.41999999999999</v>
      </c>
      <c r="H35" s="229">
        <f t="shared" si="3"/>
        <v>159.31</v>
      </c>
      <c r="I35" s="229">
        <f t="shared" si="4"/>
        <v>637.24</v>
      </c>
    </row>
    <row r="36" spans="1:9" s="61" customFormat="1" ht="11.25">
      <c r="A36" s="183"/>
      <c r="B36" s="201"/>
      <c r="C36" s="202"/>
      <c r="D36" s="204" t="s">
        <v>115</v>
      </c>
      <c r="E36" s="202"/>
      <c r="F36" s="203">
        <f>'Memória de Cálculo'!D32</f>
        <v>0</v>
      </c>
      <c r="G36" s="230"/>
      <c r="H36" s="231"/>
      <c r="I36" s="232">
        <f>I27+I17</f>
        <v>542086.41</v>
      </c>
    </row>
    <row r="37" spans="1:9" s="61" customFormat="1" ht="6.75" customHeight="1">
      <c r="A37" s="183"/>
      <c r="B37" s="194"/>
      <c r="C37" s="195"/>
      <c r="D37" s="196"/>
      <c r="E37" s="195"/>
      <c r="F37" s="197">
        <f>'Memória de Cálculo'!D33</f>
        <v>0</v>
      </c>
      <c r="G37" s="198"/>
      <c r="H37" s="199"/>
      <c r="I37" s="200"/>
    </row>
    <row r="38" spans="1:9" s="61" customFormat="1" ht="11.25">
      <c r="A38" s="210">
        <v>4</v>
      </c>
      <c r="B38" s="210"/>
      <c r="C38" s="211"/>
      <c r="D38" s="212" t="s">
        <v>103</v>
      </c>
      <c r="E38" s="211"/>
      <c r="F38" s="213">
        <f>'Memória de Cálculo'!D34</f>
        <v>0</v>
      </c>
      <c r="G38" s="214"/>
      <c r="H38" s="215"/>
      <c r="I38" s="216"/>
    </row>
    <row r="39" spans="1:9" s="61" customFormat="1" ht="11.25">
      <c r="A39" s="294" t="s">
        <v>167</v>
      </c>
      <c r="B39" s="206"/>
      <c r="C39" s="207"/>
      <c r="D39" s="208" t="s">
        <v>118</v>
      </c>
      <c r="E39" s="207"/>
      <c r="F39" s="209">
        <f>'Memória de Cálculo'!D35</f>
        <v>0</v>
      </c>
      <c r="G39" s="218"/>
      <c r="H39" s="219"/>
      <c r="I39" s="220">
        <f>SUM(I40:I42)</f>
        <v>127094.59</v>
      </c>
    </row>
    <row r="40" spans="1:9" s="61" customFormat="1" ht="45">
      <c r="A40" s="68" t="s">
        <v>168</v>
      </c>
      <c r="B40" s="68" t="s">
        <v>91</v>
      </c>
      <c r="C40" s="74">
        <v>101244</v>
      </c>
      <c r="D40" s="179" t="s">
        <v>153</v>
      </c>
      <c r="E40" s="72" t="s">
        <v>9</v>
      </c>
      <c r="F40" s="73">
        <f>'Memória de Cálculo'!D36</f>
        <v>6322.51</v>
      </c>
      <c r="G40" s="221">
        <v>16.239999999999998</v>
      </c>
      <c r="H40" s="222">
        <f>ROUND(G40+(G40*$I$7),2)</f>
        <v>19.690000000000001</v>
      </c>
      <c r="I40" s="222">
        <f>ROUND((F40*H40),2)</f>
        <v>124490.22</v>
      </c>
    </row>
    <row r="41" spans="1:9" s="61" customFormat="1" ht="11.25">
      <c r="A41" s="68" t="s">
        <v>169</v>
      </c>
      <c r="B41" s="68" t="s">
        <v>111</v>
      </c>
      <c r="C41" s="74">
        <v>2003933</v>
      </c>
      <c r="D41" s="175" t="s">
        <v>108</v>
      </c>
      <c r="E41" s="72" t="s">
        <v>10</v>
      </c>
      <c r="F41" s="73">
        <f>'Memória de Cálculo'!D37</f>
        <v>284.32</v>
      </c>
      <c r="G41" s="221">
        <v>7.56</v>
      </c>
      <c r="H41" s="222">
        <f>ROUND(G41+(G41*$I$7),2)</f>
        <v>9.16</v>
      </c>
      <c r="I41" s="222">
        <f>ROUND((F41*H41),2)</f>
        <v>2604.37</v>
      </c>
    </row>
    <row r="42" spans="1:9" s="61" customFormat="1" ht="11.25">
      <c r="A42" s="68"/>
      <c r="B42" s="68"/>
      <c r="C42" s="74"/>
      <c r="D42" s="175"/>
      <c r="E42" s="72"/>
      <c r="F42" s="73">
        <f>'Memória de Cálculo'!D38</f>
        <v>0</v>
      </c>
      <c r="G42" s="221"/>
      <c r="H42" s="222">
        <f>ROUND(G42+(G42*$I$7),2)</f>
        <v>0</v>
      </c>
      <c r="I42" s="222">
        <f>ROUND((F42*H42),2)</f>
        <v>0</v>
      </c>
    </row>
    <row r="43" spans="1:9" s="61" customFormat="1" ht="11.25">
      <c r="A43" s="16" t="s">
        <v>170</v>
      </c>
      <c r="B43" s="17"/>
      <c r="C43" s="20"/>
      <c r="D43" s="75" t="s">
        <v>104</v>
      </c>
      <c r="E43" s="21"/>
      <c r="F43" s="22">
        <f>'Memória de Cálculo'!D39</f>
        <v>0</v>
      </c>
      <c r="G43" s="223"/>
      <c r="H43" s="223">
        <f t="shared" ref="H43:H52" si="5">ROUND(G43+(G43*$I$7),2)</f>
        <v>0</v>
      </c>
      <c r="I43" s="224">
        <f>SUM(I44:I53)</f>
        <v>151089.22999999998</v>
      </c>
    </row>
    <row r="44" spans="1:9" s="61" customFormat="1" ht="45">
      <c r="A44" s="68" t="s">
        <v>171</v>
      </c>
      <c r="B44" s="68" t="s">
        <v>91</v>
      </c>
      <c r="C44" s="74">
        <v>90106</v>
      </c>
      <c r="D44" s="175" t="s">
        <v>42</v>
      </c>
      <c r="E44" s="72" t="s">
        <v>9</v>
      </c>
      <c r="F44" s="73">
        <f>'Memória de Cálculo'!D40</f>
        <v>363</v>
      </c>
      <c r="G44" s="221">
        <f>G18</f>
        <v>8.8699999999999992</v>
      </c>
      <c r="H44" s="222">
        <f t="shared" si="5"/>
        <v>10.75</v>
      </c>
      <c r="I44" s="222">
        <f t="shared" ref="I44:I52" si="6">ROUND((F44*H44),2)</f>
        <v>3902.25</v>
      </c>
    </row>
    <row r="45" spans="1:9" s="61" customFormat="1" ht="22.5">
      <c r="A45" s="68" t="s">
        <v>172</v>
      </c>
      <c r="B45" s="68" t="s">
        <v>91</v>
      </c>
      <c r="C45" s="74">
        <v>101616</v>
      </c>
      <c r="D45" s="175" t="s">
        <v>43</v>
      </c>
      <c r="E45" s="72" t="s">
        <v>7</v>
      </c>
      <c r="F45" s="73">
        <f>'Memória de Cálculo'!D41</f>
        <v>243.6</v>
      </c>
      <c r="G45" s="221">
        <f>G19</f>
        <v>6.93</v>
      </c>
      <c r="H45" s="222">
        <f t="shared" si="5"/>
        <v>8.4</v>
      </c>
      <c r="I45" s="225">
        <f t="shared" si="6"/>
        <v>2046.24</v>
      </c>
    </row>
    <row r="46" spans="1:9" s="61" customFormat="1" ht="22.5">
      <c r="A46" s="68" t="s">
        <v>173</v>
      </c>
      <c r="B46" s="68" t="s">
        <v>91</v>
      </c>
      <c r="C46" s="74">
        <v>94974</v>
      </c>
      <c r="D46" s="175" t="s">
        <v>44</v>
      </c>
      <c r="E46" s="68" t="s">
        <v>9</v>
      </c>
      <c r="F46" s="23">
        <f>'Memória de Cálculo'!D42</f>
        <v>8.3580000000000005</v>
      </c>
      <c r="G46" s="221">
        <f>G20</f>
        <v>525.34</v>
      </c>
      <c r="H46" s="225">
        <f t="shared" si="5"/>
        <v>636.82000000000005</v>
      </c>
      <c r="I46" s="225">
        <f>ROUND((F46*H46),2)+1.28</f>
        <v>5323.82</v>
      </c>
    </row>
    <row r="47" spans="1:9" s="61" customFormat="1" ht="45">
      <c r="A47" s="68" t="s">
        <v>174</v>
      </c>
      <c r="B47" s="68" t="s">
        <v>91</v>
      </c>
      <c r="C47" s="74">
        <v>92210</v>
      </c>
      <c r="D47" s="175" t="s">
        <v>45</v>
      </c>
      <c r="E47" s="74" t="s">
        <v>10</v>
      </c>
      <c r="F47" s="23">
        <f>'Memória de Cálculo'!D43</f>
        <v>24</v>
      </c>
      <c r="G47" s="221">
        <f>G21</f>
        <v>161.22999999999999</v>
      </c>
      <c r="H47" s="225">
        <f t="shared" si="5"/>
        <v>195.44</v>
      </c>
      <c r="I47" s="225">
        <f t="shared" si="6"/>
        <v>4690.5600000000004</v>
      </c>
    </row>
    <row r="48" spans="1:9" s="61" customFormat="1" ht="45">
      <c r="A48" s="68" t="s">
        <v>175</v>
      </c>
      <c r="B48" s="68" t="s">
        <v>91</v>
      </c>
      <c r="C48" s="74">
        <v>92212</v>
      </c>
      <c r="D48" s="176" t="s">
        <v>83</v>
      </c>
      <c r="E48" s="74" t="s">
        <v>10</v>
      </c>
      <c r="F48" s="205">
        <f>'Memória de Cálculo'!D44</f>
        <v>183</v>
      </c>
      <c r="G48" s="221">
        <v>299.52</v>
      </c>
      <c r="H48" s="225">
        <f t="shared" si="5"/>
        <v>363.08</v>
      </c>
      <c r="I48" s="225">
        <f t="shared" si="6"/>
        <v>66443.64</v>
      </c>
    </row>
    <row r="49" spans="1:9" s="61" customFormat="1" ht="45">
      <c r="A49" s="68" t="s">
        <v>176</v>
      </c>
      <c r="B49" s="68" t="s">
        <v>91</v>
      </c>
      <c r="C49" s="74">
        <v>93378</v>
      </c>
      <c r="D49" s="175" t="s">
        <v>46</v>
      </c>
      <c r="E49" s="74" t="s">
        <v>9</v>
      </c>
      <c r="F49" s="76">
        <f>'Memória de Cálculo'!D45</f>
        <v>311.26</v>
      </c>
      <c r="G49" s="221">
        <f>G23</f>
        <v>26.56</v>
      </c>
      <c r="H49" s="225">
        <f t="shared" si="5"/>
        <v>32.200000000000003</v>
      </c>
      <c r="I49" s="225">
        <f t="shared" si="6"/>
        <v>10022.57</v>
      </c>
    </row>
    <row r="50" spans="1:9" s="61" customFormat="1" ht="22.5">
      <c r="A50" s="68" t="s">
        <v>177</v>
      </c>
      <c r="B50" s="68" t="s">
        <v>91</v>
      </c>
      <c r="C50" s="352">
        <v>97956</v>
      </c>
      <c r="D50" s="179" t="s">
        <v>189</v>
      </c>
      <c r="E50" s="74" t="s">
        <v>38</v>
      </c>
      <c r="F50" s="73">
        <f>'Memória de Cálculo'!D46</f>
        <v>10</v>
      </c>
      <c r="G50" s="222">
        <v>1653.73</v>
      </c>
      <c r="H50" s="222">
        <f t="shared" si="5"/>
        <v>2004.65</v>
      </c>
      <c r="I50" s="222">
        <f t="shared" si="6"/>
        <v>20046.5</v>
      </c>
    </row>
    <row r="51" spans="1:9" s="61" customFormat="1" ht="33.75">
      <c r="A51" s="68" t="s">
        <v>178</v>
      </c>
      <c r="B51" s="68" t="s">
        <v>91</v>
      </c>
      <c r="C51" s="162">
        <v>99259</v>
      </c>
      <c r="D51" s="178" t="s">
        <v>86</v>
      </c>
      <c r="E51" s="74" t="s">
        <v>87</v>
      </c>
      <c r="F51" s="32">
        <f>'Memória de Cálculo'!D47</f>
        <v>7</v>
      </c>
      <c r="G51" s="221">
        <v>3535.83</v>
      </c>
      <c r="H51" s="222">
        <f t="shared" si="5"/>
        <v>4286.13</v>
      </c>
      <c r="I51" s="222">
        <f t="shared" si="6"/>
        <v>30002.91</v>
      </c>
    </row>
    <row r="52" spans="1:9" s="61" customFormat="1" ht="22.5" customHeight="1">
      <c r="A52" s="68" t="s">
        <v>179</v>
      </c>
      <c r="B52" s="68" t="s">
        <v>91</v>
      </c>
      <c r="C52" s="162">
        <v>98051</v>
      </c>
      <c r="D52" s="178" t="s">
        <v>117</v>
      </c>
      <c r="E52" s="74" t="s">
        <v>10</v>
      </c>
      <c r="F52" s="32">
        <f>'Memória de Cálculo'!D48</f>
        <v>3.5</v>
      </c>
      <c r="G52" s="221">
        <v>972.59</v>
      </c>
      <c r="H52" s="222">
        <f t="shared" si="5"/>
        <v>1178.97</v>
      </c>
      <c r="I52" s="222">
        <f t="shared" si="6"/>
        <v>4126.3999999999996</v>
      </c>
    </row>
    <row r="53" spans="1:9" s="61" customFormat="1" ht="22.5">
      <c r="A53" s="68" t="s">
        <v>180</v>
      </c>
      <c r="B53" s="68" t="s">
        <v>91</v>
      </c>
      <c r="C53" s="162">
        <v>98114</v>
      </c>
      <c r="D53" s="178" t="s">
        <v>88</v>
      </c>
      <c r="E53" s="74" t="s">
        <v>87</v>
      </c>
      <c r="F53" s="32">
        <f>'Memória de Cálculo'!D49</f>
        <v>7</v>
      </c>
      <c r="G53" s="221">
        <v>528.48</v>
      </c>
      <c r="H53" s="222">
        <f>ROUND(G53+(G53*$I$7),2)</f>
        <v>640.62</v>
      </c>
      <c r="I53" s="222">
        <f>ROUND((F53*H53),2)</f>
        <v>4484.34</v>
      </c>
    </row>
    <row r="54" spans="1:9" s="61" customFormat="1" ht="11.25">
      <c r="A54" s="16" t="s">
        <v>181</v>
      </c>
      <c r="B54" s="17"/>
      <c r="C54" s="17"/>
      <c r="D54" s="75" t="s">
        <v>105</v>
      </c>
      <c r="E54" s="17"/>
      <c r="F54" s="18">
        <f>'Memória de Cálculo'!D50</f>
        <v>0</v>
      </c>
      <c r="G54" s="226"/>
      <c r="H54" s="226"/>
      <c r="I54" s="227">
        <f>SUM(I55:I62)</f>
        <v>352169.00999999995</v>
      </c>
    </row>
    <row r="55" spans="1:9" s="61" customFormat="1" ht="11.25" customHeight="1">
      <c r="A55" s="72" t="s">
        <v>182</v>
      </c>
      <c r="B55" s="72" t="s">
        <v>91</v>
      </c>
      <c r="C55" s="74">
        <v>100576</v>
      </c>
      <c r="D55" s="175" t="s">
        <v>112</v>
      </c>
      <c r="E55" s="74" t="s">
        <v>7</v>
      </c>
      <c r="F55" s="73">
        <f>'Memória de Cálculo'!D51</f>
        <v>2239.64</v>
      </c>
      <c r="G55" s="222">
        <f>G28</f>
        <v>2.86</v>
      </c>
      <c r="H55" s="222">
        <f t="shared" ref="H55:H62" si="7">ROUND(G55+(G55*$I$7),2)</f>
        <v>3.47</v>
      </c>
      <c r="I55" s="222">
        <f t="shared" ref="I55:I62" si="8">ROUND((F55*H55),2)</f>
        <v>7771.55</v>
      </c>
    </row>
    <row r="56" spans="1:9" s="61" customFormat="1" ht="45">
      <c r="A56" s="72" t="s">
        <v>183</v>
      </c>
      <c r="B56" s="72" t="s">
        <v>91</v>
      </c>
      <c r="C56" s="74">
        <v>94273</v>
      </c>
      <c r="D56" s="175" t="s">
        <v>47</v>
      </c>
      <c r="E56" s="74" t="s">
        <v>10</v>
      </c>
      <c r="F56" s="73">
        <f>'Memória de Cálculo'!D52</f>
        <v>695.94</v>
      </c>
      <c r="G56" s="222">
        <f>G29</f>
        <v>64.41</v>
      </c>
      <c r="H56" s="222">
        <f t="shared" si="7"/>
        <v>78.08</v>
      </c>
      <c r="I56" s="222">
        <f t="shared" si="8"/>
        <v>54339</v>
      </c>
    </row>
    <row r="57" spans="1:9" s="61" customFormat="1" ht="22.5">
      <c r="A57" s="72" t="s">
        <v>184</v>
      </c>
      <c r="B57" s="72" t="s">
        <v>91</v>
      </c>
      <c r="C57" s="74">
        <v>92394</v>
      </c>
      <c r="D57" s="175" t="s">
        <v>48</v>
      </c>
      <c r="E57" s="74" t="s">
        <v>7</v>
      </c>
      <c r="F57" s="73">
        <f>'Memória de Cálculo'!D53</f>
        <v>1918.13</v>
      </c>
      <c r="G57" s="222">
        <f>G30</f>
        <v>98.8</v>
      </c>
      <c r="H57" s="222">
        <f t="shared" si="7"/>
        <v>119.77</v>
      </c>
      <c r="I57" s="222">
        <f t="shared" si="8"/>
        <v>229734.43</v>
      </c>
    </row>
    <row r="58" spans="1:9" s="61" customFormat="1" ht="22.5">
      <c r="A58" s="72" t="s">
        <v>185</v>
      </c>
      <c r="B58" s="72" t="s">
        <v>91</v>
      </c>
      <c r="C58" s="74">
        <v>94287</v>
      </c>
      <c r="D58" s="179" t="s">
        <v>78</v>
      </c>
      <c r="E58" s="74" t="s">
        <v>10</v>
      </c>
      <c r="F58" s="73">
        <f>'Memória de Cálculo'!D54</f>
        <v>695.94</v>
      </c>
      <c r="G58" s="222">
        <f>G31</f>
        <v>35.32</v>
      </c>
      <c r="H58" s="222">
        <f t="shared" si="7"/>
        <v>42.81</v>
      </c>
      <c r="I58" s="222">
        <f t="shared" si="8"/>
        <v>29793.19</v>
      </c>
    </row>
    <row r="59" spans="1:9" s="61" customFormat="1" ht="22.5">
      <c r="A59" s="72" t="s">
        <v>186</v>
      </c>
      <c r="B59" s="72" t="s">
        <v>111</v>
      </c>
      <c r="C59" s="74">
        <v>2003343</v>
      </c>
      <c r="D59" s="179" t="s">
        <v>152</v>
      </c>
      <c r="E59" s="74" t="s">
        <v>10</v>
      </c>
      <c r="F59" s="73">
        <f>'Memória de Cálculo'!D55</f>
        <v>284.32</v>
      </c>
      <c r="G59" s="222">
        <v>76.849999999999994</v>
      </c>
      <c r="H59" s="222">
        <f t="shared" si="7"/>
        <v>93.16</v>
      </c>
      <c r="I59" s="222">
        <f t="shared" si="8"/>
        <v>26487.25</v>
      </c>
    </row>
    <row r="60" spans="1:9" s="61" customFormat="1" ht="18.75" customHeight="1">
      <c r="A60" s="72" t="s">
        <v>187</v>
      </c>
      <c r="B60" s="190" t="s">
        <v>71</v>
      </c>
      <c r="C60" s="346" t="str">
        <f>Composição!B12</f>
        <v>001</v>
      </c>
      <c r="D60" s="345" t="str">
        <f>Composição!C12</f>
        <v>VIGA DE TRAVAMENTO EM CONCRETO ARMADO TAMANHO 15 X 30.</v>
      </c>
      <c r="E60" s="191" t="s">
        <v>10</v>
      </c>
      <c r="F60" s="193">
        <f>'Memória de Cálculo'!D56</f>
        <v>23.120000000000005</v>
      </c>
      <c r="G60" s="228">
        <f>Composição!G12</f>
        <v>108.76697</v>
      </c>
      <c r="H60" s="229">
        <f t="shared" si="7"/>
        <v>131.85</v>
      </c>
      <c r="I60" s="229">
        <f t="shared" si="8"/>
        <v>3048.37</v>
      </c>
    </row>
    <row r="61" spans="1:9" s="61" customFormat="1" ht="22.5">
      <c r="A61" s="72" t="s">
        <v>199</v>
      </c>
      <c r="B61" s="72" t="s">
        <v>111</v>
      </c>
      <c r="C61" s="355">
        <v>5213440</v>
      </c>
      <c r="D61" s="353" t="s">
        <v>204</v>
      </c>
      <c r="E61" s="191" t="s">
        <v>203</v>
      </c>
      <c r="F61" s="193">
        <f>'Memória de Cálculo'!D57</f>
        <v>2</v>
      </c>
      <c r="G61" s="228">
        <v>279.08</v>
      </c>
      <c r="H61" s="229">
        <f t="shared" si="7"/>
        <v>338.3</v>
      </c>
      <c r="I61" s="229">
        <f t="shared" si="8"/>
        <v>676.6</v>
      </c>
    </row>
    <row r="62" spans="1:9" s="61" customFormat="1" ht="22.5">
      <c r="A62" s="72" t="s">
        <v>200</v>
      </c>
      <c r="B62" s="72" t="s">
        <v>111</v>
      </c>
      <c r="C62" s="355">
        <v>5216111</v>
      </c>
      <c r="D62" s="344" t="s">
        <v>202</v>
      </c>
      <c r="E62" s="191" t="s">
        <v>203</v>
      </c>
      <c r="F62" s="193">
        <f>'Memória de Cálculo'!D58</f>
        <v>2</v>
      </c>
      <c r="G62" s="228">
        <v>131.41999999999999</v>
      </c>
      <c r="H62" s="229">
        <f t="shared" si="7"/>
        <v>159.31</v>
      </c>
      <c r="I62" s="229">
        <f t="shared" si="8"/>
        <v>318.62</v>
      </c>
    </row>
    <row r="63" spans="1:9" s="61" customFormat="1" ht="11.25">
      <c r="A63" s="243"/>
      <c r="B63" s="244"/>
      <c r="C63" s="245"/>
      <c r="D63" s="246" t="s">
        <v>114</v>
      </c>
      <c r="E63" s="245"/>
      <c r="F63" s="247"/>
      <c r="G63" s="248"/>
      <c r="H63" s="249"/>
      <c r="I63" s="250">
        <f>I54+I43+I39</f>
        <v>630352.82999999996</v>
      </c>
    </row>
    <row r="64" spans="1:9" s="61" customFormat="1" ht="6" customHeight="1">
      <c r="A64" s="256"/>
      <c r="B64" s="188"/>
      <c r="C64" s="188"/>
      <c r="D64" s="188"/>
      <c r="E64" s="188"/>
      <c r="F64" s="188"/>
      <c r="G64" s="188"/>
      <c r="H64" s="188"/>
      <c r="I64" s="257"/>
    </row>
    <row r="65" spans="1:11" s="27" customFormat="1" ht="20.100000000000001" customHeight="1">
      <c r="A65" s="251"/>
      <c r="B65" s="252"/>
      <c r="C65" s="252"/>
      <c r="D65" s="253" t="s">
        <v>32</v>
      </c>
      <c r="E65" s="252"/>
      <c r="F65" s="252"/>
      <c r="G65" s="252"/>
      <c r="H65" s="254"/>
      <c r="I65" s="255">
        <f>I17+I27+I10+I54+I43+I39+I13</f>
        <v>1210799.5</v>
      </c>
      <c r="K65" s="28"/>
    </row>
    <row r="66" spans="1:11" s="27" customFormat="1" ht="13.5" customHeight="1">
      <c r="A66" s="141"/>
      <c r="B66" s="142"/>
      <c r="C66" s="142"/>
      <c r="D66" s="142"/>
      <c r="E66" s="142"/>
      <c r="F66" s="142"/>
      <c r="G66" s="142"/>
      <c r="H66" s="142"/>
      <c r="I66" s="143"/>
      <c r="K66" s="28"/>
    </row>
    <row r="67" spans="1:11" s="27" customFormat="1" ht="15.75" customHeight="1">
      <c r="A67" s="141"/>
      <c r="B67" s="142"/>
      <c r="C67" s="142"/>
      <c r="D67" s="142"/>
      <c r="E67" s="142"/>
      <c r="F67" s="142"/>
      <c r="G67" s="142"/>
      <c r="H67" s="142"/>
      <c r="I67" s="143"/>
      <c r="K67" s="28"/>
    </row>
    <row r="68" spans="1:11" ht="14.25" customHeight="1">
      <c r="A68" s="3"/>
      <c r="B68" s="4"/>
      <c r="C68" s="4"/>
      <c r="D68" s="4"/>
      <c r="E68" s="4"/>
      <c r="F68" s="4"/>
      <c r="G68" s="5"/>
      <c r="H68" s="4"/>
      <c r="I68" s="6"/>
      <c r="K68" s="63"/>
    </row>
    <row r="69" spans="1:11" ht="11.25" customHeight="1">
      <c r="A69" s="7"/>
      <c r="B69" s="8"/>
      <c r="C69" s="8"/>
      <c r="D69" s="8"/>
      <c r="E69" s="8"/>
      <c r="F69" s="8"/>
      <c r="G69" s="9"/>
      <c r="H69" s="8"/>
      <c r="I69" s="10"/>
    </row>
    <row r="70" spans="1:11" ht="12" customHeight="1">
      <c r="A70" s="7"/>
      <c r="B70" s="8"/>
      <c r="C70" s="8"/>
      <c r="D70" s="8"/>
      <c r="E70" s="8"/>
      <c r="F70" s="8"/>
      <c r="G70" s="8"/>
      <c r="H70" s="8"/>
      <c r="I70" s="10"/>
    </row>
    <row r="71" spans="1:11" s="27" customFormat="1" ht="12.75" customHeight="1">
      <c r="A71" s="26"/>
      <c r="I71" s="29"/>
    </row>
    <row r="72" spans="1:11">
      <c r="A72" s="26"/>
      <c r="B72" s="27"/>
      <c r="C72" s="27"/>
      <c r="D72" s="27"/>
      <c r="E72" s="27"/>
      <c r="F72" s="27"/>
      <c r="G72" s="27"/>
      <c r="H72" s="27"/>
      <c r="I72" s="29"/>
    </row>
    <row r="73" spans="1:11">
      <c r="A73" s="11"/>
      <c r="D73" s="180"/>
      <c r="I73" s="14"/>
    </row>
    <row r="74" spans="1:11">
      <c r="A74" s="11"/>
      <c r="I74" s="14"/>
    </row>
    <row r="75" spans="1:11">
      <c r="A75" s="11"/>
      <c r="I75" s="14"/>
    </row>
    <row r="76" spans="1:11" ht="11.25" customHeight="1">
      <c r="A76" s="7"/>
      <c r="B76" s="8"/>
      <c r="C76" s="8"/>
      <c r="D76" s="8"/>
      <c r="E76" s="8"/>
      <c r="F76" s="8"/>
      <c r="G76" s="8"/>
      <c r="H76" s="8"/>
      <c r="I76" s="10"/>
    </row>
    <row r="77" spans="1:11" s="27" customFormat="1" ht="12.75" customHeight="1">
      <c r="A77" s="240"/>
      <c r="B77" s="241"/>
      <c r="C77" s="241"/>
      <c r="D77" s="241"/>
      <c r="E77" s="241"/>
      <c r="F77" s="241"/>
      <c r="G77" s="241"/>
      <c r="H77" s="241"/>
      <c r="I77" s="242"/>
    </row>
    <row r="78" spans="1:11" s="27" customFormat="1" ht="12" customHeight="1">
      <c r="A78" s="26"/>
      <c r="I78" s="29"/>
    </row>
    <row r="79" spans="1:11" s="27" customFormat="1" ht="12" customHeight="1">
      <c r="A79" s="26"/>
      <c r="D79" s="180"/>
      <c r="G79" s="28"/>
      <c r="I79" s="29"/>
    </row>
    <row r="80" spans="1:11">
      <c r="A80" s="64"/>
      <c r="B80" s="65"/>
      <c r="C80" s="65"/>
      <c r="D80" s="65"/>
      <c r="E80" s="65"/>
      <c r="F80" s="65"/>
      <c r="G80" s="66"/>
      <c r="H80" s="65"/>
      <c r="I80" s="67"/>
    </row>
    <row r="82" spans="1:9" ht="69.95" customHeight="1">
      <c r="A82" s="386"/>
      <c r="B82" s="387"/>
      <c r="C82" s="387"/>
      <c r="D82" s="387"/>
      <c r="E82" s="387"/>
      <c r="F82" s="387"/>
      <c r="G82" s="387"/>
      <c r="H82" s="387"/>
      <c r="I82" s="388"/>
    </row>
  </sheetData>
  <autoFilter ref="C10:C63" xr:uid="{00000000-0001-0000-0100-000000000000}"/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5">
    <mergeCell ref="A82:I82"/>
    <mergeCell ref="D1:I1"/>
    <mergeCell ref="A1:C1"/>
    <mergeCell ref="A5:E5"/>
    <mergeCell ref="A6:E6"/>
    <mergeCell ref="A8:I8"/>
    <mergeCell ref="F5:I5"/>
    <mergeCell ref="A7:E7"/>
    <mergeCell ref="A2:I2"/>
    <mergeCell ref="H4:I4"/>
    <mergeCell ref="A4:E4"/>
    <mergeCell ref="A3:E3"/>
    <mergeCell ref="F3:G3"/>
    <mergeCell ref="H3:I3"/>
    <mergeCell ref="F4:G4"/>
  </mergeCells>
  <phoneticPr fontId="5" type="noConversion"/>
  <printOptions horizontalCentered="1"/>
  <pageMargins left="0.47244094488188981" right="0.19685039370078741" top="0.59055118110236227" bottom="0.6692913385826772" header="0" footer="0"/>
  <pageSetup paperSize="9" scale="68" fitToHeight="2" orientation="portrait" blackAndWhite="1" horizontalDpi="4294967295" r:id="rId2"/>
  <headerFooter alignWithMargins="0"/>
  <ignoredErrors>
    <ignoredError sqref="I43" 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9"/>
  <sheetViews>
    <sheetView showGridLines="0" showZeros="0" view="pageBreakPreview" topLeftCell="A28" zoomScale="115" zoomScaleSheetLayoutView="115" workbookViewId="0">
      <selection activeCell="D36" sqref="D36"/>
    </sheetView>
  </sheetViews>
  <sheetFormatPr defaultColWidth="9.140625" defaultRowHeight="12.75"/>
  <cols>
    <col min="1" max="1" width="5.7109375" style="1" customWidth="1"/>
    <col min="2" max="2" width="60.7109375" style="1" customWidth="1"/>
    <col min="3" max="3" width="10.140625" style="1" customWidth="1"/>
    <col min="4" max="4" width="11.7109375" style="156" customWidth="1"/>
    <col min="5" max="5" width="40.7109375" style="2" customWidth="1"/>
    <col min="6" max="6" width="9.140625" style="1"/>
    <col min="7" max="7" width="12.5703125" style="1" bestFit="1" customWidth="1"/>
    <col min="8" max="16384" width="9.140625" style="1"/>
  </cols>
  <sheetData>
    <row r="1" spans="1:7" s="12" customFormat="1" ht="94.5" customHeight="1">
      <c r="A1" s="83"/>
      <c r="B1" s="81"/>
      <c r="C1" s="81"/>
      <c r="D1" s="151"/>
      <c r="E1" s="146"/>
      <c r="F1" s="82"/>
      <c r="G1" s="82"/>
    </row>
    <row r="2" spans="1:7" s="25" customFormat="1" ht="20.100000000000001" customHeight="1">
      <c r="A2" s="418" t="s">
        <v>22</v>
      </c>
      <c r="B2" s="419"/>
      <c r="C2" s="419"/>
      <c r="D2" s="419"/>
      <c r="E2" s="420"/>
    </row>
    <row r="3" spans="1:7" s="30" customFormat="1" ht="20.100000000000001" customHeight="1">
      <c r="A3" s="412" t="s">
        <v>36</v>
      </c>
      <c r="B3" s="413"/>
      <c r="C3" s="413"/>
      <c r="D3" s="152"/>
      <c r="E3" s="33"/>
    </row>
    <row r="4" spans="1:7" s="30" customFormat="1" ht="20.100000000000001" customHeight="1">
      <c r="A4" s="421" t="str">
        <f>'Planilha Orcamentária'!A4:E4</f>
        <v>OBRA: PAVIMENTAÇÃO DA SERRA DO PITA FOGO E SERRA DA VILA MARQUES</v>
      </c>
      <c r="B4" s="410"/>
      <c r="C4" s="411"/>
      <c r="D4" s="153" t="s">
        <v>37</v>
      </c>
      <c r="E4" s="69" t="s">
        <v>30</v>
      </c>
    </row>
    <row r="5" spans="1:7" s="30" customFormat="1" ht="20.100000000000001" customHeight="1">
      <c r="A5" s="394" t="str">
        <f>'Planilha Orcamentária'!A5:E5</f>
        <v>LOCAL:  CÓRREGO PITA FOGO E VILA MARQUES -  INHAPIM/MG - CEP: 35330-000</v>
      </c>
      <c r="B5" s="394"/>
      <c r="C5" s="394"/>
      <c r="D5" s="154" t="s">
        <v>19</v>
      </c>
      <c r="E5" s="34">
        <f ca="1">TODAY()</f>
        <v>45996</v>
      </c>
    </row>
    <row r="6" spans="1:7" ht="3.75" customHeight="1">
      <c r="A6" s="398"/>
      <c r="B6" s="398"/>
      <c r="C6" s="398"/>
      <c r="D6" s="398"/>
      <c r="E6" s="398"/>
    </row>
    <row r="7" spans="1:7" s="19" customFormat="1" ht="35.1" customHeight="1">
      <c r="A7" s="328" t="s">
        <v>0</v>
      </c>
      <c r="B7" s="31" t="s">
        <v>25</v>
      </c>
      <c r="C7" s="31" t="s">
        <v>2</v>
      </c>
      <c r="D7" s="147" t="s">
        <v>1</v>
      </c>
      <c r="E7" s="23" t="s">
        <v>33</v>
      </c>
    </row>
    <row r="8" spans="1:7" s="19" customFormat="1" ht="19.5" customHeight="1">
      <c r="A8" s="329" t="str">
        <f>'Planilha Orcamentária'!A10</f>
        <v>1.0</v>
      </c>
      <c r="B8" s="75" t="str">
        <f>'Planilha Orcamentária'!D10</f>
        <v xml:space="preserve">SERVIÇOS PRELIMINARES </v>
      </c>
      <c r="C8" s="269"/>
      <c r="D8" s="270"/>
      <c r="E8" s="271"/>
    </row>
    <row r="9" spans="1:7" s="19" customFormat="1" ht="22.5">
      <c r="A9" s="330" t="str">
        <f>'Planilha Orcamentária'!A11</f>
        <v>1.1</v>
      </c>
      <c r="B9" s="175" t="str">
        <f>'Planilha Orcamentária'!D11</f>
        <v>FORNECIMENTO E INSTALAÇÃO DE PLACA DE OBRA COM CHAPA GALVANIZADA E ESTRUTURA DE MADEIRA. AF_03/2022_PS</v>
      </c>
      <c r="C9" s="74" t="str">
        <f>'Planilha Orcamentária'!E11</f>
        <v>M2</v>
      </c>
      <c r="D9" s="314">
        <v>9</v>
      </c>
      <c r="E9" s="279" t="s">
        <v>154</v>
      </c>
      <c r="G9" s="342">
        <f>G48</f>
        <v>1210799.5</v>
      </c>
    </row>
    <row r="10" spans="1:7" s="19" customFormat="1" ht="12">
      <c r="A10" s="331" t="str">
        <f>'Planilha Orcamentária'!A14</f>
        <v>1.2</v>
      </c>
      <c r="B10" s="192" t="str">
        <f>'Planilha Orcamentária'!D14</f>
        <v>ADMINISTRAÇÃO LOCAL</v>
      </c>
      <c r="C10" s="280"/>
      <c r="D10" s="315">
        <v>1</v>
      </c>
      <c r="E10" s="281" t="s">
        <v>137</v>
      </c>
    </row>
    <row r="11" spans="1:7" s="19" customFormat="1" ht="6" customHeight="1">
      <c r="A11" s="332">
        <f>'Planilha Orcamentária'!A15</f>
        <v>0</v>
      </c>
      <c r="B11" s="188">
        <f>'Planilha Orcamentária'!D15</f>
        <v>0</v>
      </c>
      <c r="C11" s="184">
        <f>'Planilha Orcamentária'!E15</f>
        <v>0</v>
      </c>
      <c r="D11" s="316"/>
      <c r="E11" s="285"/>
    </row>
    <row r="12" spans="1:7" s="19" customFormat="1" ht="16.5" customHeight="1">
      <c r="A12" s="333">
        <f>'Planilha Orcamentária'!A16</f>
        <v>3</v>
      </c>
      <c r="B12" s="283" t="str">
        <f>'Planilha Orcamentária'!D16</f>
        <v>SERRA DO PITA FOGO</v>
      </c>
      <c r="C12" s="282">
        <f>'Planilha Orcamentária'!E16</f>
        <v>0</v>
      </c>
      <c r="D12" s="317"/>
      <c r="E12" s="284"/>
    </row>
    <row r="13" spans="1:7" s="19" customFormat="1" ht="15" customHeight="1">
      <c r="A13" s="334" t="str">
        <f>'Planilha Orcamentária'!A17</f>
        <v>3.1</v>
      </c>
      <c r="B13" s="259" t="str">
        <f>'Planilha Orcamentária'!D17</f>
        <v>DRENAGEM - SERRA PITA FOGO</v>
      </c>
      <c r="C13" s="259">
        <f>'Planilha Orcamentária'!E17</f>
        <v>0</v>
      </c>
      <c r="D13" s="318"/>
      <c r="E13" s="272"/>
    </row>
    <row r="14" spans="1:7" s="19" customFormat="1" ht="45">
      <c r="A14" s="72" t="str">
        <f>'Planilha Orcamentária'!A18</f>
        <v>3.1.1</v>
      </c>
      <c r="B14" s="175" t="str">
        <f>'Planilha Orcamentária'!D18</f>
        <v>ESCAVAÇÃO MECANIZADA DE VALA COM PROFUNDIDADE ATÉ 1,5 M (MÉDIA MONTANTE E JUSANTE/UMA COMPOSIÇÃO POR TRECHO), RETROESCAV. (0,26 M3), LARGURA DE 0,8 M A 1,5 M, EM SOLO DE 1A CATEGORIA, LOCAIS COM BAIXO NÍVEL DE INTERFERÊNCIA. AF_02/2021</v>
      </c>
      <c r="C14" s="72" t="str">
        <f>'Planilha Orcamentária'!E18</f>
        <v>M3</v>
      </c>
      <c r="D14" s="319">
        <f>D17*1*1.4 + D18 * 1.4 * 1.5</f>
        <v>42</v>
      </c>
      <c r="E14" s="308" t="s">
        <v>191</v>
      </c>
      <c r="G14" s="321">
        <f>D17*1.4*1.2*1 + D18 * 1.6 * 1.4</f>
        <v>48.16</v>
      </c>
    </row>
    <row r="15" spans="1:7" s="19" customFormat="1" ht="27.75" customHeight="1">
      <c r="A15" s="72" t="str">
        <f>'Planilha Orcamentária'!A19</f>
        <v>3.1.2</v>
      </c>
      <c r="B15" s="175" t="str">
        <f>'Planilha Orcamentária'!D19</f>
        <v>PREPARO DE FUNDO DE VALA COM LARGURA MENOR QUE 1,5 M (ACERTO DO SOLO NATURAL). AF_08/2020</v>
      </c>
      <c r="C15" s="72" t="str">
        <f>'Planilha Orcamentária'!E19</f>
        <v>M2</v>
      </c>
      <c r="D15" s="319">
        <f>D17 *1 + D18 *1.4</f>
        <v>29.2</v>
      </c>
      <c r="E15" s="308" t="s">
        <v>192</v>
      </c>
    </row>
    <row r="16" spans="1:7" s="19" customFormat="1" ht="22.5">
      <c r="A16" s="72" t="str">
        <f>'Planilha Orcamentária'!A20</f>
        <v>3.1.3</v>
      </c>
      <c r="B16" s="175" t="str">
        <f>'Planilha Orcamentária'!D20</f>
        <v>CONCRETO MAGRO PARA LASTRO, TRAÇO 1:4,5:4,5 (EM MASSA SECA DE CIMENTO/ AREIA MÉDIA/ BRITA 1) - PREPARO MANUAL. AF_05/2021</v>
      </c>
      <c r="C16" s="72" t="str">
        <f>'Planilha Orcamentária'!E20</f>
        <v>M3</v>
      </c>
      <c r="D16" s="319">
        <f>(D17*0.4 + D18*0.8) *0.07</f>
        <v>0.95200000000000018</v>
      </c>
      <c r="E16" s="308" t="s">
        <v>193</v>
      </c>
    </row>
    <row r="17" spans="1:10" s="19" customFormat="1" ht="33.75">
      <c r="A17" s="72" t="str">
        <f>'Planilha Orcamentária'!A21</f>
        <v>3.1.4</v>
      </c>
      <c r="B17" s="175" t="str">
        <f>'Planilha Orcamentária'!D21</f>
        <v>TUBO DE CONCRETO PARA REDES COLETORAS DE ÁGUAS PLUVIAIS, DIÂMETRO DE 400 MM, JUNTA RÍGIDA, INSTALADO EM LOCAL COM BAIXO NÍVEL DE INTERFERÊNCIAS - FORNECIMENTO E ASSENTAMENTO. AF_12/2015</v>
      </c>
      <c r="C17" s="72" t="str">
        <f>'Planilha Orcamentária'!E21</f>
        <v>M</v>
      </c>
      <c r="D17" s="319">
        <v>18</v>
      </c>
      <c r="E17" s="322" t="s">
        <v>190</v>
      </c>
    </row>
    <row r="18" spans="1:10" s="19" customFormat="1" ht="33.75">
      <c r="A18" s="72" t="str">
        <f>'Planilha Orcamentária'!A22</f>
        <v>3.1.5</v>
      </c>
      <c r="B18" s="175" t="str">
        <f>'Planilha Orcamentária'!D22</f>
        <v>TUBO DE CONCRETO PARA REDES COLETORAS DE ÁGUAS PLUVIAIS, DIÂMETRO DE 800 MM, JUNTA RÍGIDA, INSTALADO EM LOCAL COM BAIXO NÍVEL DE INTERFERÊNCIAS - FORNECIMENTO E ASSENTAMENTO. AF_12/2015</v>
      </c>
      <c r="C18" s="72" t="str">
        <f>'Planilha Orcamentária'!E22</f>
        <v>M</v>
      </c>
      <c r="D18" s="319">
        <v>8</v>
      </c>
      <c r="E18" s="160" t="s">
        <v>138</v>
      </c>
    </row>
    <row r="19" spans="1:10" s="19" customFormat="1" ht="45">
      <c r="A19" s="72" t="str">
        <f>'Planilha Orcamentária'!A23</f>
        <v>3.1.6</v>
      </c>
      <c r="B19" s="175" t="str">
        <f>'Planilha Orcamentária'!D23</f>
        <v>REATERRO MECANIZADO DE VALA COM RETROESCAVADEIRA (CAPACIDADE DA CAÇAMBA DA RETRO: 0,26 M³ / POTÊNCIA: 88 HP), LARGURA ATÉ 0,8 M, PROFUNDIDADE ATÉ 1,5 M, COM SOLO DE 1ª CATEGORIA EM LOCAIS COM BAIXO NÍVEL DE INTERFERÊNCIA. AF_04/2016</v>
      </c>
      <c r="C19" s="72" t="str">
        <f>'Planilha Orcamentária'!E23</f>
        <v>M3</v>
      </c>
      <c r="D19" s="319">
        <f xml:space="preserve"> ROUND(D14-(0.4^2*3.1415*8 + 0.02^2*3.14159 *14),2)</f>
        <v>37.96</v>
      </c>
      <c r="E19" s="322" t="s">
        <v>194</v>
      </c>
    </row>
    <row r="20" spans="1:10" s="19" customFormat="1" ht="22.5">
      <c r="A20" s="72" t="str">
        <f>'Planilha Orcamentária'!A24</f>
        <v>3.1.7</v>
      </c>
      <c r="B20" s="175" t="str">
        <f>'Planilha Orcamentária'!D24</f>
        <v>CAIXA PARA BOCA DE LOBO SIMPLES RETANGULAR, EM ALVENARIA COM BLOCOS DE CONCRETO, DIMENSÕES INTERNAS: 0,6X1X1,2 M. AF_12/2020</v>
      </c>
      <c r="C20" s="72" t="str">
        <f>'Planilha Orcamentária'!E24</f>
        <v>UN</v>
      </c>
      <c r="D20" s="319">
        <v>2</v>
      </c>
      <c r="E20" s="85" t="s">
        <v>139</v>
      </c>
    </row>
    <row r="21" spans="1:10" s="19" customFormat="1" ht="22.5">
      <c r="A21" s="72" t="str">
        <f>'Planilha Orcamentária'!A25</f>
        <v>3.1.8</v>
      </c>
      <c r="B21" s="177" t="str">
        <f>'Planilha Orcamentária'!D25</f>
        <v>Caixa coletora de sarjeta - CCS 01 - com grelha de concreto - TCC 01 - areia e brita comerciais</v>
      </c>
      <c r="C21" s="72" t="str">
        <f>'Planilha Orcamentária'!E25</f>
        <v>UN</v>
      </c>
      <c r="D21" s="319">
        <v>2</v>
      </c>
      <c r="E21" s="85" t="s">
        <v>139</v>
      </c>
    </row>
    <row r="22" spans="1:10" s="19" customFormat="1" ht="12">
      <c r="A22" s="72" t="str">
        <f>'Planilha Orcamentária'!A26</f>
        <v>3.1.9</v>
      </c>
      <c r="B22" s="177" t="str">
        <f>'Planilha Orcamentária'!D26</f>
        <v>Descida d'água de aterros em degraus - DAD 04 - areia e brita comerciais</v>
      </c>
      <c r="C22" s="72" t="str">
        <f>'Planilha Orcamentária'!E26</f>
        <v>M</v>
      </c>
      <c r="D22" s="319">
        <v>17</v>
      </c>
      <c r="E22" s="308" t="s">
        <v>140</v>
      </c>
    </row>
    <row r="23" spans="1:10" s="19" customFormat="1" ht="12">
      <c r="A23" s="334" t="str">
        <f>'Planilha Orcamentária'!A27</f>
        <v>3.2</v>
      </c>
      <c r="B23" s="259" t="str">
        <f>'Planilha Orcamentária'!D27</f>
        <v>PAVIMENTAÇÃO - SERRA PITA FOGO</v>
      </c>
      <c r="C23" s="259">
        <f>'Planilha Orcamentária'!E27</f>
        <v>0</v>
      </c>
      <c r="D23" s="318"/>
      <c r="E23" s="260"/>
    </row>
    <row r="24" spans="1:10" s="19" customFormat="1" ht="22.5">
      <c r="A24" s="335" t="str">
        <f>'Planilha Orcamentária'!A28</f>
        <v>3.2.1</v>
      </c>
      <c r="B24" s="175" t="str">
        <f>'Planilha Orcamentária'!D28</f>
        <v>REGULARIZAÇÃO E COMPACTAÇÃO DE SUBLEITO DE SOLO  PREDOMINANTEMENTE ARGILOSO. AF_11/2019</v>
      </c>
      <c r="C24" s="72" t="str">
        <f>'Planilha Orcamentária'!E28</f>
        <v>M2</v>
      </c>
      <c r="D24" s="319">
        <v>4074.07</v>
      </c>
      <c r="E24" s="308" t="s">
        <v>133</v>
      </c>
    </row>
    <row r="25" spans="1:10" s="19" customFormat="1" ht="191.25">
      <c r="A25" s="335" t="str">
        <f>'Planilha Orcamentária'!A29</f>
        <v>3.2.2</v>
      </c>
      <c r="B25" s="175" t="str">
        <f>'Planilha Orcamentária'!D29</f>
        <v>ASSENTAMENTO DE GUIA (MEIO-FIO) EM TRECHO RETO, CONFECCIONADA EM CONCRETO PRÉ-FABRICADO, DIMENSÕES 100X15X13X30 CM (COMPRIMENTO X BASE INFERIOR X BASE SUPERIOR X ALTURA), PARA VIAS URBANAS (USO VIÁRIO). AF_06/2016</v>
      </c>
      <c r="C25" s="72" t="str">
        <f>'Planilha Orcamentária'!E29</f>
        <v>M</v>
      </c>
      <c r="D25" s="319">
        <f>'Memória Meio fio'!G8</f>
        <v>23.95</v>
      </c>
      <c r="E25" s="308" t="s">
        <v>208</v>
      </c>
      <c r="G25" s="356"/>
      <c r="H25" s="356"/>
      <c r="I25" s="19">
        <f>6.01+1.83+3.34+2.83</f>
        <v>14.01</v>
      </c>
      <c r="J25" s="357">
        <f>40.64+13.81+6.58+3.05+2.53</f>
        <v>66.61</v>
      </c>
    </row>
    <row r="26" spans="1:10" s="19" customFormat="1" ht="22.5">
      <c r="A26" s="335" t="str">
        <f>'Planilha Orcamentária'!A30</f>
        <v>3.2.3</v>
      </c>
      <c r="B26" s="175" t="str">
        <f>'Planilha Orcamentária'!D30</f>
        <v>EXECUÇÃO DE PAVIMENTO EM PISO INTERTRAVADO, COM BLOCO SEXTAVADO DE 25 X 25 CM, ESPESSURA 8 CM. AF_10/2022</v>
      </c>
      <c r="C26" s="72" t="str">
        <f>'Planilha Orcamentária'!E30</f>
        <v>M2</v>
      </c>
      <c r="D26" s="319">
        <v>3598.06</v>
      </c>
      <c r="E26" s="308" t="s">
        <v>133</v>
      </c>
    </row>
    <row r="27" spans="1:10" s="19" customFormat="1" ht="90">
      <c r="A27" s="335" t="str">
        <f>'Planilha Orcamentária'!A31</f>
        <v>3.2.4</v>
      </c>
      <c r="B27" s="179" t="str">
        <f>'Planilha Orcamentária'!D31</f>
        <v xml:space="preserve">EXECUÇÃO DE SARJETA DE CONCRETO USINADO, MOLDADO IN LOCO EM TRECHO RETO, 30 CM BASE X 10 CM </v>
      </c>
      <c r="C27" s="72" t="str">
        <f>'Planilha Orcamentária'!E31</f>
        <v>M</v>
      </c>
      <c r="D27" s="319">
        <v>471.28999999999996</v>
      </c>
      <c r="E27" s="308" t="s">
        <v>134</v>
      </c>
    </row>
    <row r="28" spans="1:10" s="19" customFormat="1" ht="45">
      <c r="A28" s="335" t="str">
        <f>'Planilha Orcamentária'!A32</f>
        <v>3.2.5</v>
      </c>
      <c r="B28" s="175" t="str">
        <f>'Planilha Orcamentária'!D32</f>
        <v xml:space="preserve">SARJETA EM V 60/20 EM CONCRETO USINADO, MOLDADO IN LOCO </v>
      </c>
      <c r="C28" s="72" t="str">
        <f>'Planilha Orcamentária'!E32</f>
        <v>M</v>
      </c>
      <c r="D28" s="319">
        <v>334.58000000000004</v>
      </c>
      <c r="E28" s="308" t="s">
        <v>135</v>
      </c>
    </row>
    <row r="29" spans="1:10" s="19" customFormat="1" ht="22.5">
      <c r="A29" s="336" t="str">
        <f>'Planilha Orcamentária'!A33</f>
        <v>3.2.6</v>
      </c>
      <c r="B29" s="192" t="str">
        <f>'Planilha Orcamentária'!D33</f>
        <v>VIGA DE TRAVAMENTO EM CONCRETO ARMADO TAMANHO 15 X 30.</v>
      </c>
      <c r="C29" s="190" t="str">
        <f>'Planilha Orcamentária'!E33</f>
        <v>M</v>
      </c>
      <c r="D29" s="320">
        <v>60.09</v>
      </c>
      <c r="E29" s="309" t="s">
        <v>136</v>
      </c>
    </row>
    <row r="30" spans="1:10" s="19" customFormat="1" ht="22.5">
      <c r="A30" s="336" t="str">
        <f>'Planilha Orcamentária'!A34</f>
        <v>3.2.7</v>
      </c>
      <c r="B30" s="192" t="str">
        <f>'Planilha Orcamentária'!D34</f>
        <v>Placa de regulamentação em aço D = 0,60 m - película retrorrefletiva tipo I + SI - fornecimento e implantação</v>
      </c>
      <c r="C30" s="190" t="str">
        <f>'Planilha Orcamentária'!E34</f>
        <v>un</v>
      </c>
      <c r="D30" s="320">
        <f>1+1+1+1</f>
        <v>4</v>
      </c>
      <c r="E30" s="354" t="s">
        <v>219</v>
      </c>
    </row>
    <row r="31" spans="1:10" s="19" customFormat="1" ht="22.5">
      <c r="A31" s="336" t="str">
        <f>'Planilha Orcamentária'!A35</f>
        <v>3.2.8</v>
      </c>
      <c r="B31" s="192" t="str">
        <f>'Planilha Orcamentária'!D35</f>
        <v>Suporte para placa de sinalização em madeira de lei tratada 8 x 8 cm - fornecimento e implantação</v>
      </c>
      <c r="C31" s="190" t="str">
        <f>'Planilha Orcamentária'!E35</f>
        <v>un</v>
      </c>
      <c r="D31" s="320">
        <f>1+1+1+1</f>
        <v>4</v>
      </c>
      <c r="E31" s="354" t="s">
        <v>220</v>
      </c>
    </row>
    <row r="32" spans="1:10" ht="6" customHeight="1">
      <c r="A32" s="337"/>
      <c r="B32" s="246"/>
      <c r="C32" s="258"/>
      <c r="D32" s="295"/>
      <c r="E32" s="286"/>
    </row>
    <row r="33" spans="1:7" ht="6" customHeight="1">
      <c r="A33" s="338">
        <f>'Planilha Orcamentária'!A37</f>
        <v>0</v>
      </c>
      <c r="B33" s="290">
        <f>'Planilha Orcamentária'!D37</f>
        <v>0</v>
      </c>
      <c r="C33" s="291">
        <f>'Planilha Orcamentária'!E37</f>
        <v>0</v>
      </c>
      <c r="D33" s="296"/>
      <c r="E33" s="292"/>
    </row>
    <row r="34" spans="1:7">
      <c r="A34" s="339">
        <f>'Planilha Orcamentária'!A38</f>
        <v>4</v>
      </c>
      <c r="B34" s="287" t="str">
        <f>'Planilha Orcamentária'!D38</f>
        <v>SERRA DA VILA MARQUES</v>
      </c>
      <c r="C34" s="288">
        <f>'Planilha Orcamentária'!E38</f>
        <v>0</v>
      </c>
      <c r="D34" s="297"/>
      <c r="E34" s="289"/>
    </row>
    <row r="35" spans="1:7" s="15" customFormat="1" ht="12">
      <c r="A35" s="323" t="str">
        <f>'Planilha Orcamentária'!A39</f>
        <v>4.1</v>
      </c>
      <c r="B35" s="268" t="str">
        <f>'Planilha Orcamentária'!D39</f>
        <v>RETALUDAMENTO - SERRA DA VILA MARQUES</v>
      </c>
      <c r="C35" s="273">
        <f>'Planilha Orcamentária'!E39</f>
        <v>0</v>
      </c>
      <c r="D35" s="298"/>
      <c r="E35" s="274"/>
    </row>
    <row r="36" spans="1:7" ht="45">
      <c r="A36" s="324" t="str">
        <f>'Planilha Orcamentária'!A40</f>
        <v>4.1.1</v>
      </c>
      <c r="B36" s="179" t="str">
        <f>'Planilha Orcamentária'!D40</f>
        <v>ESCAVAÇÃO VERTICAL PARA INFRAESTRUTURA, COM CARGA, DESCARGA E TRANSPORTE DE SOLO DE 1ª CATEGORIA, COM ESCAVADEIRA HIDRÁULICA (CAÇAMBA: 1,2M³ / 155HP), FROTA DE 6 CAMINHÕES BASCULANTES DE 14 M³, DMT DE 1,5 KM E VELOCIDADE MÉDIA18 KM/H. AF_05/2020</v>
      </c>
      <c r="C36" s="266" t="str">
        <f>'Planilha Orcamentária'!E40</f>
        <v>M3</v>
      </c>
      <c r="D36" s="310">
        <v>6322.51</v>
      </c>
      <c r="E36" s="308" t="s">
        <v>141</v>
      </c>
    </row>
    <row r="37" spans="1:7" ht="33.75">
      <c r="A37" s="324" t="str">
        <f>'Planilha Orcamentária'!A41</f>
        <v>4.1.2</v>
      </c>
      <c r="B37" s="175" t="str">
        <f>'Planilha Orcamentária'!D41</f>
        <v>Sarjeta trapezoidal sem revestimento - SZT 60-20 - escavação mecânica</v>
      </c>
      <c r="C37" s="265" t="str">
        <f>'Planilha Orcamentária'!E41</f>
        <v>M</v>
      </c>
      <c r="D37" s="312">
        <v>284.32</v>
      </c>
      <c r="E37" s="308" t="s">
        <v>150</v>
      </c>
    </row>
    <row r="38" spans="1:7">
      <c r="A38" s="324">
        <f>'Planilha Orcamentária'!A42</f>
        <v>0</v>
      </c>
      <c r="B38" s="175">
        <f>'Planilha Orcamentária'!D42</f>
        <v>0</v>
      </c>
      <c r="C38" s="265">
        <f>'Planilha Orcamentária'!E42</f>
        <v>0</v>
      </c>
      <c r="D38" s="310"/>
      <c r="E38" s="308"/>
    </row>
    <row r="39" spans="1:7">
      <c r="A39" s="340" t="str">
        <f>'Planilha Orcamentária'!A43</f>
        <v>4.2</v>
      </c>
      <c r="B39" s="259" t="str">
        <f>'Planilha Orcamentária'!D43</f>
        <v>DRENAGEM - SERRA DA VILA MARQUES</v>
      </c>
      <c r="C39" s="276">
        <f>'Planilha Orcamentária'!E43</f>
        <v>0</v>
      </c>
      <c r="D39" s="311"/>
      <c r="E39" s="275"/>
    </row>
    <row r="40" spans="1:7" s="15" customFormat="1" ht="45">
      <c r="A40" s="325" t="str">
        <f>'Planilha Orcamentária'!A44</f>
        <v>4.2.1</v>
      </c>
      <c r="B40" s="175" t="str">
        <f>'Planilha Orcamentária'!D44</f>
        <v>ESCAVAÇÃO MECANIZADA DE VALA COM PROFUNDIDADE ATÉ 1,5 M (MÉDIA MONTANTE E JUSANTE/UMA COMPOSIÇÃO POR TRECHO), RETROESCAV. (0,26 M3), LARGURA DE 0,8 M A 1,5 M, EM SOLO DE 1A CATEGORIA, LOCAIS COM BAIXO NÍVEL DE INTERFERÊNCIA. AF_02/2021</v>
      </c>
      <c r="C40" s="266" t="str">
        <f>'Planilha Orcamentária'!E44</f>
        <v>M3</v>
      </c>
      <c r="D40" s="310">
        <f>D43*1.4*1 + D44 * 1.5 * 1.2</f>
        <v>363</v>
      </c>
      <c r="E40" s="308" t="s">
        <v>195</v>
      </c>
    </row>
    <row r="41" spans="1:7" s="15" customFormat="1" ht="33.75">
      <c r="A41" s="325" t="str">
        <f>'Planilha Orcamentária'!A45</f>
        <v>4.2.2</v>
      </c>
      <c r="B41" s="175" t="str">
        <f>'Planilha Orcamentária'!D45</f>
        <v>PREPARO DE FUNDO DE VALA COM LARGURA MENOR QUE 1,5 M (ACERTO DO SOLO NATURAL). AF_08/2020</v>
      </c>
      <c r="C41" s="266" t="str">
        <f>'Planilha Orcamentária'!E45</f>
        <v>M2</v>
      </c>
      <c r="D41" s="310">
        <f>D43 *1 + D44 *1.2</f>
        <v>243.6</v>
      </c>
      <c r="E41" s="308" t="s">
        <v>147</v>
      </c>
    </row>
    <row r="42" spans="1:7" s="15" customFormat="1" ht="22.5">
      <c r="A42" s="325" t="str">
        <f>'Planilha Orcamentária'!A46</f>
        <v>4.2.3</v>
      </c>
      <c r="B42" s="175" t="str">
        <f>'Planilha Orcamentária'!D46</f>
        <v>CONCRETO MAGRO PARA LASTRO, TRAÇO 1:4,5:4,5 (EM MASSA SECA DE CIMENTO/ AREIA MÉDIA/ BRITA 1) - PREPARO MANUAL. AF_05/2021</v>
      </c>
      <c r="C42" s="266" t="str">
        <f>'Planilha Orcamentária'!E46</f>
        <v>M3</v>
      </c>
      <c r="D42" s="310">
        <f>(D43*0.4 + D44*0.6) *0.07</f>
        <v>8.3580000000000005</v>
      </c>
      <c r="E42" s="308" t="s">
        <v>196</v>
      </c>
    </row>
    <row r="43" spans="1:7" ht="33.75">
      <c r="A43" s="324" t="str">
        <f>'Planilha Orcamentária'!A47</f>
        <v>4.2.4</v>
      </c>
      <c r="B43" s="175" t="str">
        <f>'Planilha Orcamentária'!D47</f>
        <v>TUBO DE CONCRETO PARA REDES COLETORAS DE ÁGUAS PLUVIAIS, DIÂMETRO DE 400 MM, JUNTA RÍGIDA, INSTALADO EM LOCAL COM BAIXO NÍVEL DE INTERFERÊNCIAS - FORNECIMENTO E ASSENTAMENTO. AF_12/2015</v>
      </c>
      <c r="C43" s="265" t="str">
        <f>'Planilha Orcamentária'!E47</f>
        <v>M</v>
      </c>
      <c r="D43" s="310">
        <v>24</v>
      </c>
      <c r="E43" s="308" t="s">
        <v>145</v>
      </c>
    </row>
    <row r="44" spans="1:7" ht="33.75">
      <c r="A44" s="326" t="str">
        <f>'Planilha Orcamentária'!A48</f>
        <v>4.2.5</v>
      </c>
      <c r="B44" s="175" t="str">
        <f>'Planilha Orcamentária'!D48</f>
        <v>TUBO DE CONCRETO PARA REDES COLETORAS DE ÁGUAS PLUVIAIS, DIÂMETRO DE 600 MM, JUNTA RÍGIDA, INSTALADO EM LOCAL COM BAIXO NÍVEL DE INTERFERÊNCIAS - FORNECIMENTO E ASSENTAMENTO. AF_12/2015</v>
      </c>
      <c r="C44" s="267" t="str">
        <f>'Planilha Orcamentária'!E48</f>
        <v>M</v>
      </c>
      <c r="D44" s="312">
        <v>183</v>
      </c>
      <c r="E44" s="308" t="s">
        <v>146</v>
      </c>
    </row>
    <row r="45" spans="1:7" ht="45">
      <c r="A45" s="326" t="str">
        <f>'Planilha Orcamentária'!A49</f>
        <v>4.2.6</v>
      </c>
      <c r="B45" s="175" t="str">
        <f>'Planilha Orcamentária'!D49</f>
        <v>REATERRO MECANIZADO DE VALA COM RETROESCAVADEIRA (CAPACIDADE DA CAÇAMBA DA RETRO: 0,26 M³ / POTÊNCIA: 88 HP), LARGURA ATÉ 0,8 M, PROFUNDIDADE ATÉ 1,5 M, COM SOLO DE 1ª CATEGORIA EM LOCAIS COM BAIXO NÍVEL DE INTERFERÊNCIA. AF_04/2016</v>
      </c>
      <c r="C45" s="267" t="str">
        <f>'Planilha Orcamentária'!E49</f>
        <v>M3</v>
      </c>
      <c r="D45" s="312">
        <f xml:space="preserve"> ROUND(D40-(0.3^2*3.1415*D44 + 0.02^2*3.14159 *D416),2)</f>
        <v>311.26</v>
      </c>
      <c r="E45" s="308" t="s">
        <v>197</v>
      </c>
    </row>
    <row r="46" spans="1:7" ht="22.5">
      <c r="A46" s="326" t="str">
        <f>'Planilha Orcamentária'!A50</f>
        <v>4.2.7</v>
      </c>
      <c r="B46" s="175" t="str">
        <f>'Planilha Orcamentária'!D50</f>
        <v>CAIXA PARA BOCA DE LOBO SIMPLES RETANGULAR, EM ALVENARIA COM BLOCOS DE CONCRETO, DIMENSÕES INTERNAS: 0,6X1X1,2 M. AF_12/2020</v>
      </c>
      <c r="C46" s="267" t="str">
        <f>'Planilha Orcamentária'!E50</f>
        <v>UN</v>
      </c>
      <c r="D46" s="312">
        <v>10</v>
      </c>
      <c r="E46" s="308" t="s">
        <v>142</v>
      </c>
    </row>
    <row r="47" spans="1:7" ht="33.75">
      <c r="A47" s="326" t="str">
        <f>'Planilha Orcamentária'!A51</f>
        <v>4.2.8</v>
      </c>
      <c r="B47" s="178" t="str">
        <f>'Planilha Orcamentária'!D51</f>
        <v>BASE PARA POÇO DE VISITA RETANGULAR PARA DRENAGEM, EM ALVENARIA COM BLOCOS DE CONCRETO, DIMENSÕES INTERNAS = 1X1,5 M, PROFUNDIDADE = 1,40 M, EXCLUINDO TAMPÃO. AF_12/2020_PA</v>
      </c>
      <c r="C47" s="267" t="str">
        <f>'Planilha Orcamentária'!E51</f>
        <v>UNID</v>
      </c>
      <c r="D47" s="312">
        <v>7</v>
      </c>
      <c r="E47" s="308" t="s">
        <v>143</v>
      </c>
    </row>
    <row r="48" spans="1:7" ht="33.75">
      <c r="A48" s="326" t="str">
        <f>'Planilha Orcamentária'!A52</f>
        <v>4.2.9</v>
      </c>
      <c r="B48" s="178" t="str">
        <f>'Planilha Orcamentária'!D52</f>
        <v>CHAMINÉ CIRCULAR PARA POÇO DE VISITA PARA ESGOTO, EM ALVENARIA COM TIJOLOS CERÂMICOS MACIÇOS, DIÂMETRO INTERNO = 0,6 M. AF_12/2020</v>
      </c>
      <c r="C48" s="267" t="str">
        <f>'Planilha Orcamentária'!E52</f>
        <v>M</v>
      </c>
      <c r="D48" s="312">
        <f>7*0.5</f>
        <v>3.5</v>
      </c>
      <c r="E48" s="308" t="s">
        <v>144</v>
      </c>
      <c r="G48" s="341">
        <f>'Planilha Orcamentária'!I65</f>
        <v>1210799.5</v>
      </c>
    </row>
    <row r="49" spans="1:5" ht="22.5">
      <c r="A49" s="326" t="str">
        <f>'Planilha Orcamentária'!A53</f>
        <v>4.2.10</v>
      </c>
      <c r="B49" s="178" t="str">
        <f>'Planilha Orcamentária'!D53</f>
        <v>TAMPA CIRCULAR PARA ESGOTO E DRENAGEM, EM FERRO FUNDIDO, DIÂMETRO INTERNO = 0,6 M. AF_12/2020</v>
      </c>
      <c r="C49" s="267" t="str">
        <f>'Planilha Orcamentária'!E53</f>
        <v>UNID</v>
      </c>
      <c r="D49" s="312">
        <v>7</v>
      </c>
      <c r="E49" s="308" t="s">
        <v>143</v>
      </c>
    </row>
    <row r="50" spans="1:5">
      <c r="A50" s="327" t="str">
        <f>'Planilha Orcamentária'!A54</f>
        <v>4.3</v>
      </c>
      <c r="B50" s="259" t="str">
        <f>'Planilha Orcamentária'!D54</f>
        <v>PAVIMENTAÇÃO - SERRA DA VILA MARQUES</v>
      </c>
      <c r="C50" s="277">
        <f>'Planilha Orcamentária'!E54</f>
        <v>0</v>
      </c>
      <c r="D50" s="313"/>
      <c r="E50" s="278"/>
    </row>
    <row r="51" spans="1:5" ht="22.5">
      <c r="A51" s="326" t="str">
        <f>'Planilha Orcamentária'!A55</f>
        <v>4.3.1</v>
      </c>
      <c r="B51" s="175" t="str">
        <f>'Planilha Orcamentária'!D55</f>
        <v>REGULARIZAÇÃO E COMPACTAÇÃO DE SUBLEITO DE SOLO  PREDOMINANTEMENTE ARGILOSO. AF_11/2019</v>
      </c>
      <c r="C51" s="267" t="str">
        <f>'Planilha Orcamentária'!E55</f>
        <v>M2</v>
      </c>
      <c r="D51" s="312">
        <v>2239.64</v>
      </c>
      <c r="E51" s="308" t="s">
        <v>133</v>
      </c>
    </row>
    <row r="52" spans="1:5" ht="78.75">
      <c r="A52" s="326" t="str">
        <f>'Planilha Orcamentária'!A56</f>
        <v>4.3.2</v>
      </c>
      <c r="B52" s="175" t="str">
        <f>'Planilha Orcamentária'!D56</f>
        <v>ASSENTAMENTO DE GUIA (MEIO-FIO) EM TRECHO RETO, CONFECCIONADA EM CONCRETO PRÉ-FABRICADO, DIMENSÕES 100X15X13X30 CM (COMPRIMENTO X BASE INFERIOR X BASE SUPERIOR X ALTURA), PARA VIAS URBANAS (USO VIÁRIO). AF_06/2016</v>
      </c>
      <c r="C52" s="267" t="str">
        <f>'Planilha Orcamentária'!E56</f>
        <v>M</v>
      </c>
      <c r="D52" s="312">
        <v>695.94</v>
      </c>
      <c r="E52" s="308" t="s">
        <v>149</v>
      </c>
    </row>
    <row r="53" spans="1:5" ht="22.5">
      <c r="A53" s="326" t="str">
        <f>'Planilha Orcamentária'!A57</f>
        <v>4.3.3</v>
      </c>
      <c r="B53" s="175" t="str">
        <f>'Planilha Orcamentária'!D57</f>
        <v>EXECUÇÃO DE PAVIMENTO EM PISO INTERTRAVADO, COM BLOCO SEXTAVADO DE 25 X 25 CM, ESPESSURA 8 CM. AF_10/2022</v>
      </c>
      <c r="C53" s="267" t="str">
        <f>'Planilha Orcamentária'!E57</f>
        <v>M2</v>
      </c>
      <c r="D53" s="312">
        <v>1918.13</v>
      </c>
      <c r="E53" s="308" t="s">
        <v>133</v>
      </c>
    </row>
    <row r="54" spans="1:5" ht="90">
      <c r="A54" s="326" t="str">
        <f>'Planilha Orcamentária'!A58</f>
        <v>4.3.4</v>
      </c>
      <c r="B54" s="179" t="str">
        <f>'Planilha Orcamentária'!D58</f>
        <v xml:space="preserve">EXECUÇÃO DE SARJETA DE CONCRETO USINADO, MOLDADO IN LOCO EM TRECHO RETO, 30 CM BASE X 10 CM </v>
      </c>
      <c r="C54" s="267" t="str">
        <f>'Planilha Orcamentária'!E58</f>
        <v>M</v>
      </c>
      <c r="D54" s="312">
        <v>695.94</v>
      </c>
      <c r="E54" s="308" t="s">
        <v>151</v>
      </c>
    </row>
    <row r="55" spans="1:5" ht="33.75">
      <c r="A55" s="326" t="str">
        <f>'Planilha Orcamentária'!A59</f>
        <v>4.3.5</v>
      </c>
      <c r="B55" s="175" t="str">
        <f>'Planilha Orcamentária'!D59</f>
        <v>Sarjeta trapezoidal de concreto - SZC 90-30 - escavação mecânica - areia e brita comerciais</v>
      </c>
      <c r="C55" s="267" t="str">
        <f>'Planilha Orcamentária'!E59</f>
        <v>M</v>
      </c>
      <c r="D55" s="312">
        <v>284.32</v>
      </c>
      <c r="E55" s="308" t="s">
        <v>150</v>
      </c>
    </row>
    <row r="56" spans="1:5">
      <c r="A56" s="326" t="str">
        <f>'Planilha Orcamentária'!A60</f>
        <v>4.3.6</v>
      </c>
      <c r="B56" s="175" t="str">
        <f>'Planilha Orcamentária'!D60</f>
        <v>VIGA DE TRAVAMENTO EM CONCRETO ARMADO TAMANHO 15 X 30.</v>
      </c>
      <c r="C56" s="267" t="str">
        <f>'Planilha Orcamentária'!E60</f>
        <v>M</v>
      </c>
      <c r="D56" s="312">
        <f>5.4+4.86+7.46+5.4</f>
        <v>23.120000000000005</v>
      </c>
      <c r="E56" s="308" t="s">
        <v>148</v>
      </c>
    </row>
    <row r="57" spans="1:5" ht="22.5">
      <c r="A57" s="326" t="str">
        <f>'Planilha Orcamentária'!A61</f>
        <v>4.3.7</v>
      </c>
      <c r="B57" s="175" t="str">
        <f>'Planilha Orcamentária'!D61</f>
        <v>Placa de regulamentação em aço D = 0,60 m - película retrorrefletiva tipo I + SI - fornecimento e implantação</v>
      </c>
      <c r="C57" s="267" t="str">
        <f>'Planilha Orcamentária'!E61</f>
        <v>un</v>
      </c>
      <c r="D57" s="312">
        <f>1+1</f>
        <v>2</v>
      </c>
      <c r="E57" s="308" t="s">
        <v>206</v>
      </c>
    </row>
    <row r="58" spans="1:5" ht="22.5">
      <c r="A58" s="326" t="str">
        <f>'Planilha Orcamentária'!A62</f>
        <v>4.3.8</v>
      </c>
      <c r="B58" s="175" t="str">
        <f>'Planilha Orcamentária'!D62</f>
        <v>Suporte para placa de sinalização em madeira de lei tratada 8 x 8 cm - fornecimento e implantação</v>
      </c>
      <c r="C58" s="267" t="str">
        <f>'Planilha Orcamentária'!E62</f>
        <v>un</v>
      </c>
      <c r="D58" s="312">
        <f>1+1</f>
        <v>2</v>
      </c>
      <c r="E58" s="308" t="s">
        <v>205</v>
      </c>
    </row>
    <row r="59" spans="1:5">
      <c r="A59" s="262">
        <f>'Planilha Orcamentária'!A63</f>
        <v>0</v>
      </c>
      <c r="B59" s="261"/>
      <c r="C59" s="262"/>
      <c r="D59" s="263"/>
      <c r="E59" s="264"/>
    </row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5">
    <mergeCell ref="A2:E2"/>
    <mergeCell ref="A3:C3"/>
    <mergeCell ref="A6:E6"/>
    <mergeCell ref="A4:C4"/>
    <mergeCell ref="A5:C5"/>
  </mergeCells>
  <printOptions horizontalCentered="1"/>
  <pageMargins left="0.47244094488188981" right="0.19685039370078741" top="0.59055118110236227" bottom="0.6692913385826772" header="0" footer="0"/>
  <pageSetup paperSize="9" scale="70" fitToHeight="2" orientation="portrait" blackAndWhite="1" horizontalDpi="4294967295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5D622-68DC-4A22-B44D-72E60FFF3A39}">
  <dimension ref="A1:U30"/>
  <sheetViews>
    <sheetView topLeftCell="A7" workbookViewId="0">
      <selection activeCell="F25" sqref="F25"/>
    </sheetView>
  </sheetViews>
  <sheetFormatPr defaultRowHeight="12.75"/>
  <cols>
    <col min="1" max="4" width="15.7109375" customWidth="1"/>
    <col min="5" max="5" width="15.42578125" customWidth="1"/>
    <col min="7" max="7" width="17.28515625" customWidth="1"/>
    <col min="10" max="11" width="15.7109375" customWidth="1"/>
    <col min="20" max="20" width="7.42578125" customWidth="1"/>
    <col min="21" max="21" width="9.140625" hidden="1" customWidth="1"/>
  </cols>
  <sheetData>
    <row r="1" spans="1:21" ht="20.25">
      <c r="A1" s="422" t="s">
        <v>207</v>
      </c>
      <c r="B1" s="423"/>
      <c r="C1" s="423"/>
      <c r="D1" s="423"/>
      <c r="E1" s="423"/>
      <c r="F1" s="423"/>
      <c r="G1" s="423"/>
      <c r="H1" s="424"/>
      <c r="J1" s="425" t="s">
        <v>214</v>
      </c>
      <c r="K1" s="426"/>
      <c r="L1" s="426"/>
      <c r="M1" s="426"/>
      <c r="N1" s="427"/>
      <c r="O1" s="375"/>
      <c r="P1" s="375" t="s">
        <v>216</v>
      </c>
      <c r="Q1" s="376"/>
    </row>
    <row r="2" spans="1:21" ht="25.5">
      <c r="A2" s="359" t="s">
        <v>209</v>
      </c>
      <c r="B2" s="360" t="s">
        <v>211</v>
      </c>
      <c r="C2" s="361" t="s">
        <v>210</v>
      </c>
      <c r="D2" s="361" t="s">
        <v>212</v>
      </c>
      <c r="E2" s="361" t="s">
        <v>213</v>
      </c>
      <c r="F2" s="362"/>
      <c r="G2" s="382" t="s">
        <v>217</v>
      </c>
      <c r="H2" s="363"/>
      <c r="J2" s="359" t="s">
        <v>209</v>
      </c>
      <c r="K2" s="360" t="s">
        <v>211</v>
      </c>
      <c r="L2" s="362"/>
      <c r="M2" s="362"/>
      <c r="N2" s="363"/>
      <c r="R2" s="381"/>
      <c r="S2" s="381"/>
      <c r="T2" s="381"/>
      <c r="U2" s="381"/>
    </row>
    <row r="3" spans="1:21">
      <c r="A3" s="364">
        <v>21.7</v>
      </c>
      <c r="B3" s="362">
        <v>21.7</v>
      </c>
      <c r="C3" s="362">
        <v>6.01</v>
      </c>
      <c r="D3" s="362">
        <v>40.64</v>
      </c>
      <c r="E3" s="362">
        <v>33.22</v>
      </c>
      <c r="F3" s="362"/>
      <c r="G3" s="383">
        <v>36.54</v>
      </c>
      <c r="H3" s="363"/>
      <c r="J3" s="364">
        <v>15.01</v>
      </c>
      <c r="K3" s="362">
        <v>14.7</v>
      </c>
      <c r="L3" s="373"/>
      <c r="M3" s="374"/>
      <c r="N3" s="377"/>
      <c r="O3" s="373"/>
      <c r="P3">
        <v>49.01</v>
      </c>
      <c r="R3" s="381"/>
      <c r="S3" s="381"/>
      <c r="T3" s="381"/>
      <c r="U3" s="381"/>
    </row>
    <row r="4" spans="1:21">
      <c r="A4" s="364">
        <v>22.7</v>
      </c>
      <c r="B4" s="362">
        <v>22.7</v>
      </c>
      <c r="C4" s="362">
        <v>1.83</v>
      </c>
      <c r="D4" s="362">
        <v>13.81</v>
      </c>
      <c r="E4" s="362">
        <v>13.41</v>
      </c>
      <c r="F4" s="362"/>
      <c r="G4" s="383">
        <v>22.11</v>
      </c>
      <c r="H4" s="363"/>
      <c r="J4" s="364">
        <v>40.75</v>
      </c>
      <c r="K4" s="362">
        <v>43.49</v>
      </c>
      <c r="L4" s="373"/>
      <c r="M4" s="374" t="s">
        <v>215</v>
      </c>
      <c r="N4" s="378">
        <f>J15+K22</f>
        <v>675.93999999999994</v>
      </c>
      <c r="O4" s="373"/>
      <c r="P4">
        <v>39.46</v>
      </c>
      <c r="R4" s="381"/>
      <c r="S4" s="381"/>
      <c r="T4" s="381"/>
      <c r="U4" s="381"/>
    </row>
    <row r="5" spans="1:21">
      <c r="A5" s="364">
        <v>22.4</v>
      </c>
      <c r="B5" s="362">
        <v>22.37</v>
      </c>
      <c r="C5" s="362">
        <v>3.34</v>
      </c>
      <c r="D5" s="362">
        <v>6.58</v>
      </c>
      <c r="E5" s="362">
        <v>14.29</v>
      </c>
      <c r="F5" s="362"/>
      <c r="G5" s="383">
        <v>30.72</v>
      </c>
      <c r="H5" s="363"/>
      <c r="J5" s="364">
        <v>49.83</v>
      </c>
      <c r="K5" s="362">
        <v>1.83</v>
      </c>
      <c r="L5" s="373"/>
      <c r="M5" s="374"/>
      <c r="N5" s="377"/>
      <c r="O5" s="373"/>
      <c r="P5">
        <v>33.130000000000003</v>
      </c>
      <c r="R5" s="381"/>
      <c r="S5" s="381"/>
      <c r="T5" s="381"/>
      <c r="U5" s="381"/>
    </row>
    <row r="6" spans="1:21">
      <c r="A6" s="364">
        <v>22.31</v>
      </c>
      <c r="B6" s="362">
        <v>18.72</v>
      </c>
      <c r="C6" s="362">
        <v>2.83</v>
      </c>
      <c r="D6" s="362">
        <v>3.05</v>
      </c>
      <c r="E6" s="362">
        <v>3.31</v>
      </c>
      <c r="F6" s="362"/>
      <c r="G6" s="383">
        <v>15.63</v>
      </c>
      <c r="H6" s="363"/>
      <c r="J6" s="364">
        <v>36.42</v>
      </c>
      <c r="K6" s="362">
        <v>3.53</v>
      </c>
      <c r="L6" s="373"/>
      <c r="M6" s="374"/>
      <c r="N6" s="377"/>
      <c r="O6" s="373"/>
      <c r="P6">
        <v>39.33</v>
      </c>
      <c r="R6" s="381"/>
      <c r="S6" s="381"/>
      <c r="T6" s="381"/>
      <c r="U6" s="381"/>
    </row>
    <row r="7" spans="1:21">
      <c r="A7" s="364">
        <v>10.72</v>
      </c>
      <c r="B7" s="362">
        <v>8.9700000000000006</v>
      </c>
      <c r="C7" s="365">
        <f>SUM(C3:C6)</f>
        <v>14.01</v>
      </c>
      <c r="D7" s="362">
        <v>2.5299999999999998</v>
      </c>
      <c r="E7" s="365">
        <f>SUM(E3:E6)</f>
        <v>64.22999999999999</v>
      </c>
      <c r="F7" s="362"/>
      <c r="G7" s="384">
        <v>40.19</v>
      </c>
      <c r="H7" s="363"/>
      <c r="J7" s="364">
        <v>7.89</v>
      </c>
      <c r="K7" s="362">
        <v>3.59</v>
      </c>
      <c r="L7" s="373"/>
      <c r="M7" s="374"/>
      <c r="N7" s="377"/>
      <c r="O7" s="373"/>
      <c r="P7">
        <v>16.010000000000002</v>
      </c>
      <c r="R7" s="381"/>
      <c r="S7" s="381"/>
      <c r="T7" s="381"/>
      <c r="U7" s="381"/>
    </row>
    <row r="8" spans="1:21">
      <c r="A8" s="364">
        <v>7.18</v>
      </c>
      <c r="B8" s="362">
        <v>7.51</v>
      </c>
      <c r="C8" s="362"/>
      <c r="D8" s="365">
        <f>SUM(D3:D7)</f>
        <v>66.61</v>
      </c>
      <c r="E8" s="362"/>
      <c r="F8" s="362"/>
      <c r="G8" s="367">
        <v>23.95</v>
      </c>
      <c r="H8" s="363"/>
      <c r="J8" s="364">
        <v>3.6</v>
      </c>
      <c r="K8" s="362">
        <v>29.45</v>
      </c>
      <c r="L8" s="373"/>
      <c r="M8" s="374"/>
      <c r="N8" s="377"/>
      <c r="O8" s="373"/>
      <c r="P8">
        <v>13.71</v>
      </c>
      <c r="R8" s="381"/>
      <c r="S8" s="381"/>
      <c r="T8" s="381"/>
      <c r="U8" s="381"/>
    </row>
    <row r="9" spans="1:21">
      <c r="A9" s="364">
        <v>25.38</v>
      </c>
      <c r="B9" s="362">
        <v>27.64</v>
      </c>
      <c r="C9" s="362"/>
      <c r="D9" s="362"/>
      <c r="E9" s="362"/>
      <c r="F9" s="362"/>
      <c r="G9" s="384">
        <v>13.32</v>
      </c>
      <c r="H9" s="363"/>
      <c r="J9" s="364">
        <v>12.62</v>
      </c>
      <c r="K9" s="362">
        <v>36.42</v>
      </c>
      <c r="L9" s="373"/>
      <c r="M9" s="374"/>
      <c r="N9" s="377"/>
      <c r="O9" s="373"/>
      <c r="P9">
        <v>3.6</v>
      </c>
      <c r="R9" s="381"/>
      <c r="S9" s="381"/>
      <c r="T9" s="381"/>
      <c r="U9" s="381"/>
    </row>
    <row r="10" spans="1:21">
      <c r="A10" s="364">
        <v>20.22</v>
      </c>
      <c r="B10" s="362">
        <v>20.62</v>
      </c>
      <c r="C10" s="362"/>
      <c r="D10" s="362"/>
      <c r="E10" s="362"/>
      <c r="F10" s="362"/>
      <c r="G10" s="384">
        <v>29.99</v>
      </c>
      <c r="H10" s="363"/>
      <c r="J10" s="364">
        <v>16.010000000000002</v>
      </c>
      <c r="K10" s="362">
        <v>9.74</v>
      </c>
      <c r="L10" s="373"/>
      <c r="M10" s="374"/>
      <c r="N10" s="377"/>
      <c r="O10" s="373"/>
      <c r="P10">
        <v>7.05</v>
      </c>
      <c r="R10" s="381"/>
      <c r="S10" s="381"/>
      <c r="T10" s="381"/>
      <c r="U10" s="381"/>
    </row>
    <row r="11" spans="1:21">
      <c r="A11" s="364">
        <v>48.54</v>
      </c>
      <c r="B11" s="362">
        <v>53.12</v>
      </c>
      <c r="C11" s="362"/>
      <c r="D11" s="362"/>
      <c r="E11" s="362"/>
      <c r="F11" s="362"/>
      <c r="G11" s="384">
        <v>3.7</v>
      </c>
      <c r="H11" s="363"/>
      <c r="J11" s="364">
        <v>37.32</v>
      </c>
      <c r="K11" s="362">
        <v>3.6</v>
      </c>
      <c r="L11" s="373"/>
      <c r="M11" s="374"/>
      <c r="N11" s="377"/>
      <c r="O11" s="373"/>
      <c r="P11">
        <v>36.42</v>
      </c>
    </row>
    <row r="12" spans="1:21">
      <c r="A12" s="364">
        <v>13.5</v>
      </c>
      <c r="B12" s="362">
        <v>16.2</v>
      </c>
      <c r="C12" s="362"/>
      <c r="D12" s="362"/>
      <c r="E12" s="362"/>
      <c r="F12" s="362"/>
      <c r="G12" s="384">
        <v>12.4</v>
      </c>
      <c r="H12" s="363"/>
      <c r="J12" s="364">
        <v>33.130000000000003</v>
      </c>
      <c r="K12" s="362">
        <v>10.220000000000001</v>
      </c>
      <c r="L12" s="373"/>
      <c r="M12" s="374"/>
      <c r="N12" s="377"/>
      <c r="O12" s="373"/>
      <c r="P12">
        <v>40.049999999999997</v>
      </c>
    </row>
    <row r="13" spans="1:21">
      <c r="A13" s="364">
        <v>2.46</v>
      </c>
      <c r="B13" s="362">
        <v>40.020000000000003</v>
      </c>
      <c r="C13" s="362"/>
      <c r="D13" s="362"/>
      <c r="E13" s="362"/>
      <c r="F13" s="362"/>
      <c r="G13" s="384">
        <v>17.829999999999998</v>
      </c>
      <c r="H13" s="363"/>
      <c r="J13" s="364">
        <v>43.33</v>
      </c>
      <c r="K13" s="362">
        <v>16.010000000000002</v>
      </c>
      <c r="L13" s="362"/>
      <c r="M13" s="379"/>
      <c r="N13" s="380"/>
      <c r="P13">
        <v>6.55</v>
      </c>
    </row>
    <row r="14" spans="1:21">
      <c r="A14" s="364">
        <v>43.92</v>
      </c>
      <c r="B14" s="362">
        <v>32.979999999999997</v>
      </c>
      <c r="C14" s="362"/>
      <c r="D14" s="362"/>
      <c r="E14" s="362"/>
      <c r="F14" s="362"/>
      <c r="G14" s="384">
        <v>17.12</v>
      </c>
      <c r="H14" s="363"/>
      <c r="J14" s="364">
        <v>49.01</v>
      </c>
      <c r="K14" s="362">
        <v>32.9</v>
      </c>
      <c r="L14" s="362"/>
      <c r="M14" s="379"/>
      <c r="N14" s="380"/>
      <c r="P14" s="358">
        <f>SUM(P3:P13)</f>
        <v>284.32000000000005</v>
      </c>
    </row>
    <row r="15" spans="1:21">
      <c r="A15" s="368">
        <f>SUM(A3:A14)</f>
        <v>261.02999999999997</v>
      </c>
      <c r="B15" s="362">
        <v>22.11</v>
      </c>
      <c r="C15" s="362"/>
      <c r="D15" s="362"/>
      <c r="E15" s="362"/>
      <c r="F15" s="362"/>
      <c r="G15" s="384">
        <v>10.39</v>
      </c>
      <c r="H15" s="363"/>
      <c r="J15" s="368">
        <f>SUM(J3:J14)</f>
        <v>344.91999999999996</v>
      </c>
      <c r="K15" s="362">
        <v>0.9</v>
      </c>
      <c r="L15" s="362"/>
      <c r="M15" s="379"/>
      <c r="N15" s="380"/>
    </row>
    <row r="16" spans="1:21">
      <c r="A16" s="364"/>
      <c r="B16" s="362">
        <v>33.78</v>
      </c>
      <c r="C16" s="362"/>
      <c r="D16" s="362"/>
      <c r="E16" s="308"/>
      <c r="F16" s="362"/>
      <c r="G16" s="384">
        <v>4.2300000000000004</v>
      </c>
      <c r="H16" s="363"/>
      <c r="J16" s="364"/>
      <c r="K16" s="362">
        <v>8.02</v>
      </c>
      <c r="L16" s="362"/>
      <c r="M16" s="379"/>
      <c r="N16" s="380"/>
    </row>
    <row r="17" spans="1:14">
      <c r="A17" s="364"/>
      <c r="B17" s="362">
        <v>15.52</v>
      </c>
      <c r="C17" s="362"/>
      <c r="D17" s="366" t="s">
        <v>218</v>
      </c>
      <c r="E17" s="385">
        <f>A15+B30+C7+D8+E7</f>
        <v>1008.2400000000001</v>
      </c>
      <c r="F17" s="362"/>
      <c r="G17" s="384">
        <v>19.93</v>
      </c>
      <c r="H17" s="363"/>
      <c r="J17" s="364"/>
      <c r="K17" s="362">
        <v>3.47</v>
      </c>
      <c r="L17" s="362"/>
      <c r="M17" s="379"/>
      <c r="N17" s="380"/>
    </row>
    <row r="18" spans="1:14">
      <c r="A18" s="364"/>
      <c r="B18" s="362">
        <v>31.31</v>
      </c>
      <c r="C18" s="362"/>
      <c r="D18" s="362"/>
      <c r="E18" s="362"/>
      <c r="F18" s="362"/>
      <c r="G18" s="384">
        <v>17.3</v>
      </c>
      <c r="H18" s="363"/>
      <c r="J18" s="364"/>
      <c r="K18" s="362">
        <v>0.7</v>
      </c>
      <c r="L18" s="362"/>
      <c r="M18" s="379"/>
      <c r="N18" s="380"/>
    </row>
    <row r="19" spans="1:14">
      <c r="A19" s="364"/>
      <c r="B19" s="362">
        <v>22.07</v>
      </c>
      <c r="C19" s="362"/>
      <c r="D19" s="362"/>
      <c r="E19" s="362"/>
      <c r="F19" s="362"/>
      <c r="G19" s="384">
        <v>19.23</v>
      </c>
      <c r="H19" s="363"/>
      <c r="J19" s="364"/>
      <c r="K19" s="362">
        <v>11.53</v>
      </c>
      <c r="L19" s="362"/>
      <c r="M19" s="379"/>
      <c r="N19" s="380"/>
    </row>
    <row r="20" spans="1:14">
      <c r="A20" s="364"/>
      <c r="B20" s="362">
        <v>14.3</v>
      </c>
      <c r="C20" s="362"/>
      <c r="D20" s="362"/>
      <c r="E20" s="362"/>
      <c r="F20" s="362"/>
      <c r="G20" s="365">
        <f>SUM(G3:G19)</f>
        <v>334.58000000000004</v>
      </c>
      <c r="H20" s="363"/>
      <c r="J20" s="364"/>
      <c r="K20" s="362">
        <v>51.91</v>
      </c>
      <c r="L20" s="362"/>
      <c r="M20" s="362"/>
      <c r="N20" s="363"/>
    </row>
    <row r="21" spans="1:14">
      <c r="A21" s="364"/>
      <c r="B21" s="362">
        <v>34.9</v>
      </c>
      <c r="C21" s="362"/>
      <c r="D21" s="362"/>
      <c r="E21" s="362"/>
      <c r="F21" s="362"/>
      <c r="G21" s="362"/>
      <c r="H21" s="363"/>
      <c r="J21" s="364"/>
      <c r="K21" s="362">
        <v>49.01</v>
      </c>
      <c r="L21" s="362"/>
      <c r="M21" s="362"/>
      <c r="N21" s="363"/>
    </row>
    <row r="22" spans="1:14" ht="13.5" thickBot="1">
      <c r="A22" s="364"/>
      <c r="B22" s="362">
        <v>28.65</v>
      </c>
      <c r="C22" s="362"/>
      <c r="D22" s="362"/>
      <c r="E22" s="362"/>
      <c r="F22" s="362"/>
      <c r="G22" s="362"/>
      <c r="H22" s="363"/>
      <c r="J22" s="369"/>
      <c r="K22" s="370">
        <f>SUM(K3:K21)</f>
        <v>331.02</v>
      </c>
      <c r="L22" s="371"/>
      <c r="M22" s="371"/>
      <c r="N22" s="372"/>
    </row>
    <row r="23" spans="1:14">
      <c r="A23" s="364"/>
      <c r="B23" s="362">
        <v>6.73</v>
      </c>
      <c r="C23" s="362"/>
      <c r="D23" s="362"/>
      <c r="E23" s="362"/>
      <c r="F23" s="362"/>
      <c r="G23" s="362"/>
      <c r="H23" s="363"/>
    </row>
    <row r="24" spans="1:14">
      <c r="A24" s="364"/>
      <c r="B24" s="362">
        <v>17.27</v>
      </c>
      <c r="C24" s="362"/>
      <c r="D24" s="362"/>
      <c r="E24" s="362"/>
      <c r="F24" s="362"/>
      <c r="G24" s="362"/>
      <c r="H24" s="363"/>
    </row>
    <row r="25" spans="1:14">
      <c r="A25" s="364"/>
      <c r="B25" s="362">
        <v>17.39</v>
      </c>
      <c r="C25" s="362"/>
      <c r="D25" s="362"/>
      <c r="E25" s="362"/>
      <c r="F25" s="362"/>
      <c r="G25" s="362"/>
      <c r="H25" s="363"/>
    </row>
    <row r="26" spans="1:14">
      <c r="A26" s="364"/>
      <c r="B26" s="362">
        <v>32.4</v>
      </c>
      <c r="C26" s="362"/>
      <c r="D26" s="362"/>
      <c r="E26" s="362"/>
      <c r="F26" s="362"/>
      <c r="G26" s="362"/>
      <c r="H26" s="363"/>
    </row>
    <row r="27" spans="1:14">
      <c r="A27" s="364"/>
      <c r="B27" s="362">
        <v>17.690000000000001</v>
      </c>
      <c r="C27" s="362"/>
      <c r="D27" s="362"/>
      <c r="E27" s="362"/>
      <c r="F27" s="362"/>
      <c r="G27" s="362"/>
      <c r="H27" s="363"/>
    </row>
    <row r="28" spans="1:14">
      <c r="A28" s="364"/>
      <c r="B28" s="362">
        <v>12.32</v>
      </c>
      <c r="C28" s="362"/>
      <c r="D28" s="362"/>
      <c r="E28" s="362"/>
      <c r="F28" s="362"/>
      <c r="G28" s="362"/>
      <c r="H28" s="363"/>
    </row>
    <row r="29" spans="1:14">
      <c r="A29" s="364"/>
      <c r="B29" s="362">
        <v>3.37</v>
      </c>
      <c r="C29" s="362"/>
      <c r="D29" s="362"/>
      <c r="E29" s="362"/>
      <c r="F29" s="362"/>
      <c r="G29" s="362"/>
      <c r="H29" s="363"/>
    </row>
    <row r="30" spans="1:14" ht="13.5" thickBot="1">
      <c r="A30" s="369"/>
      <c r="B30" s="370">
        <f>SUM(B3:B29)</f>
        <v>602.36000000000013</v>
      </c>
      <c r="C30" s="371"/>
      <c r="D30" s="371"/>
      <c r="E30" s="371"/>
      <c r="F30" s="371"/>
      <c r="G30" s="371"/>
      <c r="H30" s="372"/>
    </row>
  </sheetData>
  <mergeCells count="2">
    <mergeCell ref="A1:H1"/>
    <mergeCell ref="J1:N1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3"/>
  <sheetViews>
    <sheetView showGridLines="0" showZeros="0" tabSelected="1" view="pageBreakPreview" topLeftCell="B7" zoomScale="115" zoomScaleNormal="75" zoomScaleSheetLayoutView="115" workbookViewId="0">
      <selection activeCell="E22" sqref="E22:H22"/>
    </sheetView>
  </sheetViews>
  <sheetFormatPr defaultColWidth="9.140625" defaultRowHeight="12.75"/>
  <cols>
    <col min="1" max="1" width="10.7109375" style="36" customWidth="1"/>
    <col min="2" max="2" width="59.42578125" style="36" bestFit="1" customWidth="1"/>
    <col min="3" max="3" width="20.28515625" style="40" bestFit="1" customWidth="1"/>
    <col min="4" max="4" width="14.42578125" style="40" bestFit="1" customWidth="1"/>
    <col min="5" max="8" width="15.7109375" style="36" customWidth="1"/>
    <col min="9" max="9" width="14.140625" style="36" bestFit="1" customWidth="1"/>
    <col min="10" max="16384" width="9.140625" style="36"/>
  </cols>
  <sheetData>
    <row r="1" spans="1:8" s="12" customFormat="1" ht="93" customHeight="1">
      <c r="A1" s="83"/>
      <c r="B1" s="84"/>
      <c r="C1" s="81"/>
      <c r="D1" s="81"/>
      <c r="E1" s="81"/>
      <c r="F1" s="35"/>
      <c r="G1" s="35"/>
      <c r="H1" s="35"/>
    </row>
    <row r="2" spans="1:8" ht="30" customHeight="1">
      <c r="A2" s="428" t="s">
        <v>11</v>
      </c>
      <c r="B2" s="429"/>
      <c r="C2" s="429"/>
      <c r="D2" s="429"/>
      <c r="E2" s="429"/>
      <c r="F2" s="429"/>
      <c r="G2" s="429"/>
      <c r="H2" s="429"/>
    </row>
    <row r="3" spans="1:8" ht="37.5" customHeight="1">
      <c r="A3" s="432" t="str">
        <f>'Planilha Orcamentária'!A3</f>
        <v>PREFEITURA MUNICIPAL DE INHAPIM-MG</v>
      </c>
      <c r="B3" s="432"/>
      <c r="C3" s="441" t="s">
        <v>20</v>
      </c>
      <c r="D3" s="450">
        <f>D22</f>
        <v>1210799.5</v>
      </c>
      <c r="F3" s="57" t="s">
        <v>19</v>
      </c>
      <c r="G3" s="56">
        <f ca="1">TODAY()</f>
        <v>45996</v>
      </c>
      <c r="H3" s="182" t="s">
        <v>39</v>
      </c>
    </row>
    <row r="4" spans="1:8" ht="19.5" customHeight="1">
      <c r="A4" s="437" t="str">
        <f>'Planilha Orcamentária'!A4</f>
        <v>OBRA: PAVIMENTAÇÃO DA SERRA DO PITA FOGO E SERRA DA VILA MARQUES</v>
      </c>
      <c r="B4" s="438"/>
      <c r="C4" s="445"/>
      <c r="D4" s="445"/>
      <c r="E4" s="446" t="s">
        <v>130</v>
      </c>
      <c r="F4" s="447"/>
      <c r="G4" s="447"/>
      <c r="H4" s="447"/>
    </row>
    <row r="5" spans="1:8" ht="24" customHeight="1">
      <c r="A5" s="433" t="str">
        <f>'Planilha Orcamentária'!A5</f>
        <v>LOCAL:  CÓRREGO PITA FOGO E VILA MARQUES -  INHAPIM/MG - CEP: 35330-000</v>
      </c>
      <c r="B5" s="434"/>
      <c r="C5" s="442"/>
      <c r="D5" s="442"/>
      <c r="E5" s="448"/>
      <c r="F5" s="449"/>
      <c r="G5" s="449"/>
      <c r="H5" s="449"/>
    </row>
    <row r="6" spans="1:8">
      <c r="A6" s="49" t="s">
        <v>35</v>
      </c>
      <c r="B6" s="49" t="s">
        <v>12</v>
      </c>
      <c r="C6" s="50" t="s">
        <v>13</v>
      </c>
      <c r="D6" s="50" t="s">
        <v>14</v>
      </c>
      <c r="E6" s="181" t="s">
        <v>40</v>
      </c>
      <c r="F6" s="181" t="s">
        <v>41</v>
      </c>
      <c r="G6" s="181" t="s">
        <v>49</v>
      </c>
      <c r="H6" s="181" t="s">
        <v>129</v>
      </c>
    </row>
    <row r="7" spans="1:8">
      <c r="A7" s="435" t="str">
        <f>'Planilha Orcamentária'!A10</f>
        <v>1.0</v>
      </c>
      <c r="B7" s="439" t="str">
        <f>'Planilha Orcamentária'!D10</f>
        <v xml:space="preserve">SERVIÇOS PRELIMINARES </v>
      </c>
      <c r="C7" s="58" t="s">
        <v>15</v>
      </c>
      <c r="D7" s="78">
        <f>D8/$D$22</f>
        <v>4.5165033517109978E-3</v>
      </c>
      <c r="E7" s="305">
        <v>0.28000000000000003</v>
      </c>
      <c r="F7" s="306">
        <v>0.24</v>
      </c>
      <c r="G7" s="304">
        <v>0.24</v>
      </c>
      <c r="H7" s="304">
        <v>0.24</v>
      </c>
    </row>
    <row r="8" spans="1:8">
      <c r="A8" s="436"/>
      <c r="B8" s="440"/>
      <c r="C8" s="59" t="s">
        <v>16</v>
      </c>
      <c r="D8" s="299">
        <f>'Planilha Orcamentária'!I10</f>
        <v>5468.58</v>
      </c>
      <c r="E8" s="300">
        <f>$D$8*E7</f>
        <v>1531.2024000000001</v>
      </c>
      <c r="F8" s="300">
        <f>$D$8*F7</f>
        <v>1312.4592</v>
      </c>
      <c r="G8" s="300">
        <f>$D$8*G7</f>
        <v>1312.4592</v>
      </c>
      <c r="H8" s="300">
        <f>$D$8*H7</f>
        <v>1312.4592</v>
      </c>
    </row>
    <row r="9" spans="1:8">
      <c r="A9" s="435" t="str">
        <f>'Planilha Orcamentária'!A13</f>
        <v>2.0</v>
      </c>
      <c r="B9" s="439" t="str">
        <f>'Planilha Orcamentária'!D13</f>
        <v>ADMINISTRAÇÃO LOCAL</v>
      </c>
      <c r="C9" s="58" t="s">
        <v>15</v>
      </c>
      <c r="D9" s="351">
        <f>D10/$D$22</f>
        <v>2.716525733616507E-2</v>
      </c>
      <c r="E9" s="304">
        <v>0.1449</v>
      </c>
      <c r="F9" s="304">
        <v>0.27750000000000002</v>
      </c>
      <c r="G9" s="304">
        <v>0.42699999999999999</v>
      </c>
      <c r="H9" s="304">
        <v>0.15060000000000001</v>
      </c>
    </row>
    <row r="10" spans="1:8">
      <c r="A10" s="436"/>
      <c r="B10" s="440"/>
      <c r="C10" s="59" t="s">
        <v>16</v>
      </c>
      <c r="D10" s="299">
        <f>'Planilha Orcamentária'!I13</f>
        <v>32891.68</v>
      </c>
      <c r="E10" s="300">
        <f>$D$10*E9</f>
        <v>4766.0044319999997</v>
      </c>
      <c r="F10" s="300">
        <f t="shared" ref="F10:H10" si="0">$D$10*F9</f>
        <v>9127.4412000000011</v>
      </c>
      <c r="G10" s="300">
        <f t="shared" si="0"/>
        <v>14044.747359999999</v>
      </c>
      <c r="H10" s="300">
        <f t="shared" si="0"/>
        <v>4953.4870080000001</v>
      </c>
    </row>
    <row r="11" spans="1:8" s="37" customFormat="1" ht="15" customHeight="1">
      <c r="A11" s="430" t="str">
        <f>'Planilha Orcamentária'!A17</f>
        <v>3.1</v>
      </c>
      <c r="B11" s="431" t="str">
        <f>'Planilha Orcamentária'!D17</f>
        <v>DRENAGEM - SERRA PITA FOGO</v>
      </c>
      <c r="C11" s="58" t="s">
        <v>15</v>
      </c>
      <c r="D11" s="78">
        <f>D12/$D$22</f>
        <v>3.4766251555274012E-2</v>
      </c>
      <c r="E11" s="305">
        <v>1</v>
      </c>
      <c r="F11" s="306"/>
      <c r="G11" s="307"/>
      <c r="H11" s="305">
        <v>0</v>
      </c>
    </row>
    <row r="12" spans="1:8" s="37" customFormat="1" ht="15" customHeight="1">
      <c r="A12" s="430"/>
      <c r="B12" s="431"/>
      <c r="C12" s="59" t="s">
        <v>16</v>
      </c>
      <c r="D12" s="299">
        <f>'Planilha Orcamentária'!I17</f>
        <v>42094.96</v>
      </c>
      <c r="E12" s="300">
        <f>$D$12*E11</f>
        <v>42094.96</v>
      </c>
      <c r="F12" s="300">
        <f>$D$12*F11</f>
        <v>0</v>
      </c>
      <c r="G12" s="300">
        <f>$D$12*G11</f>
        <v>0</v>
      </c>
      <c r="H12" s="300">
        <f>$D$12*H11</f>
        <v>0</v>
      </c>
    </row>
    <row r="13" spans="1:8" s="37" customFormat="1" ht="15" customHeight="1">
      <c r="A13" s="430" t="str">
        <f>'Planilha Orcamentária'!A27</f>
        <v>3.2</v>
      </c>
      <c r="B13" s="443" t="str">
        <f>'Planilha Orcamentária'!D27</f>
        <v>PAVIMENTAÇÃO - SERRA PITA FOGO</v>
      </c>
      <c r="C13" s="58" t="s">
        <v>15</v>
      </c>
      <c r="D13" s="302">
        <f>D14/$D$22</f>
        <v>0.41294322470400757</v>
      </c>
      <c r="E13" s="304"/>
      <c r="F13" s="302">
        <v>0.5</v>
      </c>
      <c r="G13" s="307">
        <v>0.5</v>
      </c>
      <c r="H13" s="304"/>
    </row>
    <row r="14" spans="1:8" s="37" customFormat="1" ht="15" customHeight="1">
      <c r="A14" s="430"/>
      <c r="B14" s="444"/>
      <c r="C14" s="59" t="s">
        <v>16</v>
      </c>
      <c r="D14" s="299">
        <f>'Planilha Orcamentária'!I27</f>
        <v>499991.45</v>
      </c>
      <c r="E14" s="300">
        <f>$D$14*E13</f>
        <v>0</v>
      </c>
      <c r="F14" s="300">
        <f>$D$14*F13</f>
        <v>249995.72500000001</v>
      </c>
      <c r="G14" s="300">
        <f>$D$14*G13</f>
        <v>249995.72500000001</v>
      </c>
      <c r="H14" s="300">
        <f>$D$14*H13</f>
        <v>0</v>
      </c>
    </row>
    <row r="15" spans="1:8" s="37" customFormat="1" ht="15" customHeight="1">
      <c r="A15" s="441" t="str">
        <f>'Planilha Orcamentária'!A39</f>
        <v>4.1</v>
      </c>
      <c r="B15" s="443" t="str">
        <f>'Planilha Orcamentária'!D39</f>
        <v>RETALUDAMENTO - SERRA DA VILA MARQUES</v>
      </c>
      <c r="C15" s="58" t="s">
        <v>15</v>
      </c>
      <c r="D15" s="302">
        <f>D16/$D$22</f>
        <v>0.1049674946182254</v>
      </c>
      <c r="E15" s="304">
        <v>1</v>
      </c>
      <c r="F15" s="302"/>
      <c r="G15" s="307"/>
      <c r="H15" s="304"/>
    </row>
    <row r="16" spans="1:8" s="37" customFormat="1" ht="15" customHeight="1">
      <c r="A16" s="442"/>
      <c r="B16" s="444"/>
      <c r="C16" s="59" t="s">
        <v>16</v>
      </c>
      <c r="D16" s="299">
        <f>'Planilha Orcamentária'!I39</f>
        <v>127094.59</v>
      </c>
      <c r="E16" s="300">
        <f>$D$16*E15</f>
        <v>127094.59</v>
      </c>
      <c r="F16" s="300">
        <f>$D$16*F15</f>
        <v>0</v>
      </c>
      <c r="G16" s="300">
        <f>$D$16*G15</f>
        <v>0</v>
      </c>
      <c r="H16" s="300">
        <f>$D$16*H15</f>
        <v>0</v>
      </c>
    </row>
    <row r="17" spans="1:9" s="37" customFormat="1" ht="15" customHeight="1">
      <c r="A17" s="441" t="str">
        <f>'Planilha Orcamentária'!A43</f>
        <v>4.2</v>
      </c>
      <c r="B17" s="443" t="str">
        <f>'Planilha Orcamentária'!D43</f>
        <v>DRENAGEM - SERRA DA VILA MARQUES</v>
      </c>
      <c r="C17" s="58" t="s">
        <v>15</v>
      </c>
      <c r="D17" s="302">
        <f>D18/$D$22</f>
        <v>0.12478468152654505</v>
      </c>
      <c r="E17" s="304"/>
      <c r="F17" s="302">
        <v>0.5</v>
      </c>
      <c r="G17" s="307">
        <v>0.5</v>
      </c>
      <c r="H17" s="304"/>
    </row>
    <row r="18" spans="1:9" s="37" customFormat="1" ht="15" customHeight="1">
      <c r="A18" s="442"/>
      <c r="B18" s="444"/>
      <c r="C18" s="59" t="s">
        <v>16</v>
      </c>
      <c r="D18" s="299">
        <f>'Planilha Orcamentária'!I43</f>
        <v>151089.22999999998</v>
      </c>
      <c r="E18" s="300">
        <f>$D$18*E17</f>
        <v>0</v>
      </c>
      <c r="F18" s="300">
        <f>$D$18*F17</f>
        <v>75544.614999999991</v>
      </c>
      <c r="G18" s="300">
        <f>$D$18*G17</f>
        <v>75544.614999999991</v>
      </c>
      <c r="H18" s="300">
        <f>$D$18*H17</f>
        <v>0</v>
      </c>
    </row>
    <row r="19" spans="1:9" s="37" customFormat="1" ht="15" customHeight="1">
      <c r="A19" s="441" t="str">
        <f>'Planilha Orcamentária'!A54</f>
        <v>4.3</v>
      </c>
      <c r="B19" s="443" t="str">
        <f>'Planilha Orcamentária'!D54</f>
        <v>PAVIMENTAÇÃO - SERRA DA VILA MARQUES</v>
      </c>
      <c r="C19" s="58" t="s">
        <v>15</v>
      </c>
      <c r="D19" s="78">
        <f>D20/$D$22</f>
        <v>0.29085658690807187</v>
      </c>
      <c r="E19" s="304"/>
      <c r="F19" s="302"/>
      <c r="G19" s="304">
        <v>0.5</v>
      </c>
      <c r="H19" s="304">
        <v>0.5</v>
      </c>
    </row>
    <row r="20" spans="1:9" s="37" customFormat="1" ht="15" customHeight="1">
      <c r="A20" s="442"/>
      <c r="B20" s="444"/>
      <c r="C20" s="59" t="s">
        <v>16</v>
      </c>
      <c r="D20" s="299">
        <f>'Planilha Orcamentária'!I54</f>
        <v>352169.00999999995</v>
      </c>
      <c r="E20" s="300">
        <f>$D$20*E19</f>
        <v>0</v>
      </c>
      <c r="F20" s="300">
        <f>$D$20*F19</f>
        <v>0</v>
      </c>
      <c r="G20" s="300">
        <f>$D$20*G19</f>
        <v>176084.50499999998</v>
      </c>
      <c r="H20" s="300">
        <f>$D$20*H19</f>
        <v>176084.50499999998</v>
      </c>
    </row>
    <row r="21" spans="1:9" s="37" customFormat="1" ht="15" customHeight="1">
      <c r="A21" s="430" t="s">
        <v>81</v>
      </c>
      <c r="B21" s="430"/>
      <c r="C21" s="58" t="s">
        <v>15</v>
      </c>
      <c r="D21" s="78">
        <f>D11+D19+D7+D13+D15+D17</f>
        <v>0.97283474266383496</v>
      </c>
      <c r="E21" s="304">
        <f>E22/$D$22</f>
        <v>0.1449346128999888</v>
      </c>
      <c r="F21" s="304">
        <f>F22/$D$22</f>
        <v>0.27748627283047278</v>
      </c>
      <c r="G21" s="304">
        <f>G22/$D$22</f>
        <v>0.42697577225626537</v>
      </c>
      <c r="H21" s="304">
        <f>H22/$D$22</f>
        <v>0.15060334201327302</v>
      </c>
    </row>
    <row r="22" spans="1:9" s="37" customFormat="1" ht="15" customHeight="1">
      <c r="A22" s="430"/>
      <c r="B22" s="430"/>
      <c r="C22" s="58" t="s">
        <v>16</v>
      </c>
      <c r="D22" s="301">
        <f>'Planilha Orcamentária'!I65</f>
        <v>1210799.5</v>
      </c>
      <c r="E22" s="303">
        <f>E12+E20+E8+E14+E16+E18+E10</f>
        <v>175486.75683199998</v>
      </c>
      <c r="F22" s="303">
        <f t="shared" ref="F22:H22" si="1">F12+F20+F8+F14+F16+F18+F10</f>
        <v>335980.24040000001</v>
      </c>
      <c r="G22" s="303">
        <f t="shared" si="1"/>
        <v>516982.05155999999</v>
      </c>
      <c r="H22" s="303">
        <f t="shared" si="1"/>
        <v>182350.45120799998</v>
      </c>
      <c r="I22" s="79">
        <f>E21+G21+H21</f>
        <v>0.72251372716952722</v>
      </c>
    </row>
    <row r="23" spans="1:9" ht="14.25" customHeight="1">
      <c r="A23" s="38"/>
      <c r="B23" s="39"/>
      <c r="C23" s="39"/>
      <c r="D23" s="39"/>
      <c r="E23" s="39"/>
      <c r="F23" s="39"/>
      <c r="G23" s="39"/>
      <c r="H23" s="54" t="s">
        <v>17</v>
      </c>
      <c r="I23" s="80">
        <f>E22+G22+H22</f>
        <v>874819.25959999987</v>
      </c>
    </row>
    <row r="24" spans="1:9" ht="27.75" customHeight="1">
      <c r="A24" s="38"/>
      <c r="B24" s="347"/>
      <c r="C24" s="39"/>
      <c r="H24" s="41"/>
    </row>
    <row r="25" spans="1:9" s="52" customFormat="1" ht="13.5" customHeight="1">
      <c r="A25" s="53"/>
      <c r="B25" s="348"/>
      <c r="C25" s="51"/>
      <c r="D25" s="51"/>
      <c r="H25" s="53"/>
    </row>
    <row r="26" spans="1:9" s="52" customFormat="1" ht="11.25" customHeight="1">
      <c r="A26" s="53"/>
      <c r="B26" s="348"/>
      <c r="C26" s="51"/>
      <c r="D26" s="51"/>
      <c r="H26" s="53"/>
    </row>
    <row r="27" spans="1:9" ht="19.5" customHeight="1">
      <c r="A27" s="41"/>
      <c r="B27" s="349"/>
      <c r="H27" s="41"/>
    </row>
    <row r="28" spans="1:9" ht="13.5" customHeight="1">
      <c r="A28" s="42"/>
      <c r="B28" s="349"/>
      <c r="C28" s="43"/>
      <c r="D28" s="43"/>
      <c r="E28" s="44"/>
      <c r="F28" s="44"/>
      <c r="G28" s="44"/>
      <c r="H28" s="55"/>
    </row>
    <row r="29" spans="1:9" s="52" customFormat="1" ht="14.25" customHeight="1">
      <c r="A29" s="53"/>
      <c r="B29" s="348"/>
      <c r="C29" s="51"/>
      <c r="D29" s="51"/>
      <c r="H29" s="53"/>
    </row>
    <row r="30" spans="1:9" s="52" customFormat="1" ht="14.1" customHeight="1">
      <c r="A30" s="53"/>
      <c r="B30" s="60"/>
      <c r="C30" s="51"/>
      <c r="D30" s="51"/>
      <c r="H30" s="53"/>
    </row>
    <row r="31" spans="1:9" ht="14.1" customHeight="1">
      <c r="A31" s="41"/>
      <c r="B31" s="45"/>
      <c r="H31" s="41"/>
    </row>
    <row r="32" spans="1:9" ht="14.1" customHeight="1">
      <c r="A32" s="41"/>
      <c r="B32" s="45"/>
      <c r="H32" s="41"/>
    </row>
    <row r="33" spans="1:8">
      <c r="A33" s="46"/>
      <c r="B33" s="47"/>
      <c r="C33" s="48"/>
      <c r="D33" s="48"/>
      <c r="E33" s="47"/>
      <c r="F33" s="47"/>
      <c r="G33" s="47"/>
      <c r="H33" s="46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22">
    <mergeCell ref="A21:B22"/>
    <mergeCell ref="A19:A20"/>
    <mergeCell ref="B19:B20"/>
    <mergeCell ref="C3:C5"/>
    <mergeCell ref="E4:H5"/>
    <mergeCell ref="D3:D5"/>
    <mergeCell ref="A17:A18"/>
    <mergeCell ref="A15:A16"/>
    <mergeCell ref="B13:B14"/>
    <mergeCell ref="B15:B16"/>
    <mergeCell ref="A13:A14"/>
    <mergeCell ref="B17:B18"/>
    <mergeCell ref="A2:H2"/>
    <mergeCell ref="A11:A12"/>
    <mergeCell ref="B11:B12"/>
    <mergeCell ref="A3:B3"/>
    <mergeCell ref="A5:B5"/>
    <mergeCell ref="A7:A8"/>
    <mergeCell ref="A4:B4"/>
    <mergeCell ref="B7:B8"/>
    <mergeCell ref="B9:B10"/>
    <mergeCell ref="A9:A10"/>
  </mergeCells>
  <phoneticPr fontId="5" type="noConversion"/>
  <printOptions horizontalCentered="1"/>
  <pageMargins left="0.39370078740157483" right="0.19685039370078741" top="0.59055118110236227" bottom="0.19685039370078741" header="0.19685039370078741" footer="0"/>
  <pageSetup paperSize="9" scale="86" orientation="landscape" blackAndWhite="1" horizontalDpi="4294967295" r:id="rId2"/>
  <headerFooter alignWithMargins="0"/>
  <ignoredErrors>
    <ignoredError sqref="D12 D14 D16 D18 D8" formula="1"/>
  </ignoredErrors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D1F3C-DCD9-48C8-A515-08B24F73FA3E}">
  <dimension ref="A1:H45"/>
  <sheetViews>
    <sheetView view="pageBreakPreview" topLeftCell="A7" zoomScale="115" zoomScaleNormal="100" zoomScaleSheetLayoutView="115" workbookViewId="0">
      <selection activeCell="D25" sqref="D25"/>
    </sheetView>
  </sheetViews>
  <sheetFormatPr defaultRowHeight="14.25"/>
  <cols>
    <col min="1" max="1" width="6.140625" style="90" customWidth="1"/>
    <col min="2" max="2" width="47.28515625" style="90" customWidth="1"/>
    <col min="3" max="3" width="10.85546875" style="90" customWidth="1"/>
    <col min="4" max="4" width="12.7109375" style="91" customWidth="1"/>
    <col min="5" max="5" width="3.28515625" style="92" customWidth="1"/>
    <col min="6" max="6" width="4.5703125" style="90" customWidth="1"/>
    <col min="257" max="257" width="15.5703125" customWidth="1"/>
    <col min="258" max="258" width="47.28515625" customWidth="1"/>
    <col min="259" max="259" width="10.85546875" customWidth="1"/>
    <col min="260" max="260" width="12.7109375" customWidth="1"/>
    <col min="261" max="261" width="11.85546875" customWidth="1"/>
    <col min="513" max="513" width="15.5703125" customWidth="1"/>
    <col min="514" max="514" width="47.28515625" customWidth="1"/>
    <col min="515" max="515" width="10.85546875" customWidth="1"/>
    <col min="516" max="516" width="12.7109375" customWidth="1"/>
    <col min="517" max="517" width="11.85546875" customWidth="1"/>
    <col min="769" max="769" width="15.5703125" customWidth="1"/>
    <col min="770" max="770" width="47.28515625" customWidth="1"/>
    <col min="771" max="771" width="10.85546875" customWidth="1"/>
    <col min="772" max="772" width="12.7109375" customWidth="1"/>
    <col min="773" max="773" width="11.85546875" customWidth="1"/>
    <col min="1025" max="1025" width="15.5703125" customWidth="1"/>
    <col min="1026" max="1026" width="47.28515625" customWidth="1"/>
    <col min="1027" max="1027" width="10.85546875" customWidth="1"/>
    <col min="1028" max="1028" width="12.7109375" customWidth="1"/>
    <col min="1029" max="1029" width="11.85546875" customWidth="1"/>
    <col min="1281" max="1281" width="15.5703125" customWidth="1"/>
    <col min="1282" max="1282" width="47.28515625" customWidth="1"/>
    <col min="1283" max="1283" width="10.85546875" customWidth="1"/>
    <col min="1284" max="1284" width="12.7109375" customWidth="1"/>
    <col min="1285" max="1285" width="11.85546875" customWidth="1"/>
    <col min="1537" max="1537" width="15.5703125" customWidth="1"/>
    <col min="1538" max="1538" width="47.28515625" customWidth="1"/>
    <col min="1539" max="1539" width="10.85546875" customWidth="1"/>
    <col min="1540" max="1540" width="12.7109375" customWidth="1"/>
    <col min="1541" max="1541" width="11.85546875" customWidth="1"/>
    <col min="1793" max="1793" width="15.5703125" customWidth="1"/>
    <col min="1794" max="1794" width="47.28515625" customWidth="1"/>
    <col min="1795" max="1795" width="10.85546875" customWidth="1"/>
    <col min="1796" max="1796" width="12.7109375" customWidth="1"/>
    <col min="1797" max="1797" width="11.85546875" customWidth="1"/>
    <col min="2049" max="2049" width="15.5703125" customWidth="1"/>
    <col min="2050" max="2050" width="47.28515625" customWidth="1"/>
    <col min="2051" max="2051" width="10.85546875" customWidth="1"/>
    <col min="2052" max="2052" width="12.7109375" customWidth="1"/>
    <col min="2053" max="2053" width="11.85546875" customWidth="1"/>
    <col min="2305" max="2305" width="15.5703125" customWidth="1"/>
    <col min="2306" max="2306" width="47.28515625" customWidth="1"/>
    <col min="2307" max="2307" width="10.85546875" customWidth="1"/>
    <col min="2308" max="2308" width="12.7109375" customWidth="1"/>
    <col min="2309" max="2309" width="11.85546875" customWidth="1"/>
    <col min="2561" max="2561" width="15.5703125" customWidth="1"/>
    <col min="2562" max="2562" width="47.28515625" customWidth="1"/>
    <col min="2563" max="2563" width="10.85546875" customWidth="1"/>
    <col min="2564" max="2564" width="12.7109375" customWidth="1"/>
    <col min="2565" max="2565" width="11.85546875" customWidth="1"/>
    <col min="2817" max="2817" width="15.5703125" customWidth="1"/>
    <col min="2818" max="2818" width="47.28515625" customWidth="1"/>
    <col min="2819" max="2819" width="10.85546875" customWidth="1"/>
    <col min="2820" max="2820" width="12.7109375" customWidth="1"/>
    <col min="2821" max="2821" width="11.85546875" customWidth="1"/>
    <col min="3073" max="3073" width="15.5703125" customWidth="1"/>
    <col min="3074" max="3074" width="47.28515625" customWidth="1"/>
    <col min="3075" max="3075" width="10.85546875" customWidth="1"/>
    <col min="3076" max="3076" width="12.7109375" customWidth="1"/>
    <col min="3077" max="3077" width="11.85546875" customWidth="1"/>
    <col min="3329" max="3329" width="15.5703125" customWidth="1"/>
    <col min="3330" max="3330" width="47.28515625" customWidth="1"/>
    <col min="3331" max="3331" width="10.85546875" customWidth="1"/>
    <col min="3332" max="3332" width="12.7109375" customWidth="1"/>
    <col min="3333" max="3333" width="11.85546875" customWidth="1"/>
    <col min="3585" max="3585" width="15.5703125" customWidth="1"/>
    <col min="3586" max="3586" width="47.28515625" customWidth="1"/>
    <col min="3587" max="3587" width="10.85546875" customWidth="1"/>
    <col min="3588" max="3588" width="12.7109375" customWidth="1"/>
    <col min="3589" max="3589" width="11.85546875" customWidth="1"/>
    <col min="3841" max="3841" width="15.5703125" customWidth="1"/>
    <col min="3842" max="3842" width="47.28515625" customWidth="1"/>
    <col min="3843" max="3843" width="10.85546875" customWidth="1"/>
    <col min="3844" max="3844" width="12.7109375" customWidth="1"/>
    <col min="3845" max="3845" width="11.85546875" customWidth="1"/>
    <col min="4097" max="4097" width="15.5703125" customWidth="1"/>
    <col min="4098" max="4098" width="47.28515625" customWidth="1"/>
    <col min="4099" max="4099" width="10.85546875" customWidth="1"/>
    <col min="4100" max="4100" width="12.7109375" customWidth="1"/>
    <col min="4101" max="4101" width="11.85546875" customWidth="1"/>
    <col min="4353" max="4353" width="15.5703125" customWidth="1"/>
    <col min="4354" max="4354" width="47.28515625" customWidth="1"/>
    <col min="4355" max="4355" width="10.85546875" customWidth="1"/>
    <col min="4356" max="4356" width="12.7109375" customWidth="1"/>
    <col min="4357" max="4357" width="11.85546875" customWidth="1"/>
    <col min="4609" max="4609" width="15.5703125" customWidth="1"/>
    <col min="4610" max="4610" width="47.28515625" customWidth="1"/>
    <col min="4611" max="4611" width="10.85546875" customWidth="1"/>
    <col min="4612" max="4612" width="12.7109375" customWidth="1"/>
    <col min="4613" max="4613" width="11.85546875" customWidth="1"/>
    <col min="4865" max="4865" width="15.5703125" customWidth="1"/>
    <col min="4866" max="4866" width="47.28515625" customWidth="1"/>
    <col min="4867" max="4867" width="10.85546875" customWidth="1"/>
    <col min="4868" max="4868" width="12.7109375" customWidth="1"/>
    <col min="4869" max="4869" width="11.85546875" customWidth="1"/>
    <col min="5121" max="5121" width="15.5703125" customWidth="1"/>
    <col min="5122" max="5122" width="47.28515625" customWidth="1"/>
    <col min="5123" max="5123" width="10.85546875" customWidth="1"/>
    <col min="5124" max="5124" width="12.7109375" customWidth="1"/>
    <col min="5125" max="5125" width="11.85546875" customWidth="1"/>
    <col min="5377" max="5377" width="15.5703125" customWidth="1"/>
    <col min="5378" max="5378" width="47.28515625" customWidth="1"/>
    <col min="5379" max="5379" width="10.85546875" customWidth="1"/>
    <col min="5380" max="5380" width="12.7109375" customWidth="1"/>
    <col min="5381" max="5381" width="11.85546875" customWidth="1"/>
    <col min="5633" max="5633" width="15.5703125" customWidth="1"/>
    <col min="5634" max="5634" width="47.28515625" customWidth="1"/>
    <col min="5635" max="5635" width="10.85546875" customWidth="1"/>
    <col min="5636" max="5636" width="12.7109375" customWidth="1"/>
    <col min="5637" max="5637" width="11.85546875" customWidth="1"/>
    <col min="5889" max="5889" width="15.5703125" customWidth="1"/>
    <col min="5890" max="5890" width="47.28515625" customWidth="1"/>
    <col min="5891" max="5891" width="10.85546875" customWidth="1"/>
    <col min="5892" max="5892" width="12.7109375" customWidth="1"/>
    <col min="5893" max="5893" width="11.85546875" customWidth="1"/>
    <col min="6145" max="6145" width="15.5703125" customWidth="1"/>
    <col min="6146" max="6146" width="47.28515625" customWidth="1"/>
    <col min="6147" max="6147" width="10.85546875" customWidth="1"/>
    <col min="6148" max="6148" width="12.7109375" customWidth="1"/>
    <col min="6149" max="6149" width="11.85546875" customWidth="1"/>
    <col min="6401" max="6401" width="15.5703125" customWidth="1"/>
    <col min="6402" max="6402" width="47.28515625" customWidth="1"/>
    <col min="6403" max="6403" width="10.85546875" customWidth="1"/>
    <col min="6404" max="6404" width="12.7109375" customWidth="1"/>
    <col min="6405" max="6405" width="11.85546875" customWidth="1"/>
    <col min="6657" max="6657" width="15.5703125" customWidth="1"/>
    <col min="6658" max="6658" width="47.28515625" customWidth="1"/>
    <col min="6659" max="6659" width="10.85546875" customWidth="1"/>
    <col min="6660" max="6660" width="12.7109375" customWidth="1"/>
    <col min="6661" max="6661" width="11.85546875" customWidth="1"/>
    <col min="6913" max="6913" width="15.5703125" customWidth="1"/>
    <col min="6914" max="6914" width="47.28515625" customWidth="1"/>
    <col min="6915" max="6915" width="10.85546875" customWidth="1"/>
    <col min="6916" max="6916" width="12.7109375" customWidth="1"/>
    <col min="6917" max="6917" width="11.85546875" customWidth="1"/>
    <col min="7169" max="7169" width="15.5703125" customWidth="1"/>
    <col min="7170" max="7170" width="47.28515625" customWidth="1"/>
    <col min="7171" max="7171" width="10.85546875" customWidth="1"/>
    <col min="7172" max="7172" width="12.7109375" customWidth="1"/>
    <col min="7173" max="7173" width="11.85546875" customWidth="1"/>
    <col min="7425" max="7425" width="15.5703125" customWidth="1"/>
    <col min="7426" max="7426" width="47.28515625" customWidth="1"/>
    <col min="7427" max="7427" width="10.85546875" customWidth="1"/>
    <col min="7428" max="7428" width="12.7109375" customWidth="1"/>
    <col min="7429" max="7429" width="11.85546875" customWidth="1"/>
    <col min="7681" max="7681" width="15.5703125" customWidth="1"/>
    <col min="7682" max="7682" width="47.28515625" customWidth="1"/>
    <col min="7683" max="7683" width="10.85546875" customWidth="1"/>
    <col min="7684" max="7684" width="12.7109375" customWidth="1"/>
    <col min="7685" max="7685" width="11.85546875" customWidth="1"/>
    <col min="7937" max="7937" width="15.5703125" customWidth="1"/>
    <col min="7938" max="7938" width="47.28515625" customWidth="1"/>
    <col min="7939" max="7939" width="10.85546875" customWidth="1"/>
    <col min="7940" max="7940" width="12.7109375" customWidth="1"/>
    <col min="7941" max="7941" width="11.85546875" customWidth="1"/>
    <col min="8193" max="8193" width="15.5703125" customWidth="1"/>
    <col min="8194" max="8194" width="47.28515625" customWidth="1"/>
    <col min="8195" max="8195" width="10.85546875" customWidth="1"/>
    <col min="8196" max="8196" width="12.7109375" customWidth="1"/>
    <col min="8197" max="8197" width="11.85546875" customWidth="1"/>
    <col min="8449" max="8449" width="15.5703125" customWidth="1"/>
    <col min="8450" max="8450" width="47.28515625" customWidth="1"/>
    <col min="8451" max="8451" width="10.85546875" customWidth="1"/>
    <col min="8452" max="8452" width="12.7109375" customWidth="1"/>
    <col min="8453" max="8453" width="11.85546875" customWidth="1"/>
    <col min="8705" max="8705" width="15.5703125" customWidth="1"/>
    <col min="8706" max="8706" width="47.28515625" customWidth="1"/>
    <col min="8707" max="8707" width="10.85546875" customWidth="1"/>
    <col min="8708" max="8708" width="12.7109375" customWidth="1"/>
    <col min="8709" max="8709" width="11.85546875" customWidth="1"/>
    <col min="8961" max="8961" width="15.5703125" customWidth="1"/>
    <col min="8962" max="8962" width="47.28515625" customWidth="1"/>
    <col min="8963" max="8963" width="10.85546875" customWidth="1"/>
    <col min="8964" max="8964" width="12.7109375" customWidth="1"/>
    <col min="8965" max="8965" width="11.85546875" customWidth="1"/>
    <col min="9217" max="9217" width="15.5703125" customWidth="1"/>
    <col min="9218" max="9218" width="47.28515625" customWidth="1"/>
    <col min="9219" max="9219" width="10.85546875" customWidth="1"/>
    <col min="9220" max="9220" width="12.7109375" customWidth="1"/>
    <col min="9221" max="9221" width="11.85546875" customWidth="1"/>
    <col min="9473" max="9473" width="15.5703125" customWidth="1"/>
    <col min="9474" max="9474" width="47.28515625" customWidth="1"/>
    <col min="9475" max="9475" width="10.85546875" customWidth="1"/>
    <col min="9476" max="9476" width="12.7109375" customWidth="1"/>
    <col min="9477" max="9477" width="11.85546875" customWidth="1"/>
    <col min="9729" max="9729" width="15.5703125" customWidth="1"/>
    <col min="9730" max="9730" width="47.28515625" customWidth="1"/>
    <col min="9731" max="9731" width="10.85546875" customWidth="1"/>
    <col min="9732" max="9732" width="12.7109375" customWidth="1"/>
    <col min="9733" max="9733" width="11.85546875" customWidth="1"/>
    <col min="9985" max="9985" width="15.5703125" customWidth="1"/>
    <col min="9986" max="9986" width="47.28515625" customWidth="1"/>
    <col min="9987" max="9987" width="10.85546875" customWidth="1"/>
    <col min="9988" max="9988" width="12.7109375" customWidth="1"/>
    <col min="9989" max="9989" width="11.85546875" customWidth="1"/>
    <col min="10241" max="10241" width="15.5703125" customWidth="1"/>
    <col min="10242" max="10242" width="47.28515625" customWidth="1"/>
    <col min="10243" max="10243" width="10.85546875" customWidth="1"/>
    <col min="10244" max="10244" width="12.7109375" customWidth="1"/>
    <col min="10245" max="10245" width="11.85546875" customWidth="1"/>
    <col min="10497" max="10497" width="15.5703125" customWidth="1"/>
    <col min="10498" max="10498" width="47.28515625" customWidth="1"/>
    <col min="10499" max="10499" width="10.85546875" customWidth="1"/>
    <col min="10500" max="10500" width="12.7109375" customWidth="1"/>
    <col min="10501" max="10501" width="11.85546875" customWidth="1"/>
    <col min="10753" max="10753" width="15.5703125" customWidth="1"/>
    <col min="10754" max="10754" width="47.28515625" customWidth="1"/>
    <col min="10755" max="10755" width="10.85546875" customWidth="1"/>
    <col min="10756" max="10756" width="12.7109375" customWidth="1"/>
    <col min="10757" max="10757" width="11.85546875" customWidth="1"/>
    <col min="11009" max="11009" width="15.5703125" customWidth="1"/>
    <col min="11010" max="11010" width="47.28515625" customWidth="1"/>
    <col min="11011" max="11011" width="10.85546875" customWidth="1"/>
    <col min="11012" max="11012" width="12.7109375" customWidth="1"/>
    <col min="11013" max="11013" width="11.85546875" customWidth="1"/>
    <col min="11265" max="11265" width="15.5703125" customWidth="1"/>
    <col min="11266" max="11266" width="47.28515625" customWidth="1"/>
    <col min="11267" max="11267" width="10.85546875" customWidth="1"/>
    <col min="11268" max="11268" width="12.7109375" customWidth="1"/>
    <col min="11269" max="11269" width="11.85546875" customWidth="1"/>
    <col min="11521" max="11521" width="15.5703125" customWidth="1"/>
    <col min="11522" max="11522" width="47.28515625" customWidth="1"/>
    <col min="11523" max="11523" width="10.85546875" customWidth="1"/>
    <col min="11524" max="11524" width="12.7109375" customWidth="1"/>
    <col min="11525" max="11525" width="11.85546875" customWidth="1"/>
    <col min="11777" max="11777" width="15.5703125" customWidth="1"/>
    <col min="11778" max="11778" width="47.28515625" customWidth="1"/>
    <col min="11779" max="11779" width="10.85546875" customWidth="1"/>
    <col min="11780" max="11780" width="12.7109375" customWidth="1"/>
    <col min="11781" max="11781" width="11.85546875" customWidth="1"/>
    <col min="12033" max="12033" width="15.5703125" customWidth="1"/>
    <col min="12034" max="12034" width="47.28515625" customWidth="1"/>
    <col min="12035" max="12035" width="10.85546875" customWidth="1"/>
    <col min="12036" max="12036" width="12.7109375" customWidth="1"/>
    <col min="12037" max="12037" width="11.85546875" customWidth="1"/>
    <col min="12289" max="12289" width="15.5703125" customWidth="1"/>
    <col min="12290" max="12290" width="47.28515625" customWidth="1"/>
    <col min="12291" max="12291" width="10.85546875" customWidth="1"/>
    <col min="12292" max="12292" width="12.7109375" customWidth="1"/>
    <col min="12293" max="12293" width="11.85546875" customWidth="1"/>
    <col min="12545" max="12545" width="15.5703125" customWidth="1"/>
    <col min="12546" max="12546" width="47.28515625" customWidth="1"/>
    <col min="12547" max="12547" width="10.85546875" customWidth="1"/>
    <col min="12548" max="12548" width="12.7109375" customWidth="1"/>
    <col min="12549" max="12549" width="11.85546875" customWidth="1"/>
    <col min="12801" max="12801" width="15.5703125" customWidth="1"/>
    <col min="12802" max="12802" width="47.28515625" customWidth="1"/>
    <col min="12803" max="12803" width="10.85546875" customWidth="1"/>
    <col min="12804" max="12804" width="12.7109375" customWidth="1"/>
    <col min="12805" max="12805" width="11.85546875" customWidth="1"/>
    <col min="13057" max="13057" width="15.5703125" customWidth="1"/>
    <col min="13058" max="13058" width="47.28515625" customWidth="1"/>
    <col min="13059" max="13059" width="10.85546875" customWidth="1"/>
    <col min="13060" max="13060" width="12.7109375" customWidth="1"/>
    <col min="13061" max="13061" width="11.85546875" customWidth="1"/>
    <col min="13313" max="13313" width="15.5703125" customWidth="1"/>
    <col min="13314" max="13314" width="47.28515625" customWidth="1"/>
    <col min="13315" max="13315" width="10.85546875" customWidth="1"/>
    <col min="13316" max="13316" width="12.7109375" customWidth="1"/>
    <col min="13317" max="13317" width="11.85546875" customWidth="1"/>
    <col min="13569" max="13569" width="15.5703125" customWidth="1"/>
    <col min="13570" max="13570" width="47.28515625" customWidth="1"/>
    <col min="13571" max="13571" width="10.85546875" customWidth="1"/>
    <col min="13572" max="13572" width="12.7109375" customWidth="1"/>
    <col min="13573" max="13573" width="11.85546875" customWidth="1"/>
    <col min="13825" max="13825" width="15.5703125" customWidth="1"/>
    <col min="13826" max="13826" width="47.28515625" customWidth="1"/>
    <col min="13827" max="13827" width="10.85546875" customWidth="1"/>
    <col min="13828" max="13828" width="12.7109375" customWidth="1"/>
    <col min="13829" max="13829" width="11.85546875" customWidth="1"/>
    <col min="14081" max="14081" width="15.5703125" customWidth="1"/>
    <col min="14082" max="14082" width="47.28515625" customWidth="1"/>
    <col min="14083" max="14083" width="10.85546875" customWidth="1"/>
    <col min="14084" max="14084" width="12.7109375" customWidth="1"/>
    <col min="14085" max="14085" width="11.85546875" customWidth="1"/>
    <col min="14337" max="14337" width="15.5703125" customWidth="1"/>
    <col min="14338" max="14338" width="47.28515625" customWidth="1"/>
    <col min="14339" max="14339" width="10.85546875" customWidth="1"/>
    <col min="14340" max="14340" width="12.7109375" customWidth="1"/>
    <col min="14341" max="14341" width="11.85546875" customWidth="1"/>
    <col min="14593" max="14593" width="15.5703125" customWidth="1"/>
    <col min="14594" max="14594" width="47.28515625" customWidth="1"/>
    <col min="14595" max="14595" width="10.85546875" customWidth="1"/>
    <col min="14596" max="14596" width="12.7109375" customWidth="1"/>
    <col min="14597" max="14597" width="11.85546875" customWidth="1"/>
    <col min="14849" max="14849" width="15.5703125" customWidth="1"/>
    <col min="14850" max="14850" width="47.28515625" customWidth="1"/>
    <col min="14851" max="14851" width="10.85546875" customWidth="1"/>
    <col min="14852" max="14852" width="12.7109375" customWidth="1"/>
    <col min="14853" max="14853" width="11.85546875" customWidth="1"/>
    <col min="15105" max="15105" width="15.5703125" customWidth="1"/>
    <col min="15106" max="15106" width="47.28515625" customWidth="1"/>
    <col min="15107" max="15107" width="10.85546875" customWidth="1"/>
    <col min="15108" max="15108" width="12.7109375" customWidth="1"/>
    <col min="15109" max="15109" width="11.85546875" customWidth="1"/>
    <col min="15361" max="15361" width="15.5703125" customWidth="1"/>
    <col min="15362" max="15362" width="47.28515625" customWidth="1"/>
    <col min="15363" max="15363" width="10.85546875" customWidth="1"/>
    <col min="15364" max="15364" width="12.7109375" customWidth="1"/>
    <col min="15365" max="15365" width="11.85546875" customWidth="1"/>
    <col min="15617" max="15617" width="15.5703125" customWidth="1"/>
    <col min="15618" max="15618" width="47.28515625" customWidth="1"/>
    <col min="15619" max="15619" width="10.85546875" customWidth="1"/>
    <col min="15620" max="15620" width="12.7109375" customWidth="1"/>
    <col min="15621" max="15621" width="11.85546875" customWidth="1"/>
    <col min="15873" max="15873" width="15.5703125" customWidth="1"/>
    <col min="15874" max="15874" width="47.28515625" customWidth="1"/>
    <col min="15875" max="15875" width="10.85546875" customWidth="1"/>
    <col min="15876" max="15876" width="12.7109375" customWidth="1"/>
    <col min="15877" max="15877" width="11.85546875" customWidth="1"/>
    <col min="16129" max="16129" width="15.5703125" customWidth="1"/>
    <col min="16130" max="16130" width="47.28515625" customWidth="1"/>
    <col min="16131" max="16131" width="10.85546875" customWidth="1"/>
    <col min="16132" max="16132" width="12.7109375" customWidth="1"/>
    <col min="16133" max="16133" width="11.85546875" customWidth="1"/>
  </cols>
  <sheetData>
    <row r="1" spans="1:8" ht="41.25">
      <c r="A1" s="457"/>
      <c r="B1" s="458"/>
      <c r="C1" s="458"/>
      <c r="D1" s="458"/>
      <c r="E1" s="458"/>
      <c r="F1" s="459"/>
      <c r="G1" s="86"/>
      <c r="H1" s="86"/>
    </row>
    <row r="2" spans="1:8" ht="12.75">
      <c r="A2" s="460"/>
      <c r="B2" s="461"/>
      <c r="C2" s="461"/>
      <c r="D2" s="461"/>
      <c r="E2" s="461"/>
      <c r="F2" s="462"/>
      <c r="G2" s="87"/>
      <c r="H2" s="87"/>
    </row>
    <row r="3" spans="1:8" ht="12.75">
      <c r="A3" s="460"/>
      <c r="B3" s="461"/>
      <c r="C3" s="461"/>
      <c r="D3" s="461"/>
      <c r="E3" s="461"/>
      <c r="F3" s="462"/>
      <c r="G3" s="88"/>
      <c r="H3" s="88"/>
    </row>
    <row r="4" spans="1:8" ht="12.75">
      <c r="A4" s="455" t="s">
        <v>89</v>
      </c>
      <c r="B4" s="394"/>
      <c r="C4" s="394"/>
      <c r="D4" s="394"/>
      <c r="E4" s="394"/>
      <c r="F4" s="394"/>
    </row>
    <row r="5" spans="1:8" ht="12.75">
      <c r="A5" s="455" t="s">
        <v>107</v>
      </c>
      <c r="B5" s="394"/>
      <c r="C5" s="394"/>
      <c r="D5" s="394"/>
      <c r="E5" s="394"/>
      <c r="F5" s="394"/>
    </row>
    <row r="6" spans="1:8" ht="12.75">
      <c r="A6" s="456" t="s">
        <v>84</v>
      </c>
      <c r="B6" s="456"/>
      <c r="C6" s="456"/>
      <c r="D6" s="456"/>
      <c r="E6" s="456"/>
      <c r="F6" s="456"/>
    </row>
    <row r="7" spans="1:8" ht="12.75">
      <c r="A7" s="101" t="s">
        <v>79</v>
      </c>
      <c r="B7" s="149">
        <f ca="1">TODAY()</f>
        <v>45996</v>
      </c>
      <c r="C7" s="473"/>
      <c r="D7" s="473"/>
      <c r="E7" s="473"/>
      <c r="F7" s="474"/>
    </row>
    <row r="8" spans="1:8" ht="12.75">
      <c r="A8" s="103"/>
      <c r="B8" s="463"/>
      <c r="C8" s="464"/>
      <c r="D8" s="464"/>
      <c r="E8" s="464"/>
      <c r="F8" s="465"/>
    </row>
    <row r="9" spans="1:8" ht="15.75">
      <c r="A9" s="104"/>
      <c r="B9" s="466" t="s">
        <v>50</v>
      </c>
      <c r="C9" s="466"/>
      <c r="D9" s="466"/>
      <c r="E9" s="105"/>
      <c r="F9" s="106"/>
    </row>
    <row r="10" spans="1:8" ht="12.75">
      <c r="A10" s="107"/>
      <c r="B10" s="471"/>
      <c r="C10" s="471"/>
      <c r="D10" s="471"/>
      <c r="E10" s="89"/>
      <c r="F10" s="108"/>
    </row>
    <row r="11" spans="1:8" ht="12.75">
      <c r="A11" s="11"/>
      <c r="B11" s="126" t="s">
        <v>51</v>
      </c>
      <c r="C11" s="133"/>
      <c r="D11" s="130" t="s">
        <v>52</v>
      </c>
      <c r="E11" s="93"/>
      <c r="F11" s="14"/>
    </row>
    <row r="12" spans="1:8" ht="12.75">
      <c r="A12" s="11"/>
      <c r="B12" s="127" t="s">
        <v>53</v>
      </c>
      <c r="C12" s="134" t="s">
        <v>54</v>
      </c>
      <c r="D12" s="131">
        <f>H12*100</f>
        <v>3.8</v>
      </c>
      <c r="E12" s="93"/>
      <c r="F12" s="109"/>
      <c r="H12" s="88">
        <v>3.7999999999999999E-2</v>
      </c>
    </row>
    <row r="13" spans="1:8" ht="12.75">
      <c r="A13" s="11"/>
      <c r="B13" s="128" t="s">
        <v>55</v>
      </c>
      <c r="C13" s="135" t="s">
        <v>56</v>
      </c>
      <c r="D13" s="131">
        <f t="shared" ref="D13:D19" si="0">H13*100</f>
        <v>0.32</v>
      </c>
      <c r="E13" s="93"/>
      <c r="F13" s="109"/>
      <c r="H13" s="88">
        <v>3.2000000000000002E-3</v>
      </c>
    </row>
    <row r="14" spans="1:8" ht="12.75">
      <c r="A14" s="11"/>
      <c r="B14" s="127" t="s">
        <v>57</v>
      </c>
      <c r="C14" s="134" t="s">
        <v>58</v>
      </c>
      <c r="D14" s="131">
        <f t="shared" si="0"/>
        <v>0.5</v>
      </c>
      <c r="E14" s="93"/>
      <c r="F14" s="109"/>
      <c r="H14" s="88">
        <v>5.0000000000000001E-3</v>
      </c>
    </row>
    <row r="15" spans="1:8" ht="12.75">
      <c r="A15" s="11"/>
      <c r="B15" s="128" t="s">
        <v>59</v>
      </c>
      <c r="C15" s="135" t="s">
        <v>60</v>
      </c>
      <c r="D15" s="131">
        <f t="shared" si="0"/>
        <v>1.02</v>
      </c>
      <c r="E15" s="93"/>
      <c r="F15" s="109"/>
      <c r="H15" s="88">
        <v>1.0200000000000001E-2</v>
      </c>
    </row>
    <row r="16" spans="1:8" ht="12.75">
      <c r="A16" s="11"/>
      <c r="B16" s="128" t="s">
        <v>61</v>
      </c>
      <c r="C16" s="135" t="s">
        <v>62</v>
      </c>
      <c r="D16" s="131">
        <f t="shared" si="0"/>
        <v>7.64</v>
      </c>
      <c r="E16" s="93"/>
      <c r="F16" s="109"/>
      <c r="H16" s="88">
        <v>7.6399999999999996E-2</v>
      </c>
    </row>
    <row r="17" spans="1:8" ht="12.75">
      <c r="A17" s="11"/>
      <c r="B17" s="127" t="s">
        <v>63</v>
      </c>
      <c r="C17" s="134" t="s">
        <v>64</v>
      </c>
      <c r="D17" s="131">
        <f t="shared" si="0"/>
        <v>3.65</v>
      </c>
      <c r="E17" s="93"/>
      <c r="F17" s="109"/>
      <c r="H17" s="88">
        <v>3.6499999999999998E-2</v>
      </c>
    </row>
    <row r="18" spans="1:8" ht="12.75">
      <c r="A18" s="11"/>
      <c r="B18" s="128" t="s">
        <v>65</v>
      </c>
      <c r="C18" s="135" t="s">
        <v>66</v>
      </c>
      <c r="D18" s="131">
        <f t="shared" si="0"/>
        <v>2.5</v>
      </c>
      <c r="E18" s="93"/>
      <c r="F18" s="109"/>
      <c r="H18" s="88">
        <v>2.5000000000000001E-2</v>
      </c>
    </row>
    <row r="19" spans="1:8" ht="25.5">
      <c r="A19" s="11"/>
      <c r="B19" s="129" t="s">
        <v>67</v>
      </c>
      <c r="C19" s="136" t="s">
        <v>68</v>
      </c>
      <c r="D19" s="132">
        <f t="shared" si="0"/>
        <v>0</v>
      </c>
      <c r="E19" s="93"/>
      <c r="F19" s="109"/>
      <c r="H19" s="88">
        <v>0</v>
      </c>
    </row>
    <row r="20" spans="1:8">
      <c r="A20" s="110"/>
      <c r="B20" s="472"/>
      <c r="C20" s="472"/>
      <c r="D20" s="472"/>
      <c r="E20" s="94"/>
      <c r="F20" s="113"/>
    </row>
    <row r="21" spans="1:8">
      <c r="A21" s="110"/>
      <c r="B21" s="158"/>
      <c r="C21" s="95"/>
      <c r="D21" s="112"/>
      <c r="E21" s="112"/>
      <c r="F21" s="113"/>
    </row>
    <row r="22" spans="1:8">
      <c r="A22" s="110"/>
      <c r="B22" s="111"/>
      <c r="C22" s="111"/>
      <c r="D22" s="112"/>
      <c r="E22" s="112"/>
      <c r="F22" s="114"/>
    </row>
    <row r="23" spans="1:8">
      <c r="A23" s="467" t="s">
        <v>69</v>
      </c>
      <c r="B23" s="468"/>
      <c r="C23" s="468"/>
      <c r="D23" s="468"/>
      <c r="E23" s="468"/>
      <c r="F23" s="469"/>
    </row>
    <row r="24" spans="1:8" ht="15" thickBot="1">
      <c r="A24" s="110"/>
      <c r="B24" s="111"/>
      <c r="C24" s="111"/>
      <c r="D24" s="94"/>
      <c r="E24" s="94"/>
      <c r="F24" s="114"/>
    </row>
    <row r="25" spans="1:8" ht="15" thickBot="1">
      <c r="A25" s="110"/>
      <c r="B25" s="115"/>
      <c r="C25" s="96" t="s">
        <v>70</v>
      </c>
      <c r="D25" s="187">
        <f>(((1+H12+H13+H14)*(1+H15)*(1+H16))/(1-H17-H18-H19))-1</f>
        <v>0.21216430765689931</v>
      </c>
      <c r="E25" s="94"/>
      <c r="F25" s="114"/>
    </row>
    <row r="26" spans="1:8">
      <c r="A26" s="110"/>
      <c r="B26" s="111"/>
      <c r="C26" s="116"/>
      <c r="D26" s="117"/>
      <c r="E26" s="94"/>
      <c r="F26" s="114"/>
    </row>
    <row r="27" spans="1:8">
      <c r="A27" s="110"/>
      <c r="B27" s="111"/>
      <c r="C27" s="116"/>
      <c r="D27" s="111"/>
      <c r="E27" s="94"/>
      <c r="F27" s="114"/>
    </row>
    <row r="28" spans="1:8">
      <c r="A28" s="110"/>
      <c r="B28" s="111"/>
      <c r="C28" s="115"/>
      <c r="D28" s="186"/>
      <c r="E28" s="94"/>
      <c r="F28" s="114"/>
    </row>
    <row r="29" spans="1:8">
      <c r="A29" s="110"/>
      <c r="B29" s="111"/>
      <c r="C29" s="111"/>
      <c r="D29" s="112"/>
      <c r="E29" s="94"/>
      <c r="F29" s="114"/>
    </row>
    <row r="30" spans="1:8">
      <c r="A30" s="118"/>
      <c r="C30" s="470"/>
      <c r="D30" s="470"/>
      <c r="E30" s="470"/>
      <c r="F30" s="119"/>
    </row>
    <row r="31" spans="1:8">
      <c r="A31" s="118"/>
      <c r="C31" s="159"/>
      <c r="D31" s="159"/>
      <c r="E31" s="159"/>
      <c r="F31" s="119"/>
    </row>
    <row r="32" spans="1:8">
      <c r="A32" s="118"/>
      <c r="C32" s="159"/>
      <c r="D32" s="159"/>
      <c r="E32" s="159"/>
      <c r="F32" s="119"/>
    </row>
    <row r="33" spans="1:6">
      <c r="A33" s="118"/>
      <c r="C33" s="159"/>
      <c r="D33" s="159"/>
      <c r="E33" s="159"/>
      <c r="F33" s="119"/>
    </row>
    <row r="34" spans="1:6">
      <c r="A34" s="118"/>
      <c r="C34" s="159"/>
      <c r="D34" s="159"/>
      <c r="E34" s="159"/>
      <c r="F34" s="119"/>
    </row>
    <row r="35" spans="1:6">
      <c r="A35" s="118"/>
      <c r="C35" s="159"/>
      <c r="D35" s="159"/>
      <c r="E35" s="159"/>
      <c r="F35" s="119"/>
    </row>
    <row r="36" spans="1:6">
      <c r="A36" s="118"/>
      <c r="C36" s="159"/>
      <c r="D36" s="159"/>
      <c r="E36" s="159"/>
      <c r="F36" s="119"/>
    </row>
    <row r="37" spans="1:6">
      <c r="A37" s="118"/>
      <c r="F37" s="120"/>
    </row>
    <row r="38" spans="1:6">
      <c r="A38" s="118"/>
      <c r="F38" s="120"/>
    </row>
    <row r="39" spans="1:6" ht="14.25" customHeight="1">
      <c r="A39" s="451" t="s">
        <v>106</v>
      </c>
      <c r="B39" s="452"/>
      <c r="C39" s="452"/>
      <c r="D39" s="452"/>
      <c r="E39" s="452"/>
      <c r="F39" s="453"/>
    </row>
    <row r="40" spans="1:6" ht="14.25" customHeight="1">
      <c r="A40" s="454"/>
      <c r="B40" s="452"/>
      <c r="C40" s="452"/>
      <c r="D40" s="452"/>
      <c r="E40" s="452"/>
      <c r="F40" s="453"/>
    </row>
    <row r="41" spans="1:6" ht="14.25" customHeight="1">
      <c r="A41" s="454"/>
      <c r="B41" s="452"/>
      <c r="C41" s="452"/>
      <c r="D41" s="452"/>
      <c r="E41" s="452"/>
      <c r="F41" s="453"/>
    </row>
    <row r="42" spans="1:6" ht="14.25" customHeight="1">
      <c r="A42" s="454"/>
      <c r="B42" s="452"/>
      <c r="C42" s="452"/>
      <c r="D42" s="452"/>
      <c r="E42" s="452"/>
      <c r="F42" s="453"/>
    </row>
    <row r="43" spans="1:6">
      <c r="A43" s="118"/>
      <c r="F43" s="120"/>
    </row>
    <row r="44" spans="1:6">
      <c r="A44" s="118"/>
      <c r="F44" s="120"/>
    </row>
    <row r="45" spans="1:6">
      <c r="A45" s="121"/>
      <c r="B45" s="122"/>
      <c r="C45" s="122"/>
      <c r="D45" s="123"/>
      <c r="E45" s="124"/>
      <c r="F45" s="125"/>
    </row>
  </sheetData>
  <mergeCells count="12">
    <mergeCell ref="A39:F42"/>
    <mergeCell ref="A4:F4"/>
    <mergeCell ref="A5:F5"/>
    <mergeCell ref="A6:F6"/>
    <mergeCell ref="A1:F3"/>
    <mergeCell ref="B8:F8"/>
    <mergeCell ref="B9:D9"/>
    <mergeCell ref="A23:F23"/>
    <mergeCell ref="C30:E30"/>
    <mergeCell ref="B10:D10"/>
    <mergeCell ref="B20:D20"/>
    <mergeCell ref="C7:F7"/>
  </mergeCells>
  <pageMargins left="0.51181102362204722" right="0.51181102362204722" top="0.78740157480314965" bottom="0.78740157480314965" header="0.31496062992125984" footer="0.31496062992125984"/>
  <pageSetup paperSize="9" scale="110" orientation="portrait" blackAndWhite="1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9F8C6-B17D-462B-8A0C-BB60AE6848E5}">
  <dimension ref="A1:H30"/>
  <sheetViews>
    <sheetView topLeftCell="A13" zoomScale="130" zoomScaleNormal="130" workbookViewId="0">
      <selection activeCell="E15" sqref="E15"/>
    </sheetView>
  </sheetViews>
  <sheetFormatPr defaultRowHeight="12.75"/>
  <cols>
    <col min="1" max="1" width="11" customWidth="1"/>
    <col min="2" max="2" width="10.140625" bestFit="1" customWidth="1"/>
    <col min="3" max="3" width="51.85546875" customWidth="1"/>
    <col min="4" max="4" width="5.42578125" customWidth="1"/>
    <col min="5" max="6" width="7.28515625" customWidth="1"/>
    <col min="7" max="7" width="8.140625" bestFit="1" customWidth="1"/>
    <col min="9" max="9" width="13" bestFit="1" customWidth="1"/>
  </cols>
  <sheetData>
    <row r="1" spans="1:8" ht="58.5" customHeight="1">
      <c r="A1" s="475"/>
      <c r="B1" s="475"/>
      <c r="C1" s="475"/>
      <c r="D1" s="475"/>
      <c r="E1" s="475"/>
      <c r="F1" s="475"/>
      <c r="G1" s="475"/>
      <c r="H1" s="86"/>
    </row>
    <row r="2" spans="1:8">
      <c r="A2" s="475"/>
      <c r="B2" s="475"/>
      <c r="C2" s="475"/>
      <c r="D2" s="475"/>
      <c r="E2" s="475"/>
      <c r="F2" s="475"/>
      <c r="G2" s="475"/>
      <c r="H2" s="87"/>
    </row>
    <row r="3" spans="1:8">
      <c r="A3" s="475"/>
      <c r="B3" s="475"/>
      <c r="C3" s="475"/>
      <c r="D3" s="475"/>
      <c r="E3" s="475"/>
      <c r="F3" s="475"/>
      <c r="G3" s="475"/>
      <c r="H3" s="88"/>
    </row>
    <row r="4" spans="1:8">
      <c r="A4" s="455" t="s">
        <v>85</v>
      </c>
      <c r="B4" s="394"/>
      <c r="C4" s="394"/>
      <c r="D4" s="394"/>
      <c r="E4" s="394"/>
      <c r="F4" s="394"/>
      <c r="G4" s="394"/>
    </row>
    <row r="5" spans="1:8">
      <c r="A5" s="455" t="str">
        <f>BDI!A5</f>
        <v>LOCAL: SERRA DO PITA FOGO E SERRA DA VILA MARQUES</v>
      </c>
      <c r="B5" s="394"/>
      <c r="C5" s="394"/>
      <c r="D5" s="394"/>
      <c r="E5" s="394"/>
      <c r="F5" s="394"/>
      <c r="G5" s="394"/>
    </row>
    <row r="6" spans="1:8">
      <c r="A6" s="455" t="str">
        <f>BDI!A6</f>
        <v>MUNICIPIO:  INHAPIM/MG - CEP: 35330-000</v>
      </c>
      <c r="B6" s="394"/>
      <c r="C6" s="394"/>
      <c r="D6" s="394"/>
      <c r="E6" s="394"/>
      <c r="F6" s="394"/>
      <c r="G6" s="394"/>
    </row>
    <row r="7" spans="1:8">
      <c r="A7" s="101" t="s">
        <v>79</v>
      </c>
      <c r="B7" s="149">
        <f ca="1">TODAY()</f>
        <v>45996</v>
      </c>
      <c r="C7" s="102"/>
      <c r="D7" s="102"/>
      <c r="E7" s="99"/>
      <c r="F7" s="99"/>
      <c r="G7" s="100"/>
    </row>
    <row r="8" spans="1:8">
      <c r="A8" s="101"/>
      <c r="B8" s="98"/>
      <c r="C8" s="102"/>
      <c r="D8" s="102"/>
      <c r="E8" s="99"/>
      <c r="F8" s="99"/>
      <c r="G8" s="100"/>
    </row>
    <row r="9" spans="1:8" ht="15.75">
      <c r="A9" s="480" t="s">
        <v>73</v>
      </c>
      <c r="B9" s="480"/>
      <c r="C9" s="480"/>
      <c r="D9" s="480"/>
      <c r="E9" s="480"/>
      <c r="F9" s="480"/>
      <c r="G9" s="480"/>
    </row>
    <row r="10" spans="1:8" ht="11.25" customHeight="1">
      <c r="A10" s="144"/>
      <c r="G10" s="97"/>
    </row>
    <row r="11" spans="1:8">
      <c r="C11" s="173"/>
    </row>
    <row r="12" spans="1:8">
      <c r="A12" s="163" t="s">
        <v>71</v>
      </c>
      <c r="B12" s="350" t="s">
        <v>72</v>
      </c>
      <c r="C12" s="343" t="s">
        <v>156</v>
      </c>
      <c r="D12" s="163" t="s">
        <v>10</v>
      </c>
      <c r="E12" s="164"/>
      <c r="F12" s="165">
        <v>0</v>
      </c>
      <c r="G12" s="165">
        <f>E13*G13+E14*G14+E15*G15+E16*G16+E17*G17</f>
        <v>108.76697</v>
      </c>
    </row>
    <row r="13" spans="1:8" ht="22.5">
      <c r="A13" s="166" t="s">
        <v>91</v>
      </c>
      <c r="B13" s="167">
        <v>94970</v>
      </c>
      <c r="C13" s="172" t="s">
        <v>92</v>
      </c>
      <c r="D13" s="168" t="s">
        <v>9</v>
      </c>
      <c r="E13" s="167">
        <v>4.4999999999999998E-2</v>
      </c>
      <c r="F13" s="169">
        <v>0</v>
      </c>
      <c r="G13" s="170">
        <v>534.79999999999995</v>
      </c>
    </row>
    <row r="14" spans="1:8" ht="22.5">
      <c r="A14" s="166" t="s">
        <v>91</v>
      </c>
      <c r="B14" s="167">
        <v>93358</v>
      </c>
      <c r="C14" s="172" t="s">
        <v>93</v>
      </c>
      <c r="D14" s="168" t="s">
        <v>9</v>
      </c>
      <c r="E14" s="167">
        <v>4.4999999999999998E-2</v>
      </c>
      <c r="F14" s="169">
        <v>0</v>
      </c>
      <c r="G14" s="171">
        <v>89.55</v>
      </c>
    </row>
    <row r="15" spans="1:8">
      <c r="A15" s="166" t="s">
        <v>91</v>
      </c>
      <c r="B15" s="167">
        <v>92802</v>
      </c>
      <c r="C15" s="172" t="s">
        <v>94</v>
      </c>
      <c r="D15" s="168" t="s">
        <v>95</v>
      </c>
      <c r="E15" s="167">
        <v>2.2120000000000002</v>
      </c>
      <c r="F15" s="169">
        <v>0</v>
      </c>
      <c r="G15" s="171">
        <v>9.56</v>
      </c>
    </row>
    <row r="16" spans="1:8">
      <c r="A16" s="166" t="s">
        <v>91</v>
      </c>
      <c r="B16" s="167">
        <v>92800</v>
      </c>
      <c r="C16" s="172" t="s">
        <v>96</v>
      </c>
      <c r="D16" s="168" t="s">
        <v>95</v>
      </c>
      <c r="E16" s="167">
        <v>1.0780000000000001</v>
      </c>
      <c r="F16" s="169">
        <v>0</v>
      </c>
      <c r="G16" s="171">
        <v>9.75</v>
      </c>
    </row>
    <row r="17" spans="1:7" ht="22.5">
      <c r="A17" s="166" t="s">
        <v>91</v>
      </c>
      <c r="B17" s="167">
        <v>103796</v>
      </c>
      <c r="C17" s="172" t="s">
        <v>97</v>
      </c>
      <c r="D17" s="168" t="s">
        <v>7</v>
      </c>
      <c r="E17" s="167">
        <v>0.84</v>
      </c>
      <c r="F17" s="169">
        <v>0</v>
      </c>
      <c r="G17" s="171">
        <v>58.35</v>
      </c>
    </row>
    <row r="18" spans="1:7">
      <c r="A18" s="144"/>
      <c r="C18" s="173"/>
      <c r="G18" s="97"/>
    </row>
    <row r="19" spans="1:7" ht="11.25" customHeight="1">
      <c r="A19" s="163" t="s">
        <v>71</v>
      </c>
      <c r="B19" s="350" t="s">
        <v>90</v>
      </c>
      <c r="C19" s="174" t="s">
        <v>155</v>
      </c>
      <c r="D19" s="163" t="s">
        <v>10</v>
      </c>
      <c r="E19" s="164"/>
      <c r="F19" s="165">
        <v>0</v>
      </c>
      <c r="G19" s="165">
        <f>E20*G20+E21*G21-0.05</f>
        <v>27133.87</v>
      </c>
    </row>
    <row r="20" spans="1:7" ht="11.25" customHeight="1">
      <c r="A20" s="166" t="s">
        <v>91</v>
      </c>
      <c r="B20" s="139">
        <v>90779</v>
      </c>
      <c r="C20" s="172" t="s">
        <v>109</v>
      </c>
      <c r="D20" s="138" t="s">
        <v>77</v>
      </c>
      <c r="E20" s="139">
        <f>16*4</f>
        <v>64</v>
      </c>
      <c r="F20" s="140">
        <f ca="1">IF(ISNUMBER($J20),VALUE(OFFSET([2]Banco!$A$1,[2]Composições!$L51-1,COLUMN([2]Composições!H51)-4)),0)</f>
        <v>0</v>
      </c>
      <c r="G20" s="148">
        <v>169.23</v>
      </c>
    </row>
    <row r="21" spans="1:7" ht="11.25" customHeight="1">
      <c r="A21" s="166" t="s">
        <v>91</v>
      </c>
      <c r="B21" s="137">
        <v>90776</v>
      </c>
      <c r="C21" s="172" t="s">
        <v>110</v>
      </c>
      <c r="D21" s="138" t="s">
        <v>77</v>
      </c>
      <c r="E21" s="139">
        <f>60*4</f>
        <v>240</v>
      </c>
      <c r="F21" s="140">
        <f ca="1">IF(ISNUMBER($J21),VALUE(OFFSET([2]Banco!$A$1,[2]Composições!$L46-1,COLUMN([2]Composições!H46)-4)),0)</f>
        <v>0</v>
      </c>
      <c r="G21" s="148">
        <v>67.930000000000007</v>
      </c>
    </row>
    <row r="22" spans="1:7" ht="11.25" customHeight="1">
      <c r="A22" s="144"/>
      <c r="G22" s="97"/>
    </row>
    <row r="23" spans="1:7" ht="11.25" customHeight="1">
      <c r="A23" s="144"/>
      <c r="G23" s="97"/>
    </row>
    <row r="24" spans="1:7">
      <c r="A24" s="144"/>
      <c r="G24" s="97"/>
    </row>
    <row r="25" spans="1:7">
      <c r="A25" s="476" t="s">
        <v>74</v>
      </c>
      <c r="B25" s="461"/>
      <c r="C25" s="461"/>
      <c r="D25" s="461"/>
      <c r="E25" s="461"/>
      <c r="F25" s="461"/>
      <c r="G25" s="462"/>
    </row>
    <row r="26" spans="1:7">
      <c r="A26" s="477" t="s">
        <v>158</v>
      </c>
      <c r="B26" s="478"/>
      <c r="C26" s="478"/>
      <c r="D26" s="478"/>
      <c r="E26" s="478"/>
      <c r="F26" s="478"/>
      <c r="G26" s="479"/>
    </row>
    <row r="27" spans="1:7">
      <c r="A27" s="477" t="s">
        <v>159</v>
      </c>
      <c r="B27" s="478"/>
      <c r="C27" s="478"/>
      <c r="D27" s="478"/>
      <c r="E27" s="478"/>
      <c r="F27" s="478"/>
      <c r="G27" s="479"/>
    </row>
    <row r="28" spans="1:7">
      <c r="A28" s="144"/>
      <c r="G28" s="97"/>
    </row>
    <row r="29" spans="1:7">
      <c r="A29" s="144"/>
      <c r="G29" s="97"/>
    </row>
    <row r="30" spans="1:7">
      <c r="A30" s="145"/>
      <c r="B30" s="99"/>
      <c r="C30" s="99"/>
      <c r="D30" s="99"/>
      <c r="E30" s="99"/>
      <c r="F30" s="99"/>
      <c r="G30" s="100"/>
    </row>
  </sheetData>
  <mergeCells count="8">
    <mergeCell ref="A1:G3"/>
    <mergeCell ref="A25:G25"/>
    <mergeCell ref="A26:G26"/>
    <mergeCell ref="A27:G27"/>
    <mergeCell ref="A9:G9"/>
    <mergeCell ref="A4:G4"/>
    <mergeCell ref="A5:G5"/>
    <mergeCell ref="A6:G6"/>
  </mergeCells>
  <phoneticPr fontId="62" type="noConversion"/>
  <pageMargins left="0.23622047244094491" right="0.23622047244094491" top="0.74803149606299213" bottom="0.74803149606299213" header="0.31496062992125984" footer="0.31496062992125984"/>
  <pageSetup paperSize="9" scale="95" orientation="portrait" blackAndWhite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7</vt:i4>
      </vt:variant>
    </vt:vector>
  </HeadingPairs>
  <TitlesOfParts>
    <vt:vector size="13" baseType="lpstr">
      <vt:lpstr>Planilha Orcamentária</vt:lpstr>
      <vt:lpstr>Memória de Cálculo</vt:lpstr>
      <vt:lpstr>Memória Meio fio</vt:lpstr>
      <vt:lpstr>Cronograma</vt:lpstr>
      <vt:lpstr>BDI</vt:lpstr>
      <vt:lpstr>Composição</vt:lpstr>
      <vt:lpstr>BDI!Area_de_impressao</vt:lpstr>
      <vt:lpstr>Cronograma!Area_de_impressao</vt:lpstr>
      <vt:lpstr>'Memória de Cálculo'!Area_de_impressao</vt:lpstr>
      <vt:lpstr>'Planilha Orcamentária'!Area_de_impressao</vt:lpstr>
      <vt:lpstr>Composição!Titulos_de_impressao</vt:lpstr>
      <vt:lpstr>'Memória de Cálculo'!Titulos_de_impressao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Claudemir Máximo</cp:lastModifiedBy>
  <cp:lastPrinted>2025-11-30T21:38:11Z</cp:lastPrinted>
  <dcterms:created xsi:type="dcterms:W3CDTF">2006-09-22T13:55:22Z</dcterms:created>
  <dcterms:modified xsi:type="dcterms:W3CDTF">2025-12-05T17:47:08Z</dcterms:modified>
</cp:coreProperties>
</file>