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Licitacao\arquivos\LICITAÇÃO\2025\CONCORRÊNCIA\PRC 200-2025 - CONCORRENCIA 017-2025 - CONTRATAÇÃO DE MÃO DE OBRA PARA EXECUÇÃO DE PONTE NO B.JESUS RIO PRETO\"/>
    </mc:Choice>
  </mc:AlternateContent>
  <xr:revisionPtr revIDLastSave="0" documentId="13_ncr:1_{D4F97A0F-CB7A-4F57-8A52-FB664112FACE}" xr6:coauthVersionLast="47" xr6:coauthVersionMax="47" xr10:uidLastSave="{00000000-0000-0000-0000-000000000000}"/>
  <bookViews>
    <workbookView xWindow="-120" yWindow="-120" windowWidth="20730" windowHeight="11160" activeTab="4" xr2:uid="{00000000-000D-0000-FFFF-FFFF00000000}"/>
  </bookViews>
  <sheets>
    <sheet name="Planilha Orcamentária" sheetId="5" r:id="rId1"/>
    <sheet name="Memória de Cálculo" sheetId="13" r:id="rId2"/>
    <sheet name="calculos" sheetId="17" r:id="rId3"/>
    <sheet name="Cronograma" sheetId="10" r:id="rId4"/>
    <sheet name="BDI" sheetId="15" r:id="rId5"/>
    <sheet name="Composição" sheetId="16" r:id="rId6"/>
  </sheets>
  <externalReferences>
    <externalReference r:id="rId7"/>
  </externalReferences>
  <definedNames>
    <definedName name="___sub1">#REF!</definedName>
    <definedName name="___sub2">#REF!</definedName>
    <definedName name="___sub3">#REF!</definedName>
    <definedName name="_xlnm._FilterDatabase" localSheetId="0" hidden="1">'Planilha Orcamentária'!$C$10:$C$28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4">BDI!$A$1:$F$45</definedName>
    <definedName name="_xlnm.Print_Area" localSheetId="3">Cronograma!$A$1:$H$25</definedName>
    <definedName name="_xlnm.Print_Area" localSheetId="1">'Memória de Cálculo'!$A$1:$E$41</definedName>
    <definedName name="_xlnm.Print_Area" localSheetId="0">'Planilha Orcamentária'!$A$1:$I$47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ORÇAMENTO.BancoRef" hidden="1">'Planilha Orcamentária'!$G$8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REFERENCIA.Descricao" hidden="1">IF(ISNUMBER('Planilha Orcamentária'!$AG1),OFFSET(INDIRECT(ORÇAMENTO.BancoRef),'Planilha Orcamentária'!$AG1-1,3,1),'Planilha Orcamentária'!$AG1)</definedName>
    <definedName name="REFERENCIA.Unidade" hidden="1">IF(ISNUMBER('Planilha Orcamentária'!$AG1),OFFSET(INDIRECT(ORÇAMENTO.BancoRef),'Planilha Orcamentária'!$AG1-1,4,1),"-")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5">Composição!$1:$10</definedName>
    <definedName name="_xlnm.Print_Titles" localSheetId="1">'Memória de Cálculo'!$1:$7</definedName>
    <definedName name="_xlnm.Print_Titles" localSheetId="0">'Planilha Orcamentária'!$1:$9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3" hidden="1">Cronograma!$A$1:$H$25</definedName>
    <definedName name="Z_46B44D95_2370_4419_BD85_88291A251F92_.wvu.PrintArea" localSheetId="1" hidden="1">'Memória de Cálculo'!$A$1:$E$23</definedName>
    <definedName name="Z_46B44D95_2370_4419_BD85_88291A251F92_.wvu.PrintArea" localSheetId="0" hidden="1">'Planilha Orcamentária'!$A$1:$I$47</definedName>
    <definedName name="Z_46B44D95_2370_4419_BD85_88291A251F92_.wvu.PrintTitles" localSheetId="1" hidden="1">'Memória de Cálculo'!$1:$7</definedName>
    <definedName name="Z_46B44D95_2370_4419_BD85_88291A251F92_.wvu.PrintTitles" localSheetId="0" hidden="1">'Planilha Orcamentária'!$1:$9</definedName>
  </definedNames>
  <calcPr calcId="181029"/>
  <customWorkbookViews>
    <customWorkbookView name="Observações" guid="{46B44D95-2370-4419-BD85-88291A251F92}" maximized="1" xWindow="-8" yWindow="-8" windowWidth="1382" windowHeight="744" activeSheetId="5"/>
  </customWorkbookViews>
</workbook>
</file>

<file path=xl/calcChain.xml><?xml version="1.0" encoding="utf-8"?>
<calcChain xmlns="http://schemas.openxmlformats.org/spreadsheetml/2006/main">
  <c r="D27" i="13" l="1"/>
  <c r="F29" i="5" s="1"/>
  <c r="D24" i="13"/>
  <c r="D23" i="13"/>
  <c r="D18" i="13"/>
  <c r="D17" i="13"/>
  <c r="D16" i="13"/>
  <c r="A6" i="16"/>
  <c r="A5" i="16"/>
  <c r="A4" i="16"/>
  <c r="F30" i="5"/>
  <c r="D28" i="13"/>
  <c r="C27" i="13"/>
  <c r="C28" i="13"/>
  <c r="B27" i="13"/>
  <c r="B28" i="13"/>
  <c r="A27" i="13"/>
  <c r="A28" i="13"/>
  <c r="H29" i="5"/>
  <c r="D30" i="5"/>
  <c r="F29" i="16"/>
  <c r="G30" i="5" s="1"/>
  <c r="H30" i="5" s="1"/>
  <c r="D27" i="5"/>
  <c r="D28" i="5"/>
  <c r="F12" i="16"/>
  <c r="G27" i="5" s="1"/>
  <c r="F22" i="16"/>
  <c r="G28" i="5" s="1"/>
  <c r="I29" i="5" l="1"/>
  <c r="I30" i="5"/>
  <c r="F21" i="5"/>
  <c r="F22" i="5"/>
  <c r="F23" i="5"/>
  <c r="F19" i="5"/>
  <c r="F18" i="5"/>
  <c r="G20" i="16"/>
  <c r="G19" i="16"/>
  <c r="F18" i="16"/>
  <c r="G14" i="5" s="1"/>
  <c r="L5" i="17"/>
  <c r="J5" i="17"/>
  <c r="D37" i="17"/>
  <c r="D35" i="17" s="1"/>
  <c r="F35" i="17" s="1"/>
  <c r="D32" i="17"/>
  <c r="D31" i="17"/>
  <c r="F20" i="17"/>
  <c r="D20" i="17"/>
  <c r="D23" i="17"/>
  <c r="D24" i="17"/>
  <c r="D25" i="17"/>
  <c r="D22" i="17"/>
  <c r="D16" i="17"/>
  <c r="D14" i="17" s="1"/>
  <c r="J6" i="17" s="1"/>
  <c r="L6" i="17" s="1"/>
  <c r="D12" i="17"/>
  <c r="D10" i="17" s="1"/>
  <c r="J7" i="17" s="1"/>
  <c r="L7" i="17" s="1"/>
  <c r="D6" i="17"/>
  <c r="D5" i="17"/>
  <c r="D3" i="17" s="1"/>
  <c r="J8" i="17" s="1"/>
  <c r="L8" i="17" s="1"/>
  <c r="F24" i="5" s="1"/>
  <c r="D25" i="13"/>
  <c r="F27" i="5" s="1"/>
  <c r="F20" i="5"/>
  <c r="F25" i="5"/>
  <c r="F28" i="5"/>
  <c r="F17" i="5"/>
  <c r="B10" i="13"/>
  <c r="B11" i="13"/>
  <c r="A10" i="13"/>
  <c r="A11" i="13"/>
  <c r="C16" i="13"/>
  <c r="C17" i="13"/>
  <c r="C18" i="13"/>
  <c r="C19" i="13"/>
  <c r="C20" i="13"/>
  <c r="C21" i="13"/>
  <c r="C22" i="13"/>
  <c r="C23" i="13"/>
  <c r="C24" i="13"/>
  <c r="C25" i="13"/>
  <c r="C26" i="13"/>
  <c r="B16" i="13"/>
  <c r="B17" i="13"/>
  <c r="B18" i="13"/>
  <c r="B19" i="13"/>
  <c r="B20" i="13"/>
  <c r="B21" i="13"/>
  <c r="B22" i="13"/>
  <c r="B23" i="13"/>
  <c r="B24" i="13"/>
  <c r="B25" i="13"/>
  <c r="B26" i="13"/>
  <c r="A26" i="13"/>
  <c r="A16" i="13"/>
  <c r="A17" i="13"/>
  <c r="A18" i="13"/>
  <c r="A19" i="13"/>
  <c r="A20" i="13"/>
  <c r="A21" i="13"/>
  <c r="A22" i="13"/>
  <c r="A23" i="13"/>
  <c r="A24" i="13"/>
  <c r="A25" i="13"/>
  <c r="H22" i="5"/>
  <c r="H23" i="5"/>
  <c r="I23" i="5" s="1"/>
  <c r="H18" i="5"/>
  <c r="F26" i="5" l="1"/>
  <c r="I22" i="5"/>
  <c r="D29" i="17"/>
  <c r="F29" i="17" s="1"/>
  <c r="I18" i="5"/>
  <c r="H28" i="5" l="1"/>
  <c r="I28" i="5" s="1"/>
  <c r="A9" i="10"/>
  <c r="B9" i="10"/>
  <c r="H13" i="5"/>
  <c r="C14" i="5" l="1"/>
  <c r="H14" i="5" l="1"/>
  <c r="B7" i="16"/>
  <c r="D25" i="15"/>
  <c r="D19" i="15"/>
  <c r="D18" i="15"/>
  <c r="D17" i="15"/>
  <c r="D16" i="15"/>
  <c r="D15" i="15"/>
  <c r="D14" i="15"/>
  <c r="D13" i="15"/>
  <c r="D12" i="15"/>
  <c r="B7" i="15"/>
  <c r="B11" i="10"/>
  <c r="A11" i="10"/>
  <c r="B7" i="10"/>
  <c r="A7" i="10"/>
  <c r="A5" i="10"/>
  <c r="A4" i="10"/>
  <c r="G3" i="10"/>
  <c r="A3" i="10"/>
  <c r="A29" i="13"/>
  <c r="G15" i="13"/>
  <c r="C15" i="13"/>
  <c r="B15" i="13"/>
  <c r="A15" i="13"/>
  <c r="C14" i="13"/>
  <c r="B14" i="13"/>
  <c r="A14" i="13"/>
  <c r="C13" i="13"/>
  <c r="B13" i="13"/>
  <c r="A13" i="13"/>
  <c r="B12" i="13"/>
  <c r="A12" i="13"/>
  <c r="C9" i="13"/>
  <c r="B9" i="13"/>
  <c r="A9" i="13"/>
  <c r="B8" i="13"/>
  <c r="A8" i="13"/>
  <c r="E5" i="13"/>
  <c r="A5" i="13"/>
  <c r="A4" i="13"/>
  <c r="H27" i="5"/>
  <c r="H26" i="5"/>
  <c r="H25" i="5"/>
  <c r="H24" i="5"/>
  <c r="H21" i="5"/>
  <c r="H20" i="5"/>
  <c r="H19" i="5"/>
  <c r="H17" i="5"/>
  <c r="H16" i="5"/>
  <c r="F16" i="5"/>
  <c r="F15" i="5"/>
  <c r="F14" i="5"/>
  <c r="H11" i="5"/>
  <c r="F11" i="5"/>
  <c r="H10" i="5"/>
  <c r="H4" i="5"/>
  <c r="I27" i="5" l="1"/>
  <c r="I20" i="5"/>
  <c r="I19" i="5"/>
  <c r="I21" i="5"/>
  <c r="I26" i="5"/>
  <c r="I14" i="5"/>
  <c r="I13" i="5" s="1"/>
  <c r="D10" i="10" s="1"/>
  <c r="I17" i="5"/>
  <c r="I25" i="5"/>
  <c r="I11" i="5"/>
  <c r="I10" i="5" s="1"/>
  <c r="I24" i="5"/>
  <c r="I16" i="5" l="1"/>
  <c r="E10" i="10"/>
  <c r="F10" i="10"/>
  <c r="D8" i="10"/>
  <c r="E8" i="10" s="1"/>
  <c r="D12" i="10" l="1"/>
  <c r="I32" i="5"/>
  <c r="F8" i="10"/>
  <c r="F12" i="10" l="1"/>
  <c r="F14" i="10" s="1"/>
  <c r="E12" i="10"/>
  <c r="E14" i="10" s="1"/>
  <c r="G9" i="13"/>
  <c r="D14" i="10"/>
  <c r="D9" i="10" s="1"/>
  <c r="I15" i="10" l="1"/>
  <c r="D7" i="10"/>
  <c r="E13" i="10"/>
  <c r="D11" i="10"/>
  <c r="F13" i="10"/>
  <c r="D3" i="10"/>
  <c r="D13" i="10" l="1"/>
  <c r="I14" i="10"/>
</calcChain>
</file>

<file path=xl/sharedStrings.xml><?xml version="1.0" encoding="utf-8"?>
<sst xmlns="http://schemas.openxmlformats.org/spreadsheetml/2006/main" count="296" uniqueCount="189">
  <si>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</si>
  <si>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</si>
  <si>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</si>
  <si>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</si>
  <si>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</si>
  <si>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</si>
  <si>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</si>
  <si>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M2</t>
  </si>
  <si>
    <t>1.1</t>
  </si>
  <si>
    <t>M3</t>
  </si>
  <si>
    <t>M</t>
  </si>
  <si>
    <t>CRONOGRAMA FÍSICO-FINANCEIRO</t>
  </si>
  <si>
    <t>ETAPAS/DESCRIÇÃO</t>
  </si>
  <si>
    <t>FÍSICO/ FINANCEIRO</t>
  </si>
  <si>
    <t>TOTAL  ETAPAS</t>
  </si>
  <si>
    <t>Físico %</t>
  </si>
  <si>
    <t>Financeiro</t>
  </si>
  <si>
    <t>Observações:</t>
  </si>
  <si>
    <t>(    )</t>
  </si>
  <si>
    <t>DATA:</t>
  </si>
  <si>
    <t>VALOR DO CONVÊNIO:</t>
  </si>
  <si>
    <t>1.0</t>
  </si>
  <si>
    <t>MEMÓRIA DE CÁLCULO DE QUANTITATIVOS</t>
  </si>
  <si>
    <t>% ISS MUNICIPAL: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</si>
  <si>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</si>
  <si>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</si>
  <si>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</si>
  <si>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</si>
  <si>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</si>
  <si>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</si>
  <si>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01/01.</t>
  </si>
  <si>
    <t>( X )</t>
  </si>
  <si>
    <t>VALOR TOTAL DA OBRA</t>
  </si>
  <si>
    <t>FÓRMULA DO CÁLCULO</t>
  </si>
  <si>
    <t>COMPOSIÇÃO/DEMONSTRATIVO DE BDI - EM ANEXO</t>
  </si>
  <si>
    <t>ITENS</t>
  </si>
  <si>
    <r>
      <rPr>
        <u/>
        <sz val="10"/>
        <color rgb="FFFF0000"/>
        <rFont val="Arial Nova"/>
        <family val="2"/>
      </rPr>
      <t>Observações</t>
    </r>
    <r>
      <rPr>
        <sz val="10"/>
        <color rgb="FFFF0000"/>
        <rFont val="Arial Nova"/>
        <family val="2"/>
      </rPr>
      <t xml:space="preserve">: Os textos destacados na cor vermelho deverão ser preenchidos e revisados de acordo com a aplicabilidade de cada obra, no tocante à: 
</t>
    </r>
    <r>
      <rPr>
        <u/>
        <sz val="10"/>
        <color rgb="FFFF0000"/>
        <rFont val="Arial Nova"/>
        <family val="2"/>
      </rPr>
      <t>região da Tabela de Referencial de Preços Unitários a ser adotada; percentuais de ISS e dos parâmetros adotados no demonstrativo/composição BDI a ser apresentado pelo(a) Responsável Técnico(a) do Município dos quais deverão estar em conformidade com os critérios vigentes e aplicáveis; quantitativos; preços vigentes da Tabela Referencial de Preços Unitários e demais informações pertinentes aos serviços para execução das obras.</t>
    </r>
  </si>
  <si>
    <r>
      <t xml:space="preserve">FOLHA N </t>
    </r>
    <r>
      <rPr>
        <b/>
        <sz val="8"/>
        <rFont val="Calibri"/>
        <family val="2"/>
        <scheme val="minor"/>
      </rPr>
      <t>º</t>
    </r>
    <r>
      <rPr>
        <b/>
        <sz val="8"/>
        <rFont val="Arial Nova"/>
        <family val="2"/>
      </rPr>
      <t xml:space="preserve">: </t>
    </r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</si>
  <si>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</si>
  <si>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t>MÊS 1</t>
  </si>
  <si>
    <t>MÊS 2</t>
  </si>
  <si>
    <t>DETALHAMENTO DE BDI</t>
  </si>
  <si>
    <t xml:space="preserve">ITEM COMPONENTE DO BDI </t>
  </si>
  <si>
    <t>%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</si>
  <si>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</si>
  <si>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</si>
  <si>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</si>
  <si>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</si>
  <si>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</si>
  <si>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</si>
  <si>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</si>
  <si>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</si>
  <si>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</si>
  <si>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</si>
  <si>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Tibutos ( Impostos COFINS, 3% E PIS 0,65)</t>
  </si>
  <si>
    <t>CP</t>
  </si>
  <si>
    <t xml:space="preserve">Tributos (ISS, variável de acordo com o município)  </t>
  </si>
  <si>
    <t>ISS</t>
  </si>
  <si>
    <t>Tributos (Contribuição Previdenciária - 0% ou 4,5%, conforme Lei 12.844/2013 - Desoneração)</t>
  </si>
  <si>
    <t>CPRB</t>
  </si>
  <si>
    <t>BDI = [((1+AC + DF+RE+GA)*(1+DF)*(1+L)) /(1-CP-ISS-CPRB)]-1</t>
  </si>
  <si>
    <t>BDI=</t>
  </si>
  <si>
    <t>COMPOSIÇÃO</t>
  </si>
  <si>
    <t>001</t>
  </si>
  <si>
    <t xml:space="preserve">QUADRO DE COMPOSIÇÕES </t>
  </si>
  <si>
    <t>_________________________________</t>
  </si>
  <si>
    <t>3.1</t>
  </si>
  <si>
    <t>3.2</t>
  </si>
  <si>
    <t>HORA</t>
  </si>
  <si>
    <r>
      <rPr>
        <b/>
        <sz val="8"/>
        <rFont val="Arial Nova"/>
        <family val="2"/>
      </rPr>
      <t>DATA:</t>
    </r>
    <r>
      <rPr>
        <sz val="10"/>
        <rFont val="Arial Nova"/>
        <family val="2"/>
      </rPr>
      <t xml:space="preserve"> </t>
    </r>
  </si>
  <si>
    <t>TOTAL:</t>
  </si>
  <si>
    <t>MUNICIPIO:  INHAPIM/MG - CEP: 35330-000</t>
  </si>
  <si>
    <t>002</t>
  </si>
  <si>
    <t>SINAPI</t>
  </si>
  <si>
    <t>KG</t>
  </si>
  <si>
    <t>FORNECIMENTO E INSTALAÇÃO DE PLACA DE OBRA COM CHAPA GALVANIZADA E ESTRUTURA DE MADEIRA. AF_03/2022_PS</t>
  </si>
  <si>
    <t xml:space="preserve">SERVIÇOS PRELIMINARES </t>
  </si>
  <si>
    <t>_______________________________                
CLAUDEMIR MÁXIMO DE SOUSA                     
Engenheiro Civil                                 
Crea-MG 174.203/D</t>
  </si>
  <si>
    <t>ENGENHEIRO CIVIL DE OBRA SENIOR COM ENCARGOS COMPLEMENTARES</t>
  </si>
  <si>
    <t>ENCARREGADO GERAL DE OBRAS COM ENCARGOS COMPLEMENTARES</t>
  </si>
  <si>
    <t>SICRO</t>
  </si>
  <si>
    <t>ADMINISTRAÇÃO LOCAL</t>
  </si>
  <si>
    <t>1.2</t>
  </si>
  <si>
    <t>conforme composição de custos</t>
  </si>
  <si>
    <t>Claudemir Máximo de Sousa</t>
  </si>
  <si>
    <r>
      <t>CREA/MG N</t>
    </r>
    <r>
      <rPr>
        <sz val="9"/>
        <color theme="1"/>
        <rFont val="Calibri"/>
        <family val="2"/>
        <scheme val="minor"/>
      </rPr>
      <t>º</t>
    </r>
    <r>
      <rPr>
        <sz val="9"/>
        <color theme="1"/>
        <rFont val="Arial Nova"/>
        <family val="2"/>
      </rPr>
      <t>: MG 174.203/D</t>
    </r>
  </si>
  <si>
    <t>2.0</t>
  </si>
  <si>
    <r>
      <rPr>
        <b/>
        <sz val="8"/>
        <color theme="1"/>
        <rFont val="Arial Nova"/>
        <family val="2"/>
      </rPr>
      <t>REGIÃO/MÊS DE REFERÊNCIA:</t>
    </r>
    <r>
      <rPr>
        <sz val="8"/>
        <color theme="1"/>
        <rFont val="Arial Nova"/>
        <family val="2"/>
      </rPr>
      <t xml:space="preserve"> SINAPI 08/2025 - SEM DESONERAÇÃO / SICRO MG 07/2025</t>
    </r>
  </si>
  <si>
    <t>ENROCAMENTO DE PEDRA ESPALHADA E COMPACTADA MECANICAMENTE - PEDRA DE MÃO COMERCIAL - FORNECIMENTO E ASSENTAMENTO</t>
  </si>
  <si>
    <t>TxKM</t>
  </si>
  <si>
    <t>CHP</t>
  </si>
  <si>
    <t>COTAÇÃO</t>
  </si>
  <si>
    <t>ESCAVAÇÃO MECANIZADA PARA BLOCO DE COROAMENTO OU SAPATA COM RETROESCAVADEIRA (INCLUINDO ESCAVAÇÃO PARA COLOCAÇÃO DE FÔRMAS). AF_01/2024</t>
  </si>
  <si>
    <t>FABRICAÇÃO DE FÔRMA PARA PILARES E ESTRUTURAS SIMILARES, EM CHAPA DE MADEIRA COMPENSADA PLASTIFICADA, E = 18 MM. AF_09/2020</t>
  </si>
  <si>
    <t>CONCRETO FCK = 25MPA, TRAÇO 1:2,3:2,7 (EM MASSA SECA DE CIMENTO/ AREIA MÉDIA/ BRITA 1) - PREPARO MECÂNICO COM BETONEIRA 400 L. AF_05/2021</t>
  </si>
  <si>
    <t>ARMAÇÃO DE ESTRUTURAS DIVERSAS DE CONCRETO ARMADO, EXCETO VIGAS, PILARES, LAJES E FUNDAÇÕES, UTILIZANDO AÇO CA-50 DE 10,0 MM - MONTAGEM. AF_06/2022</t>
  </si>
  <si>
    <t>ARMAÇÃO DE ESTRUTURAS DIVERSAS DE CONCRETO ARMADO, EXCETO VIGAS, PILARES, LAJES E FUNDAÇÕES, UTILIZANDO AÇO CA-60 DE 5,0 MM - MONTAGEM. AF_06/2022</t>
  </si>
  <si>
    <t>ESCAVADEIRA HIDRÁULICA SOBRE ESTEIRAS, CAÇAMBA 1,20 M3, PESO OPERACIONAL 21 T, POTÊNCIA BRUTA 155 HP - CHP DIURNO. AF_06/2014</t>
  </si>
  <si>
    <t>LOCAÇÃO COM CAVALETE COM ALTURA DE 0,50 M - 2 UTILIZAÇÕES. AF_03/2024</t>
  </si>
  <si>
    <t>um</t>
  </si>
  <si>
    <t>ARMAÇÃO DE ESTRUTURAS DIVERSAS DE CONCRETO ARMADO, EXCETO VIGAS, PILARES, LAJES E FUNDAÇÕES, UTILIZANDO AÇO CA-50 DE 8,0 MM - MONTAGEM. AF_06/2022</t>
  </si>
  <si>
    <t>ARMAÇÃO DE ESTRUTURAS DIVERSAS DE CONCRETO ARMADO, EXCETO VIGAS, PILARES, LAJES E FUNDAÇÕES, UTILIZANDO AÇO CA-50 DE 6,3 MM - MONTAGEM. AF_06/2022</t>
  </si>
  <si>
    <t>TRANSPORTE COM CAMINHÃO BASCULANTE DE 18 M³, EM VIA URBANA EM LEITO NATURAL (UNIDADE: TXKM). AF_07/2020</t>
  </si>
  <si>
    <t xml:space="preserve"> 8 unidades</t>
  </si>
  <si>
    <t>diâmetro</t>
  </si>
  <si>
    <t>5.0</t>
  </si>
  <si>
    <t>Lastro de concreto armado</t>
  </si>
  <si>
    <t>qunt</t>
  </si>
  <si>
    <t>tamanho</t>
  </si>
  <si>
    <t>total</t>
  </si>
  <si>
    <t xml:space="preserve">Laje </t>
  </si>
  <si>
    <t>6.3</t>
  </si>
  <si>
    <t>8.0</t>
  </si>
  <si>
    <t>repetições</t>
  </si>
  <si>
    <t>Sapata</t>
  </si>
  <si>
    <t>10.0</t>
  </si>
  <si>
    <t>quantidade de alas</t>
  </si>
  <si>
    <t>Alas</t>
  </si>
  <si>
    <t>N alas</t>
  </si>
  <si>
    <t/>
  </si>
  <si>
    <t>peso/m</t>
  </si>
  <si>
    <t>3.0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</si>
  <si>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</si>
  <si>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</si>
  <si>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</si>
  <si>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</si>
  <si>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</si>
  <si>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</si>
  <si>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</si>
  <si>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</si>
  <si>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</si>
  <si>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3.13</t>
  </si>
  <si>
    <t>ESTACA DE MADEIRA ROLIÇA EM EUCALIPTO TRATADO, DIÂMETRO DE 18 A 20 CM. AF_03/2024</t>
  </si>
  <si>
    <t>PONTE EM ADUELA</t>
  </si>
  <si>
    <t>Dimensões = 3,00 x 1,5 = 4,50m²</t>
  </si>
  <si>
    <t>Conforme projeto</t>
  </si>
  <si>
    <t>conforme projeto</t>
  </si>
  <si>
    <t>SERVENTE COM ENCARGOS COMPLEMENTARES</t>
  </si>
  <si>
    <t>h</t>
  </si>
  <si>
    <t>PEDREIRO COM ENCARGOS COMPLEMENTARES</t>
  </si>
  <si>
    <t>H</t>
  </si>
  <si>
    <t>ARGAMASSA TRAÇO 1:0,5:4,5 (EM VOLUME DE CIMENTO, CAL E AREIA MÉDIA ÚMIDA), PREPARO MECÂNICO COM BETONEIRA 600 L. AF_08/2019</t>
  </si>
  <si>
    <t>ESTACA DE MADEIRA ROLIÇA EM EUCALIPTO TRATADO, DIÂMETRO DE 18 A 20 CM. INCLUSIVE IÇAMENTO E CRAVAÇÃO COM ESCAVADEIRA HIDRÁULICA</t>
  </si>
  <si>
    <t>003</t>
  </si>
  <si>
    <t>ADUELA DE CONCRETO 2,30x2,30x1,00 ARMADA, MEDIDAS INTERNAS 2,00x2,00 m</t>
  </si>
  <si>
    <t>UM</t>
  </si>
  <si>
    <t>0001</t>
  </si>
  <si>
    <t>UN</t>
  </si>
  <si>
    <t>ADUELA DE CONCRETO 2,30x2,30x1,00 ARMADA, INCLUSIVE, EXECUÇÃO , IÇAMENTO E REJUNTAMENTO DA PEÇA.</t>
  </si>
  <si>
    <t>ADMINISTAÇÃO LOCAL</t>
  </si>
  <si>
    <t>0003</t>
  </si>
  <si>
    <t>PMI</t>
  </si>
  <si>
    <t>004</t>
  </si>
  <si>
    <t>GUARDA CORPO EM TUBO DE AÇO GALVANIZADO DIÂMETRO 3" ALTURA 1,10 M , INCLUSO PINTURA EM ZARCÃO E DUAS DEMÃOS DE PINTURA ESMALTE</t>
  </si>
  <si>
    <t>SINAPI-I</t>
  </si>
  <si>
    <t>88251</t>
  </si>
  <si>
    <t>88315</t>
  </si>
  <si>
    <t>11002</t>
  </si>
  <si>
    <t>100720</t>
  </si>
  <si>
    <t>100724</t>
  </si>
  <si>
    <t>546</t>
  </si>
  <si>
    <t>AUXILIAR DE SERRALHEIRO COM ENCARGOS COMPLEMENTARES</t>
  </si>
  <si>
    <t>SERRALHEIRO COM ENCARGOS COMPLEMENTARES</t>
  </si>
  <si>
    <t xml:space="preserve">ELETRODO REVESTIDO AWS - E6013, DIAMETRO IGUAL A 2,50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</si>
  <si>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PINTURA COM TINTA ALQUÍDICA DE FUNDO (TIPO ZARCÃO) APLICADA A ROLO OU PINCEL SOBRE PERFIL METÁLICO EXECUTADO EM FÁBRICA (POR DEMÃO). AF_01/2020</t>
  </si>
  <si>
    <t>PINTURA COM TINTA ALQUÍDICA DE FUNDO E ACABAMENTO (ESMALTE SINTÉTICO GRAFITE) APLICADA A ROLO OU PINCEL SOBRE PERFIL METÁLICO EXECUTADO EM FÁBRICA (POR DEMÃO). AF_01/2020</t>
  </si>
  <si>
    <t xml:space="preserve">BARRA DE ACO CHATA, RETANGULAR (QUALQUER BITOLA)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</si>
  <si>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KG    </t>
  </si>
  <si>
    <t>3.14</t>
  </si>
  <si>
    <t>3.15</t>
  </si>
  <si>
    <t>0004</t>
  </si>
  <si>
    <t>TUBO ACO CARBONO COM COSTURA, NBR 5580, CLASSE L, DN = 80 MM, E = 3,35 MM, 7,07 KG/M</t>
  </si>
  <si>
    <t>TRANSPORTE COM CAMINHÃO CARROCERIA COM GUINDAUTO (MUNCK), MOMENTO MÁXIMO DE CARGA 11,7 TM, EM VIA URBANA PAVIMENTADA, DMT ATÉ 30KM (UNIDADE: TXKM). AF_07/2020</t>
  </si>
  <si>
    <t>TXKM</t>
  </si>
  <si>
    <t xml:space="preserve"> tamanho x nº de estaca x nº de alas
4*2*4 = 32m</t>
  </si>
  <si>
    <t>Somatório do Guarda corpo
(2,3+3,0+3,0)*2 = 16,60</t>
  </si>
  <si>
    <t>PREVISÃO DE EXECUÇÃO DAS OBRAS: 2 MESES</t>
  </si>
  <si>
    <r>
      <rPr>
        <b/>
        <sz val="8"/>
        <color theme="1"/>
        <rFont val="Arial Nova"/>
        <family val="2"/>
      </rPr>
      <t>OBRA:</t>
    </r>
    <r>
      <rPr>
        <sz val="8"/>
        <color theme="1"/>
        <rFont val="Arial Nova"/>
        <family val="2"/>
      </rPr>
      <t xml:space="preserve"> CONSTRUÇÃO DE PONTE EM ADUELAS DE CONCRETO</t>
    </r>
  </si>
  <si>
    <t>PREFEITURA MUNICIPAL DE INHAPIM - MG</t>
  </si>
  <si>
    <t>Escavação da enrocamento ( acrescimo de 25%) + escavação das Alas.
7,00 * 5,60 * 0,80*1,25 + 3*1,2*0,5*4 = 28,20</t>
  </si>
  <si>
    <t>Forma das alas + forma do Lastro+ forma da Laje.
(3*3,7*2+0,5*1,2+2,5*0,3)*4+(5,00+4,60+5+4,60)*0,15+(5,00+4,60+5,00+4,60)*0,2 = 99,31m²</t>
  </si>
  <si>
    <t>Concreto das Alas + Concreto do Lastro + Concreto da laje
(0,50 * 1,20 + 0,30 * 2,50)*4 + 5,00*4,60*0,15 + 5,00*4,60*0,20 = 9,43 m³</t>
  </si>
  <si>
    <t>Volume do enrocamento
7,00 * 3,30 * 0,50 = 19,60</t>
  </si>
  <si>
    <t>Volume do enrocamento x peso específico * distância
19,60 * 1,50 * 66 = 1352,40</t>
  </si>
  <si>
    <t>5*2 = 10 Unidades</t>
  </si>
  <si>
    <t>peso das aduelas * distância.
(2,3+2,3+2+2)*0,15*10* 2,4 * 110 = 3405,60</t>
  </si>
  <si>
    <r>
      <rPr>
        <b/>
        <sz val="8"/>
        <color theme="1"/>
        <rFont val="Arial Nova"/>
        <family val="2"/>
      </rPr>
      <t>LOCAL:</t>
    </r>
    <r>
      <rPr>
        <sz val="8"/>
        <color theme="1"/>
        <rFont val="Arial Nova"/>
        <family val="2"/>
      </rPr>
      <t xml:space="preserve">  ESTRADA PRINCIPAL, PRÓXIMA À - BOM JESUS DO RIO PRETO</t>
    </r>
  </si>
  <si>
    <t>OBRA: CONSTRUÇÃO DE PONTE EM ADUELAS DE CONCRETO</t>
  </si>
  <si>
    <t>LOCAL: ESTRADA PRINCIPAL, PRÓXIMA À - BOM JESUS DO RIO PRETO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</si>
</sst>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(* #,##0.00_);_(* \(#,##0.00\);_(* &quot;-&quot;??_);_(@_)"/>
    <numFmt numFmtId="165" formatCode="_([$€-2]* #,##0.00_);_([$€-2]* \(#,##0.00\);_([$€-2]* &quot;-&quot;??_)"/>
    <numFmt numFmtId="166" formatCode="#,#00"/>
    <numFmt numFmtId="167" formatCode="_(&quot;R$ &quot;* #,##0.00_);_(&quot;R$ &quot;* \(#,##0.00\);_(&quot;R$ &quot;* &quot;-&quot;??_);_(@_)"/>
    <numFmt numFmtId="168" formatCode="&quot;R$&quot;\ #,##0_);[Red]\(&quot;R$&quot;\ #,##0\)"/>
    <numFmt numFmtId="169" formatCode="&quot;R$&quot;\ #,##0.00_);\(&quot;R$&quot;\ #,##0.00\)"/>
    <numFmt numFmtId="170" formatCode="%#,#00"/>
    <numFmt numFmtId="171" formatCode="#.##000"/>
    <numFmt numFmtId="172" formatCode="#,"/>
    <numFmt numFmtId="173" formatCode="&quot;R$&quot;#,##0.00"/>
    <numFmt numFmtId="174" formatCode="&quot;R$&quot;\ #,##0.00"/>
    <numFmt numFmtId="175" formatCode="&quot;Verdadeiro&quot;;&quot;Verdadeiro&quot;;&quot;Falso&quot;"/>
    <numFmt numFmtId="176" formatCode="_(* #,##0.00000_);_(* \(#,##0.00000\);_(* &quot;-&quot;??_);_(@_)"/>
    <numFmt numFmtId="177" formatCode="_(* #,##0_);_(* \(#,##0\);_(* &quot;-&quot;??_);_(@_)"/>
    <numFmt numFmtId="178" formatCode="_-* #,##0.00000_-;\-* #,##0.00000_-;_-* &quot;-&quot;?????_-;_-@_-"/>
  </numFmts>
  <fonts count="6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b/>
      <sz val="8"/>
      <name val="Calibri"/>
      <family val="2"/>
      <scheme val="minor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sz val="10"/>
      <color rgb="FFFF0000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b/>
      <u/>
      <sz val="10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u/>
      <sz val="10"/>
      <color rgb="FFFF0000"/>
      <name val="Arial Nova"/>
      <family val="2"/>
    </font>
    <font>
      <sz val="7"/>
      <name val="Arial Nova"/>
      <family val="2"/>
    </font>
    <font>
      <sz val="8"/>
      <color theme="1"/>
      <name val="Arial Nova"/>
      <family val="2"/>
    </font>
    <font>
      <b/>
      <sz val="8"/>
      <color theme="1"/>
      <name val="Arial Nova"/>
      <family val="2"/>
    </font>
    <font>
      <sz val="9"/>
      <color theme="1"/>
      <name val="Arial Nova"/>
      <family val="2"/>
    </font>
    <font>
      <b/>
      <sz val="9"/>
      <color theme="1"/>
      <name val="Arial Nova"/>
      <family val="2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26"/>
      <color theme="1"/>
      <name val="Arial Black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color indexed="20"/>
      <name val="Arial"/>
      <family val="2"/>
    </font>
    <font>
      <b/>
      <sz val="9"/>
      <name val="Arial"/>
      <family val="2"/>
    </font>
    <font>
      <b/>
      <sz val="9"/>
      <color indexed="23"/>
      <name val="Arial Nova"/>
      <family val="2"/>
    </font>
    <font>
      <sz val="10"/>
      <color indexed="20"/>
      <name val="Arial Nova"/>
      <family val="2"/>
    </font>
    <font>
      <sz val="11"/>
      <name val="Arial Nova"/>
      <family val="2"/>
    </font>
    <font>
      <sz val="11"/>
      <color indexed="20"/>
      <name val="Arial Nova"/>
      <family val="2"/>
    </font>
    <font>
      <b/>
      <sz val="11"/>
      <name val="Arial Nova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Arial"/>
      <family val="2"/>
    </font>
    <font>
      <sz val="8"/>
      <name val="Calibri"/>
      <family val="2"/>
      <scheme val="minor"/>
    </font>
    <font>
      <sz val="8"/>
      <color rgb="FF000000"/>
      <name val="Arial Nova"/>
      <family val="2"/>
    </font>
    <font>
      <sz val="9"/>
      <name val="Arial"/>
      <family val="2"/>
    </font>
    <font>
      <sz val="8"/>
      <color theme="1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68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16" applyNumberFormat="0" applyAlignment="0" applyProtection="0"/>
    <xf numFmtId="0" fontId="9" fillId="0" borderId="0">
      <protection locked="0"/>
    </xf>
    <xf numFmtId="165" fontId="6" fillId="0" borderId="0" applyFont="0" applyFill="0" applyBorder="0" applyAlignment="0" applyProtection="0"/>
    <xf numFmtId="0" fontId="10" fillId="0" borderId="0"/>
    <xf numFmtId="0" fontId="10" fillId="0" borderId="0"/>
    <xf numFmtId="164" fontId="11" fillId="0" borderId="0" applyBorder="0" applyProtection="0"/>
    <xf numFmtId="166" fontId="9" fillId="0" borderId="0">
      <protection locked="0"/>
    </xf>
    <xf numFmtId="0" fontId="12" fillId="7" borderId="0" applyNumberFormat="0" applyBorder="0" applyAlignment="0" applyProtection="0"/>
    <xf numFmtId="0" fontId="13" fillId="0" borderId="0">
      <alignment horizontal="left"/>
    </xf>
    <xf numFmtId="0" fontId="14" fillId="8" borderId="17" applyNumberFormat="0" applyAlignment="0" applyProtection="0"/>
    <xf numFmtId="0" fontId="15" fillId="0" borderId="18" applyNumberFormat="0" applyFill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17" fillId="0" borderId="7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18" fillId="9" borderId="0" applyNumberFormat="0" applyBorder="0" applyAlignment="0" applyProtection="0"/>
    <xf numFmtId="0" fontId="6" fillId="0" borderId="0"/>
    <xf numFmtId="0" fontId="6" fillId="0" borderId="0"/>
    <xf numFmtId="0" fontId="3" fillId="0" borderId="0"/>
    <xf numFmtId="0" fontId="6" fillId="10" borderId="19" applyNumberFormat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170" fontId="9" fillId="0" borderId="0">
      <protection locked="0"/>
    </xf>
    <xf numFmtId="171" fontId="9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2" fontId="20" fillId="0" borderId="0">
      <protection locked="0"/>
    </xf>
    <xf numFmtId="164" fontId="6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7" fillId="0" borderId="0"/>
    <xf numFmtId="0" fontId="22" fillId="3" borderId="4">
      <alignment wrapText="1"/>
    </xf>
    <xf numFmtId="0" fontId="22" fillId="3" borderId="4">
      <alignment wrapText="1"/>
    </xf>
    <xf numFmtId="0" fontId="23" fillId="0" borderId="20" applyNumberFormat="0" applyFill="0" applyAlignment="0" applyProtection="0"/>
    <xf numFmtId="172" fontId="24" fillId="0" borderId="0">
      <protection locked="0"/>
    </xf>
    <xf numFmtId="172" fontId="24" fillId="0" borderId="0">
      <protection locked="0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" fillId="0" borderId="0"/>
    <xf numFmtId="0" fontId="2" fillId="0" borderId="0"/>
    <xf numFmtId="43" fontId="6" fillId="0" borderId="0" applyFont="0" applyFill="0" applyBorder="0" applyAlignment="0" applyProtection="0"/>
    <xf numFmtId="175" fontId="10" fillId="0" borderId="0" applyFont="0" applyFill="0" applyBorder="0" applyAlignment="0" applyProtection="0"/>
    <xf numFmtId="0" fontId="4" fillId="0" borderId="0"/>
    <xf numFmtId="0" fontId="1" fillId="0" borderId="0"/>
    <xf numFmtId="0" fontId="4" fillId="0" borderId="0"/>
  </cellStyleXfs>
  <cellXfs count="372">
    <xf numFmtId="0" fontId="0" fillId="0" borderId="0" xfId="0"/>
    <xf numFmtId="0" fontId="29" fillId="0" borderId="0" xfId="0" applyFont="1"/>
    <xf numFmtId="4" fontId="29" fillId="0" borderId="0" xfId="0" applyNumberFormat="1" applyFont="1"/>
    <xf numFmtId="0" fontId="32" fillId="0" borderId="11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4" fontId="32" fillId="0" borderId="0" xfId="0" applyNumberFormat="1" applyFont="1" applyAlignment="1">
      <alignment horizontal="center" vertical="center" wrapText="1"/>
    </xf>
    <xf numFmtId="4" fontId="32" fillId="0" borderId="10" xfId="0" applyNumberFormat="1" applyFont="1" applyBorder="1" applyAlignment="1">
      <alignment horizontal="center" vertical="center" wrapText="1"/>
    </xf>
    <xf numFmtId="0" fontId="27" fillId="0" borderId="11" xfId="0" applyFont="1" applyBorder="1" applyAlignment="1">
      <alignment vertical="center"/>
    </xf>
    <xf numFmtId="0" fontId="27" fillId="0" borderId="0" xfId="0" applyFont="1" applyAlignment="1">
      <alignment vertical="center"/>
    </xf>
    <xf numFmtId="4" fontId="27" fillId="0" borderId="0" xfId="0" applyNumberFormat="1" applyFont="1" applyAlignment="1">
      <alignment vertical="center"/>
    </xf>
    <xf numFmtId="0" fontId="27" fillId="0" borderId="10" xfId="0" applyFont="1" applyBorder="1" applyAlignment="1">
      <alignment vertical="center"/>
    </xf>
    <xf numFmtId="0" fontId="27" fillId="0" borderId="11" xfId="0" applyFont="1" applyBorder="1"/>
    <xf numFmtId="0" fontId="27" fillId="0" borderId="0" xfId="0" applyFont="1"/>
    <xf numFmtId="4" fontId="27" fillId="0" borderId="0" xfId="0" applyNumberFormat="1" applyFont="1"/>
    <xf numFmtId="0" fontId="27" fillId="0" borderId="10" xfId="0" applyFont="1" applyBorder="1"/>
    <xf numFmtId="0" fontId="32" fillId="2" borderId="5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7" fillId="0" borderId="0" xfId="0" applyFont="1"/>
    <xf numFmtId="49" fontId="32" fillId="2" borderId="1" xfId="0" applyNumberFormat="1" applyFont="1" applyFill="1" applyBorder="1" applyAlignment="1">
      <alignment horizontal="center" vertical="center" wrapText="1"/>
    </xf>
    <xf numFmtId="2" fontId="34" fillId="2" borderId="1" xfId="2" applyNumberFormat="1" applyFont="1" applyFill="1" applyBorder="1" applyAlignment="1">
      <alignment horizontal="center" vertical="center" wrapText="1"/>
    </xf>
    <xf numFmtId="4" fontId="34" fillId="2" borderId="1" xfId="0" applyNumberFormat="1" applyFont="1" applyFill="1" applyBorder="1" applyAlignment="1">
      <alignment horizontal="center" vertical="center" wrapText="1"/>
    </xf>
    <xf numFmtId="4" fontId="32" fillId="0" borderId="4" xfId="0" applyNumberFormat="1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5" fillId="0" borderId="0" xfId="0" applyFont="1"/>
    <xf numFmtId="0" fontId="33" fillId="0" borderId="11" xfId="0" applyFont="1" applyBorder="1"/>
    <xf numFmtId="0" fontId="33" fillId="0" borderId="0" xfId="0" applyFont="1"/>
    <xf numFmtId="4" fontId="33" fillId="0" borderId="0" xfId="0" applyNumberFormat="1" applyFont="1"/>
    <xf numFmtId="0" fontId="33" fillId="0" borderId="10" xfId="0" applyFont="1" applyBorder="1"/>
    <xf numFmtId="0" fontId="38" fillId="0" borderId="0" xfId="0" applyFont="1"/>
    <xf numFmtId="0" fontId="32" fillId="0" borderId="4" xfId="0" applyFont="1" applyBorder="1" applyAlignment="1">
      <alignment horizontal="center" vertical="center"/>
    </xf>
    <xf numFmtId="4" fontId="32" fillId="0" borderId="4" xfId="0" applyNumberFormat="1" applyFont="1" applyBorder="1" applyAlignment="1">
      <alignment horizontal="center" vertical="center"/>
    </xf>
    <xf numFmtId="0" fontId="38" fillId="0" borderId="10" xfId="0" applyFont="1" applyBorder="1"/>
    <xf numFmtId="14" fontId="32" fillId="0" borderId="6" xfId="0" applyNumberFormat="1" applyFont="1" applyBorder="1" applyAlignment="1">
      <alignment horizontal="left" vertical="center"/>
    </xf>
    <xf numFmtId="0" fontId="28" fillId="0" borderId="8" xfId="0" applyFont="1" applyBorder="1" applyAlignment="1">
      <alignment vertical="center" wrapText="1"/>
    </xf>
    <xf numFmtId="0" fontId="27" fillId="11" borderId="0" xfId="3" applyFont="1" applyFill="1"/>
    <xf numFmtId="0" fontId="27" fillId="11" borderId="0" xfId="3" applyFont="1" applyFill="1" applyAlignment="1">
      <alignment vertical="center"/>
    </xf>
    <xf numFmtId="0" fontId="28" fillId="11" borderId="11" xfId="3" applyFont="1" applyFill="1" applyBorder="1" applyAlignment="1">
      <alignment wrapText="1"/>
    </xf>
    <xf numFmtId="0" fontId="28" fillId="11" borderId="0" xfId="3" applyFont="1" applyFill="1" applyAlignment="1">
      <alignment wrapText="1"/>
    </xf>
    <xf numFmtId="0" fontId="27" fillId="11" borderId="0" xfId="3" applyFont="1" applyFill="1" applyAlignment="1">
      <alignment wrapText="1"/>
    </xf>
    <xf numFmtId="0" fontId="27" fillId="11" borderId="11" xfId="3" applyFont="1" applyFill="1" applyBorder="1"/>
    <xf numFmtId="0" fontId="31" fillId="11" borderId="11" xfId="3" applyFont="1" applyFill="1" applyBorder="1"/>
    <xf numFmtId="0" fontId="31" fillId="11" borderId="0" xfId="3" applyFont="1" applyFill="1" applyAlignment="1">
      <alignment wrapText="1"/>
    </xf>
    <xf numFmtId="0" fontId="28" fillId="11" borderId="0" xfId="3" applyFont="1" applyFill="1" applyAlignment="1">
      <alignment horizontal="right"/>
    </xf>
    <xf numFmtId="0" fontId="27" fillId="11" borderId="0" xfId="3" applyFont="1" applyFill="1" applyAlignment="1">
      <alignment horizontal="center" vertical="center"/>
    </xf>
    <xf numFmtId="0" fontId="27" fillId="11" borderId="14" xfId="3" applyFont="1" applyFill="1" applyBorder="1"/>
    <xf numFmtId="0" fontId="27" fillId="11" borderId="9" xfId="3" applyFont="1" applyFill="1" applyBorder="1"/>
    <xf numFmtId="0" fontId="27" fillId="11" borderId="9" xfId="3" applyFont="1" applyFill="1" applyBorder="1" applyAlignment="1">
      <alignment wrapText="1"/>
    </xf>
    <xf numFmtId="0" fontId="31" fillId="11" borderId="4" xfId="3" applyFont="1" applyFill="1" applyBorder="1" applyAlignment="1">
      <alignment horizontal="center" vertical="center"/>
    </xf>
    <xf numFmtId="0" fontId="31" fillId="11" borderId="4" xfId="3" applyFont="1" applyFill="1" applyBorder="1" applyAlignment="1">
      <alignment horizontal="center" vertical="center" wrapText="1"/>
    </xf>
    <xf numFmtId="0" fontId="33" fillId="11" borderId="0" xfId="3" applyFont="1" applyFill="1" applyAlignment="1">
      <alignment wrapText="1"/>
    </xf>
    <xf numFmtId="0" fontId="33" fillId="11" borderId="0" xfId="3" applyFont="1" applyFill="1"/>
    <xf numFmtId="0" fontId="33" fillId="11" borderId="11" xfId="3" applyFont="1" applyFill="1" applyBorder="1"/>
    <xf numFmtId="0" fontId="31" fillId="0" borderId="3" xfId="3" applyFont="1" applyBorder="1" applyAlignment="1">
      <alignment vertical="center"/>
    </xf>
    <xf numFmtId="0" fontId="28" fillId="11" borderId="11" xfId="3" applyFont="1" applyFill="1" applyBorder="1" applyAlignment="1">
      <alignment horizontal="right"/>
    </xf>
    <xf numFmtId="14" fontId="31" fillId="11" borderId="2" xfId="3" applyNumberFormat="1" applyFont="1" applyFill="1" applyBorder="1" applyAlignment="1">
      <alignment horizontal="left" vertical="center"/>
    </xf>
    <xf numFmtId="0" fontId="31" fillId="11" borderId="8" xfId="3" applyFont="1" applyFill="1" applyBorder="1" applyAlignment="1">
      <alignment horizontal="right" vertical="center"/>
    </xf>
    <xf numFmtId="49" fontId="31" fillId="11" borderId="4" xfId="3" applyNumberFormat="1" applyFont="1" applyFill="1" applyBorder="1" applyAlignment="1">
      <alignment horizontal="center" vertical="center" wrapText="1"/>
    </xf>
    <xf numFmtId="49" fontId="33" fillId="11" borderId="4" xfId="3" applyNumberFormat="1" applyFont="1" applyFill="1" applyBorder="1" applyAlignment="1">
      <alignment horizontal="center" vertical="center" wrapText="1"/>
    </xf>
    <xf numFmtId="0" fontId="33" fillId="11" borderId="0" xfId="3" applyFont="1" applyFill="1" applyAlignment="1">
      <alignment horizontal="center" vertical="center"/>
    </xf>
    <xf numFmtId="0" fontId="34" fillId="0" borderId="0" xfId="0" applyFont="1"/>
    <xf numFmtId="4" fontId="34" fillId="0" borderId="0" xfId="0" applyNumberFormat="1" applyFont="1"/>
    <xf numFmtId="9" fontId="27" fillId="0" borderId="0" xfId="1" applyFont="1"/>
    <xf numFmtId="0" fontId="27" fillId="0" borderId="14" xfId="0" applyFont="1" applyBorder="1"/>
    <xf numFmtId="0" fontId="27" fillId="0" borderId="9" xfId="0" applyFont="1" applyBorder="1"/>
    <xf numFmtId="4" fontId="27" fillId="0" borderId="9" xfId="0" applyNumberFormat="1" applyFont="1" applyBorder="1"/>
    <xf numFmtId="0" fontId="27" fillId="0" borderId="15" xfId="0" applyFont="1" applyBorder="1"/>
    <xf numFmtId="0" fontId="34" fillId="0" borderId="4" xfId="0" applyFont="1" applyBorder="1" applyAlignment="1">
      <alignment horizontal="center" vertical="center" wrapText="1"/>
    </xf>
    <xf numFmtId="0" fontId="42" fillId="0" borderId="6" xfId="0" applyFont="1" applyBorder="1" applyAlignment="1">
      <alignment vertical="center"/>
    </xf>
    <xf numFmtId="10" fontId="42" fillId="12" borderId="4" xfId="0" applyNumberFormat="1" applyFont="1" applyFill="1" applyBorder="1" applyAlignment="1">
      <alignment horizontal="center" vertical="center"/>
    </xf>
    <xf numFmtId="10" fontId="42" fillId="12" borderId="4" xfId="1" applyNumberFormat="1" applyFont="1" applyFill="1" applyBorder="1" applyAlignment="1">
      <alignment horizontal="center" vertical="center"/>
    </xf>
    <xf numFmtId="0" fontId="41" fillId="0" borderId="4" xfId="0" applyFont="1" applyBorder="1" applyAlignment="1">
      <alignment horizontal="center" vertical="center" wrapText="1"/>
    </xf>
    <xf numFmtId="4" fontId="42" fillId="0" borderId="4" xfId="0" applyNumberFormat="1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/>
    </xf>
    <xf numFmtId="0" fontId="42" fillId="2" borderId="1" xfId="0" applyFont="1" applyFill="1" applyBorder="1" applyAlignment="1">
      <alignment horizontal="center" vertical="center" wrapText="1"/>
    </xf>
    <xf numFmtId="173" fontId="34" fillId="0" borderId="0" xfId="0" applyNumberFormat="1" applyFont="1"/>
    <xf numFmtId="10" fontId="31" fillId="11" borderId="4" xfId="3" applyNumberFormat="1" applyFont="1" applyFill="1" applyBorder="1" applyAlignment="1">
      <alignment horizontal="center" vertical="center" wrapText="1"/>
    </xf>
    <xf numFmtId="10" fontId="27" fillId="11" borderId="0" xfId="3" applyNumberFormat="1" applyFont="1" applyFill="1" applyAlignment="1">
      <alignment vertical="center"/>
    </xf>
    <xf numFmtId="174" fontId="27" fillId="11" borderId="0" xfId="3" applyNumberFormat="1" applyFont="1" applyFill="1"/>
    <xf numFmtId="0" fontId="28" fillId="0" borderId="1" xfId="0" applyFont="1" applyBorder="1" applyAlignment="1">
      <alignment vertical="center" wrapText="1"/>
    </xf>
    <xf numFmtId="0" fontId="28" fillId="0" borderId="0" xfId="0" applyFont="1" applyAlignment="1">
      <alignment vertical="center" wrapText="1"/>
    </xf>
    <xf numFmtId="0" fontId="27" fillId="0" borderId="5" xfId="0" applyFont="1" applyBorder="1"/>
    <xf numFmtId="0" fontId="27" fillId="0" borderId="1" xfId="0" applyFont="1" applyBorder="1"/>
    <xf numFmtId="0" fontId="47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164" fontId="4" fillId="0" borderId="0" xfId="2" applyFont="1" applyBorder="1"/>
    <xf numFmtId="0" fontId="50" fillId="0" borderId="0" xfId="0" applyFont="1"/>
    <xf numFmtId="0" fontId="51" fillId="0" borderId="0" xfId="0" applyFont="1"/>
    <xf numFmtId="164" fontId="50" fillId="0" borderId="0" xfId="2" applyFont="1" applyBorder="1"/>
    <xf numFmtId="164" fontId="27" fillId="0" borderId="0" xfId="2" applyFont="1" applyBorder="1"/>
    <xf numFmtId="164" fontId="55" fillId="0" borderId="0" xfId="2" applyFont="1" applyBorder="1"/>
    <xf numFmtId="177" fontId="55" fillId="0" borderId="0" xfId="2" applyNumberFormat="1" applyFont="1" applyBorder="1"/>
    <xf numFmtId="0" fontId="57" fillId="0" borderId="22" xfId="0" applyFont="1" applyBorder="1" applyAlignment="1">
      <alignment horizontal="right"/>
    </xf>
    <xf numFmtId="0" fontId="0" fillId="0" borderId="10" xfId="0" applyBorder="1"/>
    <xf numFmtId="14" fontId="27" fillId="0" borderId="9" xfId="0" applyNumberFormat="1" applyFont="1" applyBorder="1" applyAlignment="1">
      <alignment horizontal="left" vertical="top"/>
    </xf>
    <xf numFmtId="0" fontId="0" fillId="0" borderId="9" xfId="0" applyBorder="1"/>
    <xf numFmtId="0" fontId="0" fillId="0" borderId="15" xfId="0" applyBorder="1"/>
    <xf numFmtId="0" fontId="27" fillId="0" borderId="14" xfId="0" applyFont="1" applyBorder="1" applyAlignment="1">
      <alignment vertical="top"/>
    </xf>
    <xf numFmtId="0" fontId="27" fillId="0" borderId="9" xfId="0" applyFont="1" applyBorder="1" applyAlignment="1">
      <alignment vertical="top"/>
    </xf>
    <xf numFmtId="0" fontId="48" fillId="0" borderId="11" xfId="0" applyFont="1" applyBorder="1" applyAlignment="1">
      <alignment vertical="distributed"/>
    </xf>
    <xf numFmtId="0" fontId="49" fillId="0" borderId="11" xfId="0" applyFont="1" applyBorder="1" applyAlignment="1">
      <alignment vertical="distributed"/>
    </xf>
    <xf numFmtId="0" fontId="49" fillId="0" borderId="0" xfId="0" applyFont="1" applyAlignment="1">
      <alignment vertical="distributed"/>
    </xf>
    <xf numFmtId="0" fontId="49" fillId="0" borderId="10" xfId="0" applyFont="1" applyBorder="1" applyAlignment="1">
      <alignment vertical="distributed"/>
    </xf>
    <xf numFmtId="0" fontId="4" fillId="0" borderId="11" xfId="0" applyFont="1" applyBorder="1"/>
    <xf numFmtId="0" fontId="4" fillId="0" borderId="10" xfId="0" applyFont="1" applyBorder="1"/>
    <xf numFmtId="0" fontId="54" fillId="0" borderId="10" xfId="0" applyFont="1" applyBorder="1"/>
    <xf numFmtId="0" fontId="55" fillId="0" borderId="11" xfId="0" applyFont="1" applyBorder="1"/>
    <xf numFmtId="0" fontId="55" fillId="0" borderId="0" xfId="0" applyFont="1"/>
    <xf numFmtId="0" fontId="56" fillId="0" borderId="0" xfId="0" applyFont="1"/>
    <xf numFmtId="0" fontId="56" fillId="0" borderId="10" xfId="0" applyFont="1" applyBorder="1"/>
    <xf numFmtId="0" fontId="55" fillId="0" borderId="10" xfId="0" applyFont="1" applyBorder="1"/>
    <xf numFmtId="0" fontId="57" fillId="0" borderId="0" xfId="0" applyFont="1" applyAlignment="1">
      <alignment horizontal="right"/>
    </xf>
    <xf numFmtId="0" fontId="55" fillId="0" borderId="0" xfId="0" applyFont="1" applyAlignment="1">
      <alignment horizontal="center" vertical="center"/>
    </xf>
    <xf numFmtId="178" fontId="55" fillId="0" borderId="0" xfId="0" applyNumberFormat="1" applyFont="1"/>
    <xf numFmtId="0" fontId="50" fillId="0" borderId="11" xfId="0" applyFont="1" applyBorder="1"/>
    <xf numFmtId="0" fontId="52" fillId="0" borderId="10" xfId="0" applyFont="1" applyBorder="1" applyAlignment="1">
      <alignment vertical="distributed"/>
    </xf>
    <xf numFmtId="0" fontId="50" fillId="0" borderId="10" xfId="0" applyFont="1" applyBorder="1"/>
    <xf numFmtId="0" fontId="50" fillId="0" borderId="14" xfId="0" applyFont="1" applyBorder="1"/>
    <xf numFmtId="0" fontId="50" fillId="0" borderId="9" xfId="0" applyFont="1" applyBorder="1"/>
    <xf numFmtId="0" fontId="51" fillId="0" borderId="9" xfId="0" applyFont="1" applyBorder="1"/>
    <xf numFmtId="164" fontId="50" fillId="0" borderId="9" xfId="2" applyFont="1" applyBorder="1"/>
    <xf numFmtId="0" fontId="50" fillId="0" borderId="15" xfId="0" applyFont="1" applyBorder="1"/>
    <xf numFmtId="0" fontId="28" fillId="0" borderId="5" xfId="0" applyFont="1" applyBorder="1" applyAlignment="1">
      <alignment vertical="top" wrapText="1"/>
    </xf>
    <xf numFmtId="0" fontId="27" fillId="0" borderId="11" xfId="0" applyFont="1" applyBorder="1" applyAlignment="1">
      <alignment vertical="top" wrapText="1"/>
    </xf>
    <xf numFmtId="0" fontId="27" fillId="0" borderId="5" xfId="0" applyFont="1" applyBorder="1" applyAlignment="1">
      <alignment vertical="top" wrapText="1"/>
    </xf>
    <xf numFmtId="0" fontId="27" fillId="0" borderId="14" xfId="0" applyFont="1" applyBorder="1" applyAlignment="1">
      <alignment vertical="top" wrapText="1"/>
    </xf>
    <xf numFmtId="0" fontId="28" fillId="0" borderId="6" xfId="0" applyFont="1" applyBorder="1" applyAlignment="1">
      <alignment horizontal="center"/>
    </xf>
    <xf numFmtId="164" fontId="28" fillId="0" borderId="6" xfId="2" applyFont="1" applyBorder="1" applyAlignment="1">
      <alignment vertical="center"/>
    </xf>
    <xf numFmtId="2" fontId="28" fillId="0" borderId="15" xfId="2" applyNumberFormat="1" applyFont="1" applyBorder="1" applyAlignment="1">
      <alignment vertical="center"/>
    </xf>
    <xf numFmtId="164" fontId="53" fillId="0" borderId="6" xfId="2" applyFont="1" applyBorder="1" applyAlignment="1">
      <alignment horizontal="center" vertical="top" wrapText="1"/>
    </xf>
    <xf numFmtId="176" fontId="27" fillId="0" borderId="10" xfId="2" applyNumberFormat="1" applyFont="1" applyBorder="1" applyAlignment="1">
      <alignment horizontal="center" vertical="top" wrapText="1"/>
    </xf>
    <xf numFmtId="176" fontId="27" fillId="0" borderId="6" xfId="2" applyNumberFormat="1" applyFont="1" applyBorder="1" applyAlignment="1">
      <alignment horizontal="center" vertical="top" wrapText="1"/>
    </xf>
    <xf numFmtId="176" fontId="27" fillId="0" borderId="15" xfId="2" applyNumberFormat="1" applyFont="1" applyBorder="1" applyAlignment="1">
      <alignment horizontal="center" vertical="top" wrapText="1"/>
    </xf>
    <xf numFmtId="49" fontId="59" fillId="13" borderId="4" xfId="0" applyNumberFormat="1" applyFont="1" applyFill="1" applyBorder="1" applyAlignment="1" applyProtection="1">
      <alignment horizontal="center" vertical="center" wrapText="1"/>
      <protection locked="0"/>
    </xf>
    <xf numFmtId="0" fontId="59" fillId="0" borderId="4" xfId="0" applyFont="1" applyBorder="1" applyAlignment="1">
      <alignment horizontal="center" vertical="center" wrapText="1"/>
    </xf>
    <xf numFmtId="0" fontId="59" fillId="13" borderId="4" xfId="0" applyFont="1" applyFill="1" applyBorder="1" applyAlignment="1" applyProtection="1">
      <alignment horizontal="center" vertical="center" wrapText="1"/>
      <protection locked="0"/>
    </xf>
    <xf numFmtId="0" fontId="31" fillId="0" borderId="11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173" fontId="44" fillId="0" borderId="10" xfId="0" applyNumberFormat="1" applyFont="1" applyBorder="1" applyAlignment="1">
      <alignment horizontal="center" vertical="center" wrapText="1"/>
    </xf>
    <xf numFmtId="0" fontId="0" fillId="0" borderId="11" xfId="0" applyBorder="1"/>
    <xf numFmtId="0" fontId="0" fillId="0" borderId="14" xfId="0" applyBorder="1"/>
    <xf numFmtId="0" fontId="28" fillId="0" borderId="6" xfId="0" applyFont="1" applyBorder="1" applyAlignment="1">
      <alignment vertical="center" wrapText="1"/>
    </xf>
    <xf numFmtId="2" fontId="32" fillId="0" borderId="4" xfId="0" applyNumberFormat="1" applyFont="1" applyBorder="1" applyAlignment="1">
      <alignment horizontal="center" vertical="center"/>
    </xf>
    <xf numFmtId="0" fontId="61" fillId="0" borderId="4" xfId="0" applyFont="1" applyBorder="1" applyAlignment="1">
      <alignment horizontal="center" vertical="center"/>
    </xf>
    <xf numFmtId="14" fontId="34" fillId="0" borderId="9" xfId="0" applyNumberFormat="1" applyFont="1" applyBorder="1" applyAlignment="1">
      <alignment horizontal="left" vertical="top"/>
    </xf>
    <xf numFmtId="0" fontId="32" fillId="0" borderId="4" xfId="0" applyFont="1" applyBorder="1" applyAlignment="1">
      <alignment vertical="center"/>
    </xf>
    <xf numFmtId="2" fontId="28" fillId="0" borderId="1" xfId="0" applyNumberFormat="1" applyFont="1" applyBorder="1" applyAlignment="1">
      <alignment vertical="center" wrapText="1"/>
    </xf>
    <xf numFmtId="2" fontId="38" fillId="0" borderId="1" xfId="0" applyNumberFormat="1" applyFont="1" applyBorder="1"/>
    <xf numFmtId="2" fontId="32" fillId="0" borderId="5" xfId="0" applyNumberFormat="1" applyFont="1" applyBorder="1" applyAlignment="1">
      <alignment horizontal="right" vertical="center"/>
    </xf>
    <xf numFmtId="2" fontId="32" fillId="0" borderId="5" xfId="0" applyNumberFormat="1" applyFont="1" applyBorder="1" applyAlignment="1">
      <alignment horizontal="center" vertical="center"/>
    </xf>
    <xf numFmtId="2" fontId="32" fillId="0" borderId="1" xfId="0" applyNumberFormat="1" applyFont="1" applyBorder="1" applyAlignment="1">
      <alignment horizontal="center" vertical="center"/>
    </xf>
    <xf numFmtId="2" fontId="29" fillId="0" borderId="0" xfId="0" applyNumberFormat="1" applyFont="1"/>
    <xf numFmtId="0" fontId="57" fillId="0" borderId="0" xfId="0" applyFont="1" applyAlignment="1">
      <alignment horizontal="center"/>
    </xf>
    <xf numFmtId="0" fontId="52" fillId="0" borderId="0" xfId="0" applyFont="1" applyAlignment="1">
      <alignment horizontal="center" vertical="distributed"/>
    </xf>
    <xf numFmtId="0" fontId="34" fillId="0" borderId="5" xfId="0" applyFont="1" applyBorder="1" applyAlignment="1">
      <alignment horizontal="center" vertical="center"/>
    </xf>
    <xf numFmtId="49" fontId="58" fillId="13" borderId="4" xfId="67" applyNumberFormat="1" applyFont="1" applyFill="1" applyBorder="1" applyAlignment="1" applyProtection="1">
      <alignment horizontal="center" vertical="center" wrapText="1"/>
      <protection locked="0"/>
    </xf>
    <xf numFmtId="0" fontId="58" fillId="3" borderId="4" xfId="67" applyFont="1" applyFill="1" applyBorder="1" applyAlignment="1">
      <alignment horizontal="center" vertical="center"/>
    </xf>
    <xf numFmtId="4" fontId="58" fillId="3" borderId="4" xfId="67" applyNumberFormat="1" applyFont="1" applyFill="1" applyBorder="1" applyAlignment="1">
      <alignment horizontal="center" vertical="center"/>
    </xf>
    <xf numFmtId="49" fontId="59" fillId="13" borderId="4" xfId="67" applyNumberFormat="1" applyFont="1" applyFill="1" applyBorder="1" applyAlignment="1" applyProtection="1">
      <alignment horizontal="center" vertical="center" wrapText="1"/>
      <protection locked="0"/>
    </xf>
    <xf numFmtId="0" fontId="59" fillId="13" borderId="4" xfId="67" applyFont="1" applyFill="1" applyBorder="1" applyAlignment="1" applyProtection="1">
      <alignment horizontal="center" vertical="center" wrapText="1"/>
      <protection locked="0"/>
    </xf>
    <xf numFmtId="0" fontId="59" fillId="0" borderId="4" xfId="67" applyFont="1" applyBorder="1" applyAlignment="1">
      <alignment horizontal="center" vertical="center" wrapText="1"/>
    </xf>
    <xf numFmtId="4" fontId="61" fillId="0" borderId="4" xfId="67" applyNumberFormat="1" applyFont="1" applyBorder="1" applyAlignment="1">
      <alignment horizontal="center" vertical="center"/>
    </xf>
    <xf numFmtId="0" fontId="61" fillId="0" borderId="4" xfId="67" applyFont="1" applyBorder="1" applyAlignment="1">
      <alignment horizontal="center" vertical="center"/>
    </xf>
    <xf numFmtId="0" fontId="59" fillId="0" borderId="4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4" fillId="0" borderId="4" xfId="0" applyFont="1" applyBorder="1" applyAlignment="1">
      <alignment vertical="center" wrapText="1"/>
    </xf>
    <xf numFmtId="0" fontId="33" fillId="0" borderId="0" xfId="0" applyFont="1" applyAlignment="1">
      <alignment horizontal="center"/>
    </xf>
    <xf numFmtId="0" fontId="32" fillId="11" borderId="5" xfId="3" applyFont="1" applyFill="1" applyBorder="1" applyAlignment="1">
      <alignment horizontal="center" vertical="center" wrapText="1"/>
    </xf>
    <xf numFmtId="0" fontId="31" fillId="11" borderId="2" xfId="3" applyFont="1" applyFill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10" fontId="57" fillId="0" borderId="0" xfId="0" applyNumberFormat="1" applyFont="1" applyAlignment="1">
      <alignment horizontal="center" vertical="center"/>
    </xf>
    <xf numFmtId="10" fontId="57" fillId="0" borderId="23" xfId="1" applyNumberFormat="1" applyFont="1" applyBorder="1" applyAlignment="1">
      <alignment horizontal="center" vertical="center"/>
    </xf>
    <xf numFmtId="0" fontId="34" fillId="0" borderId="1" xfId="0" applyFont="1" applyBorder="1" applyAlignment="1">
      <alignment vertical="center" wrapText="1"/>
    </xf>
    <xf numFmtId="49" fontId="34" fillId="0" borderId="4" xfId="0" applyNumberFormat="1" applyFont="1" applyBorder="1" applyAlignment="1">
      <alignment horizontal="center" vertical="center"/>
    </xf>
    <xf numFmtId="0" fontId="34" fillId="0" borderId="13" xfId="0" applyFont="1" applyBorder="1" applyAlignment="1">
      <alignment horizontal="center" vertical="center"/>
    </xf>
    <xf numFmtId="164" fontId="34" fillId="0" borderId="4" xfId="2" applyFont="1" applyBorder="1" applyAlignment="1">
      <alignment horizontal="center" vertical="center"/>
    </xf>
    <xf numFmtId="164" fontId="41" fillId="0" borderId="4" xfId="2" applyFont="1" applyBorder="1" applyAlignment="1">
      <alignment horizontal="center" vertical="center" wrapText="1"/>
    </xf>
    <xf numFmtId="164" fontId="34" fillId="2" borderId="1" xfId="2" applyFont="1" applyFill="1" applyBorder="1" applyAlignment="1">
      <alignment horizontal="center" vertical="center" wrapText="1"/>
    </xf>
    <xf numFmtId="164" fontId="42" fillId="2" borderId="6" xfId="2" applyFont="1" applyFill="1" applyBorder="1" applyAlignment="1">
      <alignment horizontal="center" vertical="center" wrapText="1"/>
    </xf>
    <xf numFmtId="164" fontId="41" fillId="0" borderId="12" xfId="2" applyFont="1" applyBorder="1" applyAlignment="1">
      <alignment horizontal="center" vertical="center" wrapText="1"/>
    </xf>
    <xf numFmtId="164" fontId="34" fillId="0" borderId="4" xfId="2" applyFont="1" applyBorder="1" applyAlignment="1">
      <alignment horizontal="center" vertical="center" wrapText="1"/>
    </xf>
    <xf numFmtId="164" fontId="34" fillId="0" borderId="1" xfId="2" applyFont="1" applyBorder="1" applyAlignment="1">
      <alignment horizontal="center" vertical="center" wrapText="1"/>
    </xf>
    <xf numFmtId="164" fontId="41" fillId="0" borderId="1" xfId="2" applyFont="1" applyBorder="1" applyAlignment="1">
      <alignment horizontal="center" vertical="center" wrapText="1"/>
    </xf>
    <xf numFmtId="164" fontId="41" fillId="0" borderId="6" xfId="2" applyFont="1" applyBorder="1" applyAlignment="1">
      <alignment horizontal="center" vertical="center" wrapText="1"/>
    </xf>
    <xf numFmtId="0" fontId="33" fillId="0" borderId="11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3" fillId="0" borderId="10" xfId="0" applyFont="1" applyBorder="1" applyAlignment="1">
      <alignment vertical="center"/>
    </xf>
    <xf numFmtId="0" fontId="31" fillId="0" borderId="14" xfId="0" quotePrefix="1" applyFont="1" applyBorder="1" applyAlignment="1">
      <alignment vertical="center" wrapText="1"/>
    </xf>
    <xf numFmtId="0" fontId="31" fillId="0" borderId="9" xfId="0" applyFont="1" applyBorder="1" applyAlignment="1">
      <alignment vertical="center" wrapText="1"/>
    </xf>
    <xf numFmtId="0" fontId="31" fillId="0" borderId="9" xfId="0" quotePrefix="1" applyFont="1" applyBorder="1" applyAlignment="1">
      <alignment horizontal="right" vertical="center" wrapText="1"/>
    </xf>
    <xf numFmtId="0" fontId="31" fillId="0" borderId="15" xfId="0" applyFont="1" applyBorder="1" applyAlignment="1">
      <alignment vertical="center" wrapText="1"/>
    </xf>
    <xf numFmtId="164" fontId="44" fillId="0" borderId="15" xfId="2" applyFont="1" applyBorder="1" applyAlignment="1">
      <alignment horizontal="center" vertical="center" wrapText="1"/>
    </xf>
    <xf numFmtId="0" fontId="34" fillId="0" borderId="5" xfId="0" applyFont="1" applyBorder="1" applyAlignment="1">
      <alignment vertical="center" wrapText="1"/>
    </xf>
    <xf numFmtId="0" fontId="34" fillId="0" borderId="6" xfId="0" applyFont="1" applyBorder="1" applyAlignment="1">
      <alignment vertical="center" wrapText="1"/>
    </xf>
    <xf numFmtId="0" fontId="42" fillId="2" borderId="4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/>
    </xf>
    <xf numFmtId="2" fontId="32" fillId="2" borderId="1" xfId="0" applyNumberFormat="1" applyFont="1" applyFill="1" applyBorder="1" applyAlignment="1">
      <alignment horizontal="center" vertical="center"/>
    </xf>
    <xf numFmtId="4" fontId="32" fillId="2" borderId="6" xfId="0" applyNumberFormat="1" applyFont="1" applyFill="1" applyBorder="1" applyAlignment="1">
      <alignment horizontal="center" vertical="center" wrapText="1"/>
    </xf>
    <xf numFmtId="164" fontId="33" fillId="11" borderId="4" xfId="2" applyFont="1" applyFill="1" applyBorder="1" applyAlignment="1">
      <alignment horizontal="center" vertical="center" wrapText="1"/>
    </xf>
    <xf numFmtId="164" fontId="33" fillId="11" borderId="5" xfId="2" applyFont="1" applyFill="1" applyBorder="1" applyAlignment="1">
      <alignment horizontal="center" vertical="center" wrapText="1"/>
    </xf>
    <xf numFmtId="164" fontId="31" fillId="11" borderId="4" xfId="2" applyFont="1" applyFill="1" applyBorder="1" applyAlignment="1">
      <alignment horizontal="center" vertical="center" wrapText="1"/>
    </xf>
    <xf numFmtId="164" fontId="31" fillId="11" borderId="5" xfId="2" applyFont="1" applyFill="1" applyBorder="1" applyAlignment="1">
      <alignment horizontal="center" vertical="center" wrapText="1"/>
    </xf>
    <xf numFmtId="10" fontId="31" fillId="11" borderId="5" xfId="1" applyNumberFormat="1" applyFont="1" applyFill="1" applyBorder="1" applyAlignment="1">
      <alignment horizontal="center" vertical="center" wrapText="1"/>
    </xf>
    <xf numFmtId="10" fontId="31" fillId="0" borderId="5" xfId="1" applyNumberFormat="1" applyFont="1" applyBorder="1" applyAlignment="1">
      <alignment horizontal="center" vertical="center" wrapText="1"/>
    </xf>
    <xf numFmtId="10" fontId="31" fillId="0" borderId="4" xfId="1" applyNumberFormat="1" applyFont="1" applyBorder="1" applyAlignment="1">
      <alignment horizontal="center" vertical="center" wrapText="1"/>
    </xf>
    <xf numFmtId="10" fontId="32" fillId="11" borderId="5" xfId="1" applyNumberFormat="1" applyFont="1" applyFill="1" applyBorder="1" applyAlignment="1">
      <alignment horizontal="center" vertical="center" wrapText="1"/>
    </xf>
    <xf numFmtId="164" fontId="44" fillId="0" borderId="1" xfId="2" applyFont="1" applyBorder="1" applyAlignment="1">
      <alignment horizontal="center" vertical="center" wrapText="1"/>
    </xf>
    <xf numFmtId="164" fontId="44" fillId="2" borderId="4" xfId="2" applyFont="1" applyFill="1" applyBorder="1" applyAlignment="1">
      <alignment horizontal="center" vertical="center" wrapText="1"/>
    </xf>
    <xf numFmtId="43" fontId="37" fillId="0" borderId="0" xfId="0" applyNumberFormat="1" applyFont="1"/>
    <xf numFmtId="0" fontId="32" fillId="0" borderId="4" xfId="0" applyFont="1" applyBorder="1" applyAlignment="1">
      <alignment horizontal="center"/>
    </xf>
    <xf numFmtId="0" fontId="41" fillId="0" borderId="5" xfId="0" applyFont="1" applyBorder="1" applyAlignment="1">
      <alignment horizontal="center" wrapText="1"/>
    </xf>
    <xf numFmtId="0" fontId="42" fillId="2" borderId="4" xfId="0" applyFont="1" applyFill="1" applyBorder="1" applyAlignment="1">
      <alignment horizontal="center" wrapText="1"/>
    </xf>
    <xf numFmtId="164" fontId="37" fillId="0" borderId="0" xfId="0" applyNumberFormat="1" applyFont="1"/>
    <xf numFmtId="49" fontId="58" fillId="13" borderId="4" xfId="67" quotePrefix="1" applyNumberFormat="1" applyFont="1" applyFill="1" applyBorder="1" applyAlignment="1" applyProtection="1">
      <alignment horizontal="left" vertical="center" wrapText="1"/>
      <protection locked="0"/>
    </xf>
    <xf numFmtId="0" fontId="27" fillId="0" borderId="0" xfId="3" applyFont="1" applyAlignment="1">
      <alignment vertical="center"/>
    </xf>
    <xf numFmtId="0" fontId="33" fillId="0" borderId="0" xfId="3" applyFont="1" applyAlignment="1">
      <alignment horizontal="center" vertical="center"/>
    </xf>
    <xf numFmtId="0" fontId="27" fillId="0" borderId="0" xfId="3" applyFont="1" applyAlignment="1">
      <alignment horizontal="center" vertical="center"/>
    </xf>
    <xf numFmtId="49" fontId="58" fillId="13" borderId="4" xfId="0" quotePrefix="1" applyNumberFormat="1" applyFont="1" applyFill="1" applyBorder="1" applyAlignment="1" applyProtection="1">
      <alignment horizontal="center" vertical="center" wrapText="1"/>
      <protection locked="0"/>
    </xf>
    <xf numFmtId="10" fontId="31" fillId="11" borderId="4" xfId="1" applyNumberFormat="1" applyFont="1" applyFill="1" applyBorder="1" applyAlignment="1">
      <alignment horizontal="center" wrapText="1"/>
    </xf>
    <xf numFmtId="0" fontId="41" fillId="0" borderId="4" xfId="0" quotePrefix="1" applyFont="1" applyBorder="1" applyAlignment="1">
      <alignment horizontal="left" vertical="center"/>
    </xf>
    <xf numFmtId="1" fontId="63" fillId="0" borderId="4" xfId="2" applyNumberFormat="1" applyFont="1" applyFill="1" applyBorder="1" applyAlignment="1">
      <alignment horizontal="center" vertical="center" wrapText="1"/>
    </xf>
    <xf numFmtId="2" fontId="63" fillId="0" borderId="4" xfId="2" applyNumberFormat="1" applyFont="1" applyFill="1" applyBorder="1" applyAlignment="1">
      <alignment horizontal="center" vertical="center" wrapText="1"/>
    </xf>
    <xf numFmtId="0" fontId="29" fillId="0" borderId="5" xfId="0" applyFont="1" applyBorder="1"/>
    <xf numFmtId="0" fontId="31" fillId="0" borderId="1" xfId="0" quotePrefix="1" applyFont="1" applyBorder="1" applyAlignment="1">
      <alignment horizontal="right" vertical="center" wrapText="1"/>
    </xf>
    <xf numFmtId="0" fontId="29" fillId="0" borderId="1" xfId="0" applyFont="1" applyBorder="1"/>
    <xf numFmtId="2" fontId="29" fillId="0" borderId="1" xfId="0" applyNumberFormat="1" applyFont="1" applyBorder="1"/>
    <xf numFmtId="4" fontId="29" fillId="0" borderId="6" xfId="0" applyNumberFormat="1" applyFont="1" applyBorder="1"/>
    <xf numFmtId="164" fontId="44" fillId="0" borderId="5" xfId="2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/>
    </xf>
    <xf numFmtId="164" fontId="31" fillId="0" borderId="13" xfId="2" applyFont="1" applyBorder="1" applyAlignment="1">
      <alignment horizontal="center" vertical="center"/>
    </xf>
    <xf numFmtId="4" fontId="34" fillId="0" borderId="13" xfId="0" quotePrefix="1" applyNumberFormat="1" applyFont="1" applyBorder="1" applyAlignment="1">
      <alignment horizontal="center" vertical="center" wrapText="1"/>
    </xf>
    <xf numFmtId="0" fontId="32" fillId="0" borderId="21" xfId="0" applyFont="1" applyBorder="1" applyAlignment="1">
      <alignment horizontal="center" wrapText="1"/>
    </xf>
    <xf numFmtId="2" fontId="34" fillId="0" borderId="21" xfId="2" applyNumberFormat="1" applyFont="1" applyFill="1" applyBorder="1" applyAlignment="1">
      <alignment horizontal="center" vertical="center" wrapText="1"/>
    </xf>
    <xf numFmtId="164" fontId="31" fillId="0" borderId="21" xfId="2" applyFont="1" applyBorder="1" applyAlignment="1">
      <alignment horizontal="center" vertical="center" wrapText="1"/>
    </xf>
    <xf numFmtId="4" fontId="34" fillId="0" borderId="21" xfId="0" applyNumberFormat="1" applyFont="1" applyBorder="1" applyAlignment="1">
      <alignment horizontal="center" vertical="center" wrapText="1"/>
    </xf>
    <xf numFmtId="0" fontId="34" fillId="0" borderId="5" xfId="0" applyFont="1" applyBorder="1" applyAlignment="1">
      <alignment horizontal="center"/>
    </xf>
    <xf numFmtId="164" fontId="31" fillId="0" borderId="1" xfId="2" applyFont="1" applyBorder="1" applyAlignment="1">
      <alignment horizontal="center" vertical="center"/>
    </xf>
    <xf numFmtId="4" fontId="34" fillId="0" borderId="6" xfId="0" quotePrefix="1" applyNumberFormat="1" applyFont="1" applyBorder="1" applyAlignment="1">
      <alignment horizontal="center" vertical="center" wrapText="1"/>
    </xf>
    <xf numFmtId="0" fontId="32" fillId="2" borderId="5" xfId="0" applyFont="1" applyFill="1" applyBorder="1" applyAlignment="1">
      <alignment horizontal="center" vertical="center"/>
    </xf>
    <xf numFmtId="164" fontId="31" fillId="2" borderId="1" xfId="2" applyFont="1" applyFill="1" applyBorder="1" applyAlignment="1">
      <alignment horizontal="center" vertical="center"/>
    </xf>
    <xf numFmtId="4" fontId="32" fillId="2" borderId="6" xfId="0" quotePrefix="1" applyNumberFormat="1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8" fillId="0" borderId="0" xfId="0" applyFont="1"/>
    <xf numFmtId="2" fontId="0" fillId="0" borderId="0" xfId="0" applyNumberFormat="1"/>
    <xf numFmtId="0" fontId="34" fillId="0" borderId="4" xfId="0" quotePrefix="1" applyFont="1" applyBorder="1" applyAlignment="1">
      <alignment horizontal="justify" vertical="center" wrapText="1"/>
    </xf>
    <xf numFmtId="0" fontId="34" fillId="0" borderId="0" xfId="0" quotePrefix="1" applyFont="1" applyAlignment="1">
      <alignment horizontal="justify" vertical="center" wrapText="1"/>
    </xf>
    <xf numFmtId="0" fontId="34" fillId="0" borderId="4" xfId="0" applyFont="1" applyBorder="1" applyAlignment="1">
      <alignment horizontal="justify" vertical="center" wrapText="1"/>
    </xf>
    <xf numFmtId="0" fontId="62" fillId="0" borderId="4" xfId="0" applyFont="1" applyBorder="1" applyAlignment="1">
      <alignment horizontal="justify" vertical="center" wrapText="1"/>
    </xf>
    <xf numFmtId="0" fontId="42" fillId="2" borderId="1" xfId="0" applyFont="1" applyFill="1" applyBorder="1" applyAlignment="1">
      <alignment horizontal="justify" vertical="center" wrapText="1"/>
    </xf>
    <xf numFmtId="0" fontId="34" fillId="0" borderId="13" xfId="0" applyFont="1" applyBorder="1" applyAlignment="1">
      <alignment horizontal="justify" vertical="center" wrapText="1"/>
    </xf>
    <xf numFmtId="0" fontId="34" fillId="0" borderId="1" xfId="0" applyFont="1" applyBorder="1" applyAlignment="1">
      <alignment horizontal="justify" vertical="center" wrapText="1"/>
    </xf>
    <xf numFmtId="0" fontId="32" fillId="2" borderId="1" xfId="0" applyFont="1" applyFill="1" applyBorder="1" applyAlignment="1">
      <alignment horizontal="justify" vertical="center" wrapText="1"/>
    </xf>
    <xf numFmtId="0" fontId="34" fillId="0" borderId="21" xfId="0" applyFont="1" applyBorder="1" applyAlignment="1">
      <alignment horizontal="justify" vertical="center" wrapText="1"/>
    </xf>
    <xf numFmtId="0" fontId="42" fillId="2" borderId="4" xfId="0" applyFont="1" applyFill="1" applyBorder="1" applyAlignment="1">
      <alignment horizontal="justify" vertical="center" wrapText="1"/>
    </xf>
    <xf numFmtId="49" fontId="34" fillId="0" borderId="6" xfId="2" applyNumberFormat="1" applyFont="1" applyFill="1" applyBorder="1" applyAlignment="1" applyProtection="1">
      <alignment horizontal="center" vertical="center" wrapText="1" shrinkToFit="1"/>
      <protection locked="0"/>
    </xf>
    <xf numFmtId="49" fontId="32" fillId="2" borderId="4" xfId="2" applyNumberFormat="1" applyFont="1" applyFill="1" applyBorder="1" applyAlignment="1" applyProtection="1">
      <alignment horizontal="center" vertical="center" wrapText="1" shrinkToFit="1"/>
      <protection locked="0"/>
    </xf>
    <xf numFmtId="49" fontId="34" fillId="0" borderId="4" xfId="2" quotePrefix="1" applyNumberFormat="1" applyFont="1" applyFill="1" applyBorder="1" applyAlignment="1" applyProtection="1">
      <alignment horizontal="center" vertical="center" wrapText="1" shrinkToFit="1"/>
      <protection locked="0"/>
    </xf>
    <xf numFmtId="2" fontId="41" fillId="0" borderId="4" xfId="0" quotePrefix="1" applyNumberFormat="1" applyFont="1" applyBorder="1" applyAlignment="1">
      <alignment horizontal="center" vertical="center" wrapText="1"/>
    </xf>
    <xf numFmtId="2" fontId="41" fillId="0" borderId="4" xfId="0" applyNumberFormat="1" applyFont="1" applyBorder="1" applyAlignment="1">
      <alignment horizontal="center" vertical="center" wrapText="1"/>
    </xf>
    <xf numFmtId="49" fontId="34" fillId="0" borderId="4" xfId="2" applyNumberFormat="1" applyFont="1" applyFill="1" applyBorder="1" applyAlignment="1" applyProtection="1">
      <alignment horizontal="center" vertical="center" wrapText="1" shrinkToFit="1"/>
      <protection locked="0"/>
    </xf>
    <xf numFmtId="0" fontId="59" fillId="0" borderId="4" xfId="0" quotePrefix="1" applyFont="1" applyBorder="1" applyAlignment="1">
      <alignment horizontal="left" vertical="center" wrapText="1"/>
    </xf>
    <xf numFmtId="49" fontId="62" fillId="0" borderId="4" xfId="0" applyNumberFormat="1" applyFont="1" applyBorder="1" applyAlignment="1">
      <alignment horizontal="center" vertical="center"/>
    </xf>
    <xf numFmtId="49" fontId="62" fillId="0" borderId="4" xfId="0" quotePrefix="1" applyNumberFormat="1" applyFont="1" applyBorder="1" applyAlignment="1">
      <alignment horizontal="left" vertical="center" wrapText="1"/>
    </xf>
    <xf numFmtId="49" fontId="62" fillId="0" borderId="4" xfId="0" quotePrefix="1" applyNumberFormat="1" applyFont="1" applyBorder="1" applyAlignment="1">
      <alignment horizontal="center" vertical="center"/>
    </xf>
    <xf numFmtId="2" fontId="59" fillId="0" borderId="4" xfId="0" applyNumberFormat="1" applyFont="1" applyBorder="1" applyAlignment="1">
      <alignment horizontal="center" vertical="center" wrapText="1"/>
    </xf>
    <xf numFmtId="49" fontId="58" fillId="13" borderId="24" xfId="0" applyNumberFormat="1" applyFont="1" applyFill="1" applyBorder="1" applyAlignment="1" applyProtection="1">
      <alignment horizontal="center" vertical="center" wrapText="1"/>
      <protection locked="0"/>
    </xf>
    <xf numFmtId="4" fontId="59" fillId="0" borderId="4" xfId="67" applyNumberFormat="1" applyFont="1" applyBorder="1" applyAlignment="1">
      <alignment horizontal="right" vertical="center"/>
    </xf>
    <xf numFmtId="164" fontId="64" fillId="0" borderId="4" xfId="2" applyFont="1" applyBorder="1" applyAlignment="1">
      <alignment horizontal="right" vertical="center" wrapText="1"/>
    </xf>
    <xf numFmtId="0" fontId="59" fillId="0" borderId="4" xfId="67" applyFont="1" applyBorder="1" applyAlignment="1">
      <alignment horizontal="right" vertical="center"/>
    </xf>
    <xf numFmtId="0" fontId="59" fillId="0" borderId="4" xfId="0" applyFont="1" applyBorder="1" applyAlignment="1">
      <alignment horizontal="center" vertical="center"/>
    </xf>
    <xf numFmtId="0" fontId="59" fillId="14" borderId="4" xfId="0" applyFont="1" applyFill="1" applyBorder="1" applyAlignment="1">
      <alignment horizontal="center" vertical="center"/>
    </xf>
    <xf numFmtId="0" fontId="59" fillId="0" borderId="4" xfId="0" applyFont="1" applyBorder="1" applyAlignment="1">
      <alignment horizontal="right" vertical="center"/>
    </xf>
    <xf numFmtId="1" fontId="59" fillId="0" borderId="4" xfId="0" applyNumberFormat="1" applyFont="1" applyBorder="1" applyAlignment="1">
      <alignment horizontal="center" vertical="center" wrapText="1"/>
    </xf>
    <xf numFmtId="49" fontId="62" fillId="0" borderId="1" xfId="0" applyNumberFormat="1" applyFont="1" applyBorder="1" applyAlignment="1">
      <alignment horizontal="justify" vertical="center" wrapText="1"/>
    </xf>
    <xf numFmtId="49" fontId="34" fillId="0" borderId="6" xfId="2" quotePrefix="1" applyNumberFormat="1" applyFont="1" applyFill="1" applyBorder="1" applyAlignment="1" applyProtection="1">
      <alignment horizontal="center" vertical="center" wrapText="1" shrinkToFit="1"/>
      <protection locked="0"/>
    </xf>
    <xf numFmtId="164" fontId="44" fillId="0" borderId="4" xfId="2" applyFont="1" applyBorder="1" applyAlignment="1">
      <alignment horizontal="center" vertical="center" wrapText="1"/>
    </xf>
    <xf numFmtId="0" fontId="41" fillId="0" borderId="5" xfId="0" quotePrefix="1" applyFont="1" applyBorder="1" applyAlignment="1">
      <alignment vertical="center"/>
    </xf>
    <xf numFmtId="0" fontId="41" fillId="0" borderId="1" xfId="0" applyFont="1" applyBorder="1" applyAlignment="1">
      <alignment vertical="center"/>
    </xf>
    <xf numFmtId="0" fontId="41" fillId="0" borderId="6" xfId="0" applyFont="1" applyBorder="1" applyAlignment="1">
      <alignment vertical="center"/>
    </xf>
    <xf numFmtId="0" fontId="41" fillId="0" borderId="4" xfId="0" applyFont="1" applyBorder="1" applyAlignment="1">
      <alignment vertical="center"/>
    </xf>
    <xf numFmtId="0" fontId="41" fillId="12" borderId="5" xfId="0" quotePrefix="1" applyFont="1" applyFill="1" applyBorder="1" applyAlignment="1">
      <alignment vertical="center"/>
    </xf>
    <xf numFmtId="0" fontId="41" fillId="12" borderId="1" xfId="0" applyFont="1" applyFill="1" applyBorder="1" applyAlignment="1">
      <alignment vertical="center"/>
    </xf>
    <xf numFmtId="0" fontId="32" fillId="0" borderId="5" xfId="0" quotePrefix="1" applyFont="1" applyBorder="1" applyAlignment="1">
      <alignment vertical="center"/>
    </xf>
    <xf numFmtId="0" fontId="32" fillId="0" borderId="1" xfId="0" applyFont="1" applyBorder="1" applyAlignment="1">
      <alignment vertical="center"/>
    </xf>
    <xf numFmtId="0" fontId="41" fillId="0" borderId="5" xfId="0" applyFont="1" applyBorder="1" applyAlignment="1">
      <alignment vertical="center"/>
    </xf>
    <xf numFmtId="0" fontId="41" fillId="0" borderId="2" xfId="0" applyFont="1" applyBorder="1" applyAlignment="1">
      <alignment vertical="center"/>
    </xf>
    <xf numFmtId="0" fontId="41" fillId="12" borderId="15" xfId="0" applyFont="1" applyFill="1" applyBorder="1" applyAlignment="1">
      <alignment vertical="center"/>
    </xf>
    <xf numFmtId="0" fontId="30" fillId="0" borderId="5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6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31" fillId="0" borderId="4" xfId="0" applyFont="1" applyBorder="1" applyAlignment="1">
      <alignment horizontal="center" vertical="center" wrapText="1"/>
    </xf>
    <xf numFmtId="0" fontId="32" fillId="0" borderId="6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40" fillId="12" borderId="5" xfId="0" applyFont="1" applyFill="1" applyBorder="1" applyAlignment="1">
      <alignment horizontal="left" vertical="center" wrapText="1"/>
    </xf>
    <xf numFmtId="0" fontId="40" fillId="12" borderId="1" xfId="0" applyFont="1" applyFill="1" applyBorder="1" applyAlignment="1">
      <alignment horizontal="left" vertical="center" wrapText="1"/>
    </xf>
    <xf numFmtId="0" fontId="40" fillId="12" borderId="6" xfId="0" applyFont="1" applyFill="1" applyBorder="1" applyAlignment="1">
      <alignment horizontal="left" vertical="center" wrapText="1"/>
    </xf>
    <xf numFmtId="0" fontId="36" fillId="0" borderId="5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14" fontId="32" fillId="0" borderId="1" xfId="0" applyNumberFormat="1" applyFont="1" applyBorder="1" applyAlignment="1">
      <alignment horizontal="center" vertical="center"/>
    </xf>
    <xf numFmtId="14" fontId="32" fillId="0" borderId="6" xfId="0" applyNumberFormat="1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2" fontId="42" fillId="0" borderId="1" xfId="0" applyNumberFormat="1" applyFont="1" applyBorder="1" applyAlignment="1">
      <alignment horizontal="center" vertical="center"/>
    </xf>
    <xf numFmtId="2" fontId="42" fillId="0" borderId="6" xfId="0" applyNumberFormat="1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32" fillId="0" borderId="5" xfId="0" quotePrefix="1" applyFont="1" applyBorder="1" applyAlignment="1">
      <alignment horizontal="left" vertical="center"/>
    </xf>
    <xf numFmtId="0" fontId="32" fillId="0" borderId="1" xfId="0" applyFont="1" applyBorder="1" applyAlignment="1">
      <alignment horizontal="left" vertical="center"/>
    </xf>
    <xf numFmtId="0" fontId="41" fillId="0" borderId="5" xfId="0" applyFont="1" applyBorder="1" applyAlignment="1">
      <alignment horizontal="left" vertical="center"/>
    </xf>
    <xf numFmtId="0" fontId="41" fillId="0" borderId="1" xfId="0" applyFont="1" applyBorder="1" applyAlignment="1">
      <alignment horizontal="left" vertical="center"/>
    </xf>
    <xf numFmtId="0" fontId="41" fillId="0" borderId="6" xfId="0" applyFont="1" applyBorder="1" applyAlignment="1">
      <alignment horizontal="left" vertical="center"/>
    </xf>
    <xf numFmtId="0" fontId="41" fillId="0" borderId="4" xfId="0" applyFont="1" applyBorder="1" applyAlignment="1">
      <alignment horizontal="left" vertical="center"/>
    </xf>
    <xf numFmtId="0" fontId="31" fillId="11" borderId="4" xfId="3" applyFont="1" applyFill="1" applyBorder="1" applyAlignment="1">
      <alignment horizontal="center" vertical="center" wrapText="1"/>
    </xf>
    <xf numFmtId="0" fontId="31" fillId="11" borderId="13" xfId="3" applyFont="1" applyFill="1" applyBorder="1" applyAlignment="1">
      <alignment horizontal="center" vertical="center" wrapText="1"/>
    </xf>
    <xf numFmtId="0" fontId="31" fillId="11" borderId="21" xfId="3" applyFont="1" applyFill="1" applyBorder="1" applyAlignment="1">
      <alignment horizontal="center" vertical="center" wrapText="1"/>
    </xf>
    <xf numFmtId="0" fontId="31" fillId="11" borderId="12" xfId="3" applyFont="1" applyFill="1" applyBorder="1" applyAlignment="1">
      <alignment horizontal="center" vertical="center" wrapText="1"/>
    </xf>
    <xf numFmtId="0" fontId="31" fillId="11" borderId="3" xfId="3" quotePrefix="1" applyFont="1" applyFill="1" applyBorder="1" applyAlignment="1">
      <alignment horizontal="center" vertical="center" wrapText="1"/>
    </xf>
    <xf numFmtId="0" fontId="31" fillId="11" borderId="8" xfId="3" applyFont="1" applyFill="1" applyBorder="1" applyAlignment="1">
      <alignment horizontal="center" vertical="center" wrapText="1"/>
    </xf>
    <xf numFmtId="0" fontId="31" fillId="11" borderId="14" xfId="3" applyFont="1" applyFill="1" applyBorder="1" applyAlignment="1">
      <alignment horizontal="center" vertical="center" wrapText="1"/>
    </xf>
    <xf numFmtId="0" fontId="31" fillId="11" borderId="9" xfId="3" applyFont="1" applyFill="1" applyBorder="1" applyAlignment="1">
      <alignment horizontal="center" vertical="center" wrapText="1"/>
    </xf>
    <xf numFmtId="173" fontId="31" fillId="11" borderId="13" xfId="3" applyNumberFormat="1" applyFont="1" applyFill="1" applyBorder="1" applyAlignment="1">
      <alignment horizontal="center" vertical="center" wrapText="1"/>
    </xf>
    <xf numFmtId="0" fontId="36" fillId="11" borderId="5" xfId="3" applyFont="1" applyFill="1" applyBorder="1" applyAlignment="1">
      <alignment horizontal="center" vertical="center"/>
    </xf>
    <xf numFmtId="0" fontId="36" fillId="11" borderId="1" xfId="3" applyFont="1" applyFill="1" applyBorder="1" applyAlignment="1">
      <alignment horizontal="center" vertical="center"/>
    </xf>
    <xf numFmtId="0" fontId="44" fillId="11" borderId="4" xfId="3" applyFont="1" applyFill="1" applyBorder="1" applyAlignment="1">
      <alignment horizontal="left" vertical="center" wrapText="1"/>
    </xf>
    <xf numFmtId="0" fontId="31" fillId="11" borderId="4" xfId="3" applyFont="1" applyFill="1" applyBorder="1" applyAlignment="1">
      <alignment horizontal="left" vertical="center"/>
    </xf>
    <xf numFmtId="0" fontId="31" fillId="11" borderId="5" xfId="3" applyFont="1" applyFill="1" applyBorder="1" applyAlignment="1">
      <alignment horizontal="left" vertical="center" wrapText="1"/>
    </xf>
    <xf numFmtId="0" fontId="31" fillId="11" borderId="6" xfId="3" applyFont="1" applyFill="1" applyBorder="1" applyAlignment="1">
      <alignment horizontal="left" vertical="center" wrapText="1"/>
    </xf>
    <xf numFmtId="0" fontId="31" fillId="11" borderId="13" xfId="3" applyFont="1" applyFill="1" applyBorder="1" applyAlignment="1">
      <alignment horizontal="center" vertical="center"/>
    </xf>
    <xf numFmtId="0" fontId="31" fillId="11" borderId="12" xfId="3" applyFont="1" applyFill="1" applyBorder="1" applyAlignment="1">
      <alignment horizontal="center" vertical="center"/>
    </xf>
    <xf numFmtId="0" fontId="31" fillId="11" borderId="5" xfId="3" applyFont="1" applyFill="1" applyBorder="1" applyAlignment="1">
      <alignment horizontal="left" vertical="center"/>
    </xf>
    <xf numFmtId="0" fontId="31" fillId="11" borderId="6" xfId="3" applyFont="1" applyFill="1" applyBorder="1" applyAlignment="1">
      <alignment horizontal="left" vertical="center"/>
    </xf>
    <xf numFmtId="0" fontId="31" fillId="11" borderId="13" xfId="3" applyFont="1" applyFill="1" applyBorder="1" applyAlignment="1">
      <alignment horizontal="left" vertical="center" wrapText="1"/>
    </xf>
    <xf numFmtId="0" fontId="31" fillId="11" borderId="12" xfId="3" applyFont="1" applyFill="1" applyBorder="1" applyAlignment="1">
      <alignment horizontal="left" vertical="center" wrapText="1"/>
    </xf>
    <xf numFmtId="0" fontId="50" fillId="0" borderId="11" xfId="0" applyFont="1" applyBorder="1" applyAlignment="1">
      <alignment horizontal="center" wrapText="1"/>
    </xf>
    <xf numFmtId="0" fontId="50" fillId="0" borderId="0" xfId="0" applyFont="1" applyAlignment="1">
      <alignment horizontal="center"/>
    </xf>
    <xf numFmtId="0" fontId="50" fillId="0" borderId="10" xfId="0" applyFont="1" applyBorder="1" applyAlignment="1">
      <alignment horizontal="center"/>
    </xf>
    <xf numFmtId="0" fontId="50" fillId="0" borderId="11" xfId="0" applyFont="1" applyBorder="1" applyAlignment="1">
      <alignment horizontal="center"/>
    </xf>
    <xf numFmtId="0" fontId="42" fillId="0" borderId="4" xfId="0" applyFont="1" applyBorder="1" applyAlignment="1">
      <alignment horizontal="left" vertical="center"/>
    </xf>
    <xf numFmtId="0" fontId="32" fillId="0" borderId="4" xfId="0" applyFont="1" applyBorder="1" applyAlignment="1">
      <alignment horizontal="left" vertical="top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9" fillId="0" borderId="0" xfId="0" applyFont="1" applyAlignment="1">
      <alignment horizontal="center" vertical="distributed"/>
    </xf>
    <xf numFmtId="0" fontId="57" fillId="0" borderId="11" xfId="0" applyFont="1" applyBorder="1" applyAlignment="1">
      <alignment horizontal="center"/>
    </xf>
    <xf numFmtId="0" fontId="57" fillId="0" borderId="0" xfId="0" applyFont="1" applyAlignment="1">
      <alignment horizontal="center"/>
    </xf>
    <xf numFmtId="0" fontId="57" fillId="0" borderId="10" xfId="0" applyFont="1" applyBorder="1" applyAlignment="1">
      <alignment horizontal="center"/>
    </xf>
    <xf numFmtId="0" fontId="52" fillId="0" borderId="0" xfId="0" applyFont="1" applyAlignment="1">
      <alignment horizontal="center" vertical="distributed"/>
    </xf>
    <xf numFmtId="0" fontId="4" fillId="0" borderId="9" xfId="0" applyFont="1" applyBorder="1" applyAlignment="1">
      <alignment horizontal="center"/>
    </xf>
    <xf numFmtId="0" fontId="55" fillId="0" borderId="8" xfId="0" applyFont="1" applyBorder="1" applyAlignment="1">
      <alignment horizontal="center"/>
    </xf>
    <xf numFmtId="0" fontId="27" fillId="0" borderId="1" xfId="0" applyFont="1" applyBorder="1" applyAlignment="1">
      <alignment horizontal="center" vertical="top"/>
    </xf>
    <xf numFmtId="0" fontId="27" fillId="0" borderId="6" xfId="0" applyFont="1" applyBorder="1" applyAlignment="1">
      <alignment horizontal="center" vertical="top"/>
    </xf>
    <xf numFmtId="0" fontId="0" fillId="0" borderId="4" xfId="0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3" fillId="0" borderId="11" xfId="0" applyFont="1" applyBorder="1" applyAlignment="1">
      <alignment horizontal="center"/>
    </xf>
    <xf numFmtId="0" fontId="43" fillId="0" borderId="0" xfId="0" applyFont="1" applyAlignment="1">
      <alignment horizontal="center"/>
    </xf>
    <xf numFmtId="0" fontId="43" fillId="0" borderId="10" xfId="0" applyFont="1" applyBorder="1" applyAlignment="1">
      <alignment horizontal="center"/>
    </xf>
    <xf numFmtId="0" fontId="49" fillId="0" borderId="12" xfId="0" applyFont="1" applyBorder="1" applyAlignment="1">
      <alignment horizontal="center"/>
    </xf>
  </cellXfs>
  <cellStyles count="68">
    <cellStyle name="60% - Accent1" xfId="8" xr:uid="{00000000-0005-0000-0000-000000000000}"/>
    <cellStyle name="Accent1" xfId="9" xr:uid="{00000000-0005-0000-0000-000001000000}"/>
    <cellStyle name="Check Cell" xfId="10" xr:uid="{00000000-0005-0000-0000-000002000000}"/>
    <cellStyle name="Data" xfId="11" xr:uid="{00000000-0005-0000-0000-000003000000}"/>
    <cellStyle name="Euro" xfId="12" xr:uid="{00000000-0005-0000-0000-000004000000}"/>
    <cellStyle name="Excel Built-in Normal" xfId="13" xr:uid="{00000000-0005-0000-0000-000005000000}"/>
    <cellStyle name="Excel Built-in Normal 1" xfId="14" xr:uid="{00000000-0005-0000-0000-000006000000}"/>
    <cellStyle name="Excel_BuiltIn_Comma" xfId="15" xr:uid="{00000000-0005-0000-0000-000007000000}"/>
    <cellStyle name="Fixo" xfId="16" xr:uid="{00000000-0005-0000-0000-000008000000}"/>
    <cellStyle name="Good" xfId="17" xr:uid="{00000000-0005-0000-0000-000009000000}"/>
    <cellStyle name="HEADER" xfId="18" xr:uid="{00000000-0005-0000-0000-00000A000000}"/>
    <cellStyle name="Input" xfId="19" xr:uid="{00000000-0005-0000-0000-00000B000000}"/>
    <cellStyle name="Linked Cell" xfId="20" xr:uid="{00000000-0005-0000-0000-00000C000000}"/>
    <cellStyle name="Milliers [0]_after_discount" xfId="21" xr:uid="{00000000-0005-0000-0000-00000D000000}"/>
    <cellStyle name="Milliers_after_discount" xfId="22" xr:uid="{00000000-0005-0000-0000-00000E000000}"/>
    <cellStyle name="Model" xfId="23" xr:uid="{00000000-0005-0000-0000-00000F000000}"/>
    <cellStyle name="Moeda 2" xfId="24" xr:uid="{00000000-0005-0000-0000-000011000000}"/>
    <cellStyle name="Moeda 3" xfId="25" xr:uid="{00000000-0005-0000-0000-000012000000}"/>
    <cellStyle name="Monétaire [0]_after_discount" xfId="26" xr:uid="{00000000-0005-0000-0000-000013000000}"/>
    <cellStyle name="Monétaire_after_discount" xfId="27" xr:uid="{00000000-0005-0000-0000-000014000000}"/>
    <cellStyle name="Neutral" xfId="28" xr:uid="{00000000-0005-0000-0000-000015000000}"/>
    <cellStyle name="Normal" xfId="0" builtinId="0"/>
    <cellStyle name="Normal 2" xfId="3" xr:uid="{00000000-0005-0000-0000-000017000000}"/>
    <cellStyle name="Normal 2 2" xfId="29" xr:uid="{00000000-0005-0000-0000-000018000000}"/>
    <cellStyle name="Normal 2 2 2" xfId="62" xr:uid="{00000000-0005-0000-0000-000019000000}"/>
    <cellStyle name="Normal 2 2 3" xfId="67" xr:uid="{CA3B9B5A-4949-4F03-B79B-70AC4F9E1AFD}"/>
    <cellStyle name="Normal 2 3" xfId="61" xr:uid="{00000000-0005-0000-0000-00001A000000}"/>
    <cellStyle name="Normal 2 4" xfId="66" xr:uid="{30157227-CD1B-4DDA-8F1E-B1189BD4B7DD}"/>
    <cellStyle name="Normal 3" xfId="30" xr:uid="{00000000-0005-0000-0000-00001B000000}"/>
    <cellStyle name="Normal 4" xfId="31" xr:uid="{00000000-0005-0000-0000-00001C000000}"/>
    <cellStyle name="Normal 5" xfId="65" xr:uid="{03CAE97B-3E4F-435E-AEDB-1D43445423D8}"/>
    <cellStyle name="Note" xfId="32" xr:uid="{00000000-0005-0000-0000-00001D000000}"/>
    <cellStyle name="Œ…‹æØ‚è [0.00]_COST_SUM" xfId="33" xr:uid="{00000000-0005-0000-0000-00001E000000}"/>
    <cellStyle name="Œ…‹æØ‚è_COST_SUM" xfId="34" xr:uid="{00000000-0005-0000-0000-00001F000000}"/>
    <cellStyle name="Percentual" xfId="35" xr:uid="{00000000-0005-0000-0000-000020000000}"/>
    <cellStyle name="Ponto" xfId="36" xr:uid="{00000000-0005-0000-0000-000021000000}"/>
    <cellStyle name="Porcentagem" xfId="1" builtinId="5"/>
    <cellStyle name="Porcentagem 2" xfId="37" xr:uid="{00000000-0005-0000-0000-000023000000}"/>
    <cellStyle name="Porcentagem 2 2" xfId="5" xr:uid="{00000000-0005-0000-0000-000024000000}"/>
    <cellStyle name="Porcentagem 3" xfId="38" xr:uid="{00000000-0005-0000-0000-000025000000}"/>
    <cellStyle name="Porcentagem 3 2" xfId="39" xr:uid="{00000000-0005-0000-0000-000026000000}"/>
    <cellStyle name="Porcentagem 4" xfId="40" xr:uid="{00000000-0005-0000-0000-000027000000}"/>
    <cellStyle name="Porcentagem 5" xfId="41" xr:uid="{00000000-0005-0000-0000-000028000000}"/>
    <cellStyle name="Separador de m" xfId="42" xr:uid="{00000000-0005-0000-0000-000029000000}"/>
    <cellStyle name="Separador de milhares 2" xfId="4" xr:uid="{00000000-0005-0000-0000-00002A000000}"/>
    <cellStyle name="Separador de milhares 2 2" xfId="7" xr:uid="{00000000-0005-0000-0000-00002B000000}"/>
    <cellStyle name="Separador de milhares 3" xfId="6" xr:uid="{00000000-0005-0000-0000-00002C000000}"/>
    <cellStyle name="Separador de milhares 3 2" xfId="43" xr:uid="{00000000-0005-0000-0000-00002D000000}"/>
    <cellStyle name="Separador de milhares 4" xfId="44" xr:uid="{00000000-0005-0000-0000-00002E000000}"/>
    <cellStyle name="Separador de milhares 5" xfId="45" xr:uid="{00000000-0005-0000-0000-00002F000000}"/>
    <cellStyle name="Separador de milhares 6" xfId="46" xr:uid="{00000000-0005-0000-0000-000030000000}"/>
    <cellStyle name="Separador de milhares 6 2" xfId="47" xr:uid="{00000000-0005-0000-0000-000031000000}"/>
    <cellStyle name="Separador de milhares 7" xfId="48" xr:uid="{00000000-0005-0000-0000-000032000000}"/>
    <cellStyle name="subhead" xfId="49" xr:uid="{00000000-0005-0000-0000-000033000000}"/>
    <cellStyle name="SUBTIT" xfId="50" xr:uid="{00000000-0005-0000-0000-000034000000}"/>
    <cellStyle name="SUBTIT 2" xfId="51" xr:uid="{00000000-0005-0000-0000-000035000000}"/>
    <cellStyle name="Título 1 1" xfId="52" xr:uid="{00000000-0005-0000-0000-000036000000}"/>
    <cellStyle name="Titulo1" xfId="53" xr:uid="{00000000-0005-0000-0000-000037000000}"/>
    <cellStyle name="Titulo2" xfId="54" xr:uid="{00000000-0005-0000-0000-000038000000}"/>
    <cellStyle name="Vírgula" xfId="2" builtinId="3"/>
    <cellStyle name="Vírgula 2" xfId="55" xr:uid="{00000000-0005-0000-0000-00003A000000}"/>
    <cellStyle name="Vírgula 2 2" xfId="56" xr:uid="{00000000-0005-0000-0000-00003B000000}"/>
    <cellStyle name="Vírgula 3" xfId="57" xr:uid="{00000000-0005-0000-0000-00003C000000}"/>
    <cellStyle name="Vírgula 3 2" xfId="64" xr:uid="{037D8F93-F68F-41B2-A8A5-5E86226B5129}"/>
    <cellStyle name="Vírgula 4" xfId="58" xr:uid="{00000000-0005-0000-0000-00003D000000}"/>
    <cellStyle name="Vírgula 5" xfId="59" xr:uid="{00000000-0005-0000-0000-00003E000000}"/>
    <cellStyle name="Vírgula 6" xfId="63" xr:uid="{00000000-0005-0000-0000-00003F000000}"/>
    <cellStyle name="Warning Text" xfId="60" xr:uid="{00000000-0005-0000-0000-000040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476250</xdr:colOff>
      <xdr:row>0</xdr:row>
      <xdr:rowOff>76200</xdr:rowOff>
    </xdr:from>
    <xdr:to>
      <xdr:col>7</xdr:col>
      <xdr:colOff>142875</xdr:colOff>
      <xdr:row>0</xdr:row>
      <xdr:rowOff>1066800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1638300" y="76200"/>
          <a:ext cx="595312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55077</xdr:colOff>
      <xdr:row>0</xdr:row>
      <xdr:rowOff>55910</xdr:rowOff>
    </xdr:from>
    <xdr:to>
      <xdr:col>3</xdr:col>
      <xdr:colOff>19036</xdr:colOff>
      <xdr:row>0</xdr:row>
      <xdr:rowOff>1160808</xdr:rowOff>
    </xdr:to>
    <xdr:pic>
      <xdr:nvPicPr>
        <xdr:cNvPr id="2" name="Imagem 6" descr="Descrição: 1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77" y="55910"/>
          <a:ext cx="1347155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651364</xdr:colOff>
      <xdr:row>36</xdr:row>
      <xdr:rowOff>131152</xdr:rowOff>
    </xdr:from>
    <xdr:to>
      <xdr:col>3</xdr:col>
      <xdr:colOff>2241306</xdr:colOff>
      <xdr:row>42</xdr:row>
      <xdr:rowOff>15387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F2BCF5A7-D0E8-383A-C2CE-304DA28D3767}"/>
            </a:ext>
          </a:extLst>
        </xdr:cNvPr>
        <xdr:cNvSpPr txBox="1"/>
      </xdr:nvSpPr>
      <xdr:spPr>
        <a:xfrm>
          <a:off x="994264" y="10722952"/>
          <a:ext cx="2942492" cy="84626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/>
            <a:t>__________________________</a:t>
          </a:r>
        </a:p>
        <a:p>
          <a:pPr algn="ctr"/>
          <a:r>
            <a:rPr lang="pt-BR" sz="1100"/>
            <a:t>Claudemir Máximo</a:t>
          </a:r>
          <a:r>
            <a:rPr lang="pt-BR" sz="1100" baseline="0"/>
            <a:t> de Sousa</a:t>
          </a:r>
          <a:br>
            <a:rPr lang="pt-BR" sz="1100" baseline="0"/>
          </a:br>
          <a:r>
            <a:rPr lang="pt-BR" sz="1100" baseline="0"/>
            <a:t>Engenheiro Civil</a:t>
          </a:r>
        </a:p>
        <a:p>
          <a:pPr algn="ctr"/>
          <a:r>
            <a:rPr lang="pt-BR" sz="1100" baseline="0"/>
            <a:t>Crea-MG 174.203/D</a:t>
          </a:r>
          <a:endParaRPr lang="pt-BR" sz="1100"/>
        </a:p>
        <a:p>
          <a:endParaRPr lang="pt-BR" sz="1100"/>
        </a:p>
      </xdr:txBody>
    </xdr:sp>
    <xdr:clientData/>
  </xdr:twoCellAnchor>
  <xdr:twoCellAnchor>
    <xdr:from>
      <xdr:col>3</xdr:col>
      <xdr:colOff>3221648</xdr:colOff>
      <xdr:row>36</xdr:row>
      <xdr:rowOff>63012</xdr:rowOff>
    </xdr:from>
    <xdr:to>
      <xdr:col>6</xdr:col>
      <xdr:colOff>687265</xdr:colOff>
      <xdr:row>41</xdr:row>
      <xdr:rowOff>107706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1FCF8016-DF12-45EF-96CF-D9A58F99198F}"/>
            </a:ext>
          </a:extLst>
        </xdr:cNvPr>
        <xdr:cNvSpPr txBox="1"/>
      </xdr:nvSpPr>
      <xdr:spPr>
        <a:xfrm>
          <a:off x="4917098" y="10654812"/>
          <a:ext cx="2952017" cy="84479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/>
            <a:t>__________________________</a:t>
          </a:r>
        </a:p>
        <a:p>
          <a:pPr algn="ctr"/>
          <a:r>
            <a:rPr lang="pt-BR" sz="1100"/>
            <a:t>Sandro</a:t>
          </a:r>
          <a:r>
            <a:rPr lang="pt-BR" sz="1100" baseline="0"/>
            <a:t> Adriano Oliveira Silva</a:t>
          </a:r>
        </a:p>
        <a:p>
          <a:pPr algn="ctr"/>
          <a:r>
            <a:rPr lang="pt-BR" sz="1100" baseline="0"/>
            <a:t>Prefeito Municipal</a:t>
          </a:r>
          <a:endParaRPr lang="pt-B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921026</xdr:colOff>
      <xdr:row>0</xdr:row>
      <xdr:rowOff>92765</xdr:rowOff>
    </xdr:from>
    <xdr:to>
      <xdr:col>4</xdr:col>
      <xdr:colOff>1416326</xdr:colOff>
      <xdr:row>0</xdr:row>
      <xdr:rowOff>1083365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1302026" y="92765"/>
          <a:ext cx="6003235" cy="990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104775</xdr:colOff>
      <xdr:row>0</xdr:row>
      <xdr:rowOff>47627</xdr:rowOff>
    </xdr:from>
    <xdr:to>
      <xdr:col>1</xdr:col>
      <xdr:colOff>629478</xdr:colOff>
      <xdr:row>0</xdr:row>
      <xdr:rowOff>1152525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7"/>
          <a:ext cx="905703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24848</xdr:colOff>
      <xdr:row>32</xdr:row>
      <xdr:rowOff>66261</xdr:rowOff>
    </xdr:from>
    <xdr:to>
      <xdr:col>1</xdr:col>
      <xdr:colOff>2962944</xdr:colOff>
      <xdr:row>37</xdr:row>
      <xdr:rowOff>80596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122366AC-105D-4D9F-A26D-C72A649CFA42}"/>
            </a:ext>
          </a:extLst>
        </xdr:cNvPr>
        <xdr:cNvSpPr txBox="1"/>
      </xdr:nvSpPr>
      <xdr:spPr>
        <a:xfrm>
          <a:off x="405848" y="22967674"/>
          <a:ext cx="2938096" cy="842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/>
            <a:t>__________________________</a:t>
          </a:r>
        </a:p>
        <a:p>
          <a:pPr algn="ctr"/>
          <a:r>
            <a:rPr lang="pt-BR" sz="1100"/>
            <a:t>Claudemir Máximo</a:t>
          </a:r>
          <a:r>
            <a:rPr lang="pt-BR" sz="1100" baseline="0"/>
            <a:t> de Sousa</a:t>
          </a:r>
          <a:br>
            <a:rPr lang="pt-BR" sz="1100" baseline="0"/>
          </a:br>
          <a:r>
            <a:rPr lang="pt-BR" sz="1100" baseline="0"/>
            <a:t>Engenheiro Civil</a:t>
          </a:r>
        </a:p>
        <a:p>
          <a:pPr algn="ctr"/>
          <a:r>
            <a:rPr lang="pt-BR" sz="1100" baseline="0"/>
            <a:t>Crea-MG 174.203/D</a:t>
          </a:r>
          <a:endParaRPr lang="pt-BR" sz="1100"/>
        </a:p>
        <a:p>
          <a:endParaRPr lang="pt-BR" sz="1100"/>
        </a:p>
      </xdr:txBody>
    </xdr:sp>
    <xdr:clientData/>
  </xdr:twoCellAnchor>
  <xdr:twoCellAnchor>
    <xdr:from>
      <xdr:col>1</xdr:col>
      <xdr:colOff>3959087</xdr:colOff>
      <xdr:row>32</xdr:row>
      <xdr:rowOff>91109</xdr:rowOff>
    </xdr:from>
    <xdr:to>
      <xdr:col>4</xdr:col>
      <xdr:colOff>1389248</xdr:colOff>
      <xdr:row>37</xdr:row>
      <xdr:rowOff>105444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0EA8F573-7D74-4A73-81C7-79C189EF9B96}"/>
            </a:ext>
          </a:extLst>
        </xdr:cNvPr>
        <xdr:cNvSpPr txBox="1"/>
      </xdr:nvSpPr>
      <xdr:spPr>
        <a:xfrm>
          <a:off x="4340087" y="23274131"/>
          <a:ext cx="2938096" cy="842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/>
            <a:t>__________________________</a:t>
          </a:r>
        </a:p>
        <a:p>
          <a:pPr algn="ctr"/>
          <a:r>
            <a:rPr lang="pt-BR" sz="1100"/>
            <a:t>Sandro</a:t>
          </a:r>
          <a:r>
            <a:rPr lang="pt-BR" sz="1100" baseline="0"/>
            <a:t> Adriano Oliveira Silva</a:t>
          </a:r>
        </a:p>
        <a:p>
          <a:pPr algn="ctr"/>
          <a:r>
            <a:rPr lang="pt-BR" sz="1100" baseline="0"/>
            <a:t>Prefeito Municipal</a:t>
          </a:r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985631</xdr:colOff>
      <xdr:row>0</xdr:row>
      <xdr:rowOff>26504</xdr:rowOff>
    </xdr:from>
    <xdr:to>
      <xdr:col>5</xdr:col>
      <xdr:colOff>0</xdr:colOff>
      <xdr:row>0</xdr:row>
      <xdr:rowOff>1043608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697935" y="26504"/>
          <a:ext cx="7183093" cy="101710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28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28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190501</xdr:colOff>
      <xdr:row>0</xdr:row>
      <xdr:rowOff>41412</xdr:rowOff>
    </xdr:from>
    <xdr:to>
      <xdr:col>1</xdr:col>
      <xdr:colOff>604206</xdr:colOff>
      <xdr:row>0</xdr:row>
      <xdr:rowOff>1146310</xdr:rowOff>
    </xdr:to>
    <xdr:pic>
      <xdr:nvPicPr>
        <xdr:cNvPr id="4" name="Imagem 6" descr="Descrição: 1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1" y="41412"/>
          <a:ext cx="1126009" cy="1104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18</xdr:row>
      <xdr:rowOff>0</xdr:rowOff>
    </xdr:from>
    <xdr:to>
      <xdr:col>1</xdr:col>
      <xdr:colOff>2938096</xdr:colOff>
      <xdr:row>22</xdr:row>
      <xdr:rowOff>64030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132BFE0E-629E-4495-BD4E-9230A2DF7CC9}"/>
            </a:ext>
          </a:extLst>
        </xdr:cNvPr>
        <xdr:cNvSpPr txBox="1"/>
      </xdr:nvSpPr>
      <xdr:spPr>
        <a:xfrm>
          <a:off x="712304" y="6236804"/>
          <a:ext cx="2938096" cy="842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/>
            <a:t>__________________________</a:t>
          </a:r>
        </a:p>
        <a:p>
          <a:pPr algn="ctr"/>
          <a:r>
            <a:rPr lang="pt-BR" sz="1100"/>
            <a:t>Claudemir Máximo</a:t>
          </a:r>
          <a:r>
            <a:rPr lang="pt-BR" sz="1100" baseline="0"/>
            <a:t> de Sousa</a:t>
          </a:r>
          <a:br>
            <a:rPr lang="pt-BR" sz="1100" baseline="0"/>
          </a:br>
          <a:r>
            <a:rPr lang="pt-BR" sz="1100" baseline="0"/>
            <a:t>Engenheiro Civil</a:t>
          </a:r>
        </a:p>
        <a:p>
          <a:pPr algn="ctr"/>
          <a:r>
            <a:rPr lang="pt-BR" sz="1100" baseline="0"/>
            <a:t>Crea-MG 174.203/D</a:t>
          </a:r>
          <a:endParaRPr lang="pt-BR" sz="1100"/>
        </a:p>
        <a:p>
          <a:endParaRPr lang="pt-BR" sz="1100"/>
        </a:p>
      </xdr:txBody>
    </xdr:sp>
    <xdr:clientData/>
  </xdr:twoCellAnchor>
  <xdr:twoCellAnchor>
    <xdr:from>
      <xdr:col>2</xdr:col>
      <xdr:colOff>844828</xdr:colOff>
      <xdr:row>17</xdr:row>
      <xdr:rowOff>49695</xdr:rowOff>
    </xdr:from>
    <xdr:to>
      <xdr:col>5</xdr:col>
      <xdr:colOff>420185</xdr:colOff>
      <xdr:row>21</xdr:row>
      <xdr:rowOff>146856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D7106BA7-11F2-4A2D-90E2-FF45EC69AB06}"/>
            </a:ext>
          </a:extLst>
        </xdr:cNvPr>
        <xdr:cNvSpPr txBox="1"/>
      </xdr:nvSpPr>
      <xdr:spPr>
        <a:xfrm>
          <a:off x="5516219" y="6476999"/>
          <a:ext cx="2938096" cy="8425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/>
            <a:t>__________________________</a:t>
          </a:r>
        </a:p>
        <a:p>
          <a:pPr algn="ctr"/>
          <a:r>
            <a:rPr lang="pt-BR" sz="1100"/>
            <a:t>Sandro</a:t>
          </a:r>
          <a:r>
            <a:rPr lang="pt-BR" sz="1100" baseline="0"/>
            <a:t> Adriano Oliveira Silva</a:t>
          </a:r>
        </a:p>
        <a:p>
          <a:pPr algn="ctr"/>
          <a:r>
            <a:rPr lang="pt-BR" sz="1100" baseline="0"/>
            <a:t>Prefeito Municipal</a:t>
          </a:r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590550</xdr:colOff>
      <xdr:row>2</xdr:row>
      <xdr:rowOff>123825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65151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41413</xdr:colOff>
      <xdr:row>0</xdr:row>
      <xdr:rowOff>147018</xdr:rowOff>
    </xdr:from>
    <xdr:to>
      <xdr:col>1</xdr:col>
      <xdr:colOff>357326</xdr:colOff>
      <xdr:row>2</xdr:row>
      <xdr:rowOff>82827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413" y="147018"/>
          <a:ext cx="721761" cy="623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0</xdr:row>
      <xdr:rowOff>66675</xdr:rowOff>
    </xdr:from>
    <xdr:to>
      <xdr:col>5</xdr:col>
      <xdr:colOff>142875</xdr:colOff>
      <xdr:row>2</xdr:row>
      <xdr:rowOff>95250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609599" y="66675"/>
          <a:ext cx="5105401" cy="933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/>
          <a:r>
            <a:rPr lang="pt-BR" sz="1600" b="1" i="0" baseline="0">
              <a:effectLst/>
              <a:latin typeface="+mn-lt"/>
              <a:ea typeface="+mn-ea"/>
              <a:cs typeface="+mn-cs"/>
            </a:rPr>
            <a:t>PREFEITURA MUNICIPAL DE INHAPIM</a:t>
          </a:r>
          <a:endParaRPr lang="pt-BR" sz="160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CNPJ 20.905.865/0001-04.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 Praça Alaíde Quintela Soares, 115 - Centro - Telefone (0XX) 33 3315.1511</a:t>
          </a:r>
          <a:endParaRPr lang="pt-BR" sz="1050">
            <a:effectLst/>
          </a:endParaRPr>
        </a:p>
        <a:p>
          <a:pPr algn="ctr" rtl="0"/>
          <a:r>
            <a:rPr lang="pt-BR" sz="1100" b="0" i="0" baseline="0">
              <a:effectLst/>
              <a:latin typeface="+mn-lt"/>
              <a:ea typeface="+mn-ea"/>
              <a:cs typeface="+mn-cs"/>
            </a:rPr>
            <a:t>35330-000 - INHAPIM - MINAS GERAIS</a:t>
          </a:r>
          <a:endParaRPr lang="pt-BR" sz="1050">
            <a:effectLst/>
          </a:endParaRPr>
        </a:p>
      </xdr:txBody>
    </xdr:sp>
    <xdr:clientData/>
  </xdr:twoCellAnchor>
  <xdr:twoCellAnchor>
    <xdr:from>
      <xdr:col>0</xdr:col>
      <xdr:colOff>161925</xdr:colOff>
      <xdr:row>0</xdr:row>
      <xdr:rowOff>66675</xdr:rowOff>
    </xdr:from>
    <xdr:to>
      <xdr:col>1</xdr:col>
      <xdr:colOff>337137</xdr:colOff>
      <xdr:row>2</xdr:row>
      <xdr:rowOff>76200</xdr:rowOff>
    </xdr:to>
    <xdr:pic>
      <xdr:nvPicPr>
        <xdr:cNvPr id="3" name="Imagem 6" descr="Descrição: 1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66675"/>
          <a:ext cx="784812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9"/>
  <sheetViews>
    <sheetView showGridLines="0" showZeros="0" view="pageBreakPreview" zoomScaleNormal="100" zoomScaleSheetLayoutView="100" workbookViewId="0">
      <selection activeCell="A5" sqref="A5"/>
    </sheetView>
  </sheetViews>
  <sheetFormatPr defaultColWidth="9.140625" defaultRowHeight="12.75"/>
  <cols>
    <col min="1" max="1" width="5.140625" style="12" customWidth="1"/>
    <col min="2" max="2" width="11.5703125" style="12" customWidth="1"/>
    <col min="3" max="3" width="8.7109375" style="12" customWidth="1"/>
    <col min="4" max="4" width="60.42578125" style="12" customWidth="1"/>
    <col min="5" max="5" width="10.140625" style="12" customWidth="1"/>
    <col min="6" max="6" width="11.7109375" style="12" customWidth="1"/>
    <col min="7" max="7" width="11" style="13" customWidth="1"/>
    <col min="8" max="8" width="11.7109375" style="12" customWidth="1"/>
    <col min="9" max="9" width="13.5703125" style="12" bestFit="1" customWidth="1"/>
    <col min="10" max="10" width="11.85546875" style="12" bestFit="1" customWidth="1"/>
    <col min="11" max="16384" width="9.140625" style="12"/>
  </cols>
  <sheetData>
    <row r="1" spans="1:10" ht="94.5" customHeight="1">
      <c r="A1" s="294"/>
      <c r="B1" s="295"/>
      <c r="C1" s="295"/>
      <c r="D1" s="292"/>
      <c r="E1" s="292"/>
      <c r="F1" s="292"/>
      <c r="G1" s="292"/>
      <c r="H1" s="292"/>
      <c r="I1" s="293"/>
    </row>
    <row r="2" spans="1:10" s="25" customFormat="1" ht="21.75" customHeight="1">
      <c r="A2" s="302" t="s">
        <v>26</v>
      </c>
      <c r="B2" s="303"/>
      <c r="C2" s="304"/>
      <c r="D2" s="304"/>
      <c r="E2" s="304"/>
      <c r="F2" s="304"/>
      <c r="G2" s="304"/>
      <c r="H2" s="304"/>
      <c r="I2" s="305"/>
    </row>
    <row r="3" spans="1:10" s="59" customFormat="1" ht="20.100000000000001" customHeight="1">
      <c r="A3" s="284" t="s">
        <v>178</v>
      </c>
      <c r="B3" s="285"/>
      <c r="C3" s="285"/>
      <c r="D3" s="285"/>
      <c r="E3" s="285"/>
      <c r="F3" s="308" t="s">
        <v>37</v>
      </c>
      <c r="G3" s="309"/>
      <c r="H3" s="310" t="s">
        <v>30</v>
      </c>
      <c r="I3" s="311"/>
    </row>
    <row r="4" spans="1:10" s="59" customFormat="1" ht="20.100000000000001" customHeight="1">
      <c r="A4" s="278" t="s">
        <v>177</v>
      </c>
      <c r="B4" s="279"/>
      <c r="C4" s="279"/>
      <c r="D4" s="279"/>
      <c r="E4" s="287"/>
      <c r="F4" s="308" t="s">
        <v>19</v>
      </c>
      <c r="G4" s="309"/>
      <c r="H4" s="306">
        <f ca="1">TODAY()</f>
        <v>45979</v>
      </c>
      <c r="I4" s="307"/>
    </row>
    <row r="5" spans="1:10" s="59" customFormat="1" ht="20.100000000000001" customHeight="1">
      <c r="A5" s="220" t="s">
        <v>186</v>
      </c>
      <c r="B5" s="281"/>
      <c r="C5" s="281"/>
      <c r="D5" s="286"/>
      <c r="E5" s="280"/>
      <c r="F5" s="297" t="s">
        <v>6</v>
      </c>
      <c r="G5" s="298"/>
      <c r="H5" s="298"/>
      <c r="I5" s="298"/>
      <c r="J5" s="74"/>
    </row>
    <row r="6" spans="1:10" s="59" customFormat="1" ht="24.95" customHeight="1">
      <c r="A6" s="282" t="s">
        <v>87</v>
      </c>
      <c r="B6" s="283"/>
      <c r="C6" s="283"/>
      <c r="D6" s="283"/>
      <c r="E6" s="288"/>
      <c r="F6" s="29" t="s">
        <v>18</v>
      </c>
      <c r="G6" s="30" t="s">
        <v>3</v>
      </c>
      <c r="H6" s="29" t="s">
        <v>31</v>
      </c>
      <c r="I6" s="29" t="s">
        <v>4</v>
      </c>
    </row>
    <row r="7" spans="1:10" s="59" customFormat="1" ht="24.95" customHeight="1">
      <c r="A7" s="299" t="s">
        <v>34</v>
      </c>
      <c r="B7" s="300"/>
      <c r="C7" s="300"/>
      <c r="D7" s="300"/>
      <c r="E7" s="301"/>
      <c r="F7" s="22" t="s">
        <v>23</v>
      </c>
      <c r="G7" s="68">
        <v>0.05</v>
      </c>
      <c r="H7" s="29" t="s">
        <v>29</v>
      </c>
      <c r="I7" s="69">
        <v>0.24229999999999999</v>
      </c>
    </row>
    <row r="8" spans="1:10" ht="3.75" customHeight="1">
      <c r="A8" s="296"/>
      <c r="B8" s="296"/>
      <c r="C8" s="296"/>
      <c r="D8" s="296"/>
      <c r="E8" s="296"/>
      <c r="F8" s="296"/>
      <c r="G8" s="296"/>
      <c r="H8" s="296"/>
      <c r="I8" s="296"/>
    </row>
    <row r="9" spans="1:10" s="59" customFormat="1" ht="35.1" customHeight="1">
      <c r="A9" s="29" t="s">
        <v>0</v>
      </c>
      <c r="B9" s="29"/>
      <c r="C9" s="29" t="s">
        <v>24</v>
      </c>
      <c r="D9" s="29" t="s">
        <v>25</v>
      </c>
      <c r="E9" s="29" t="s">
        <v>2</v>
      </c>
      <c r="F9" s="145" t="s">
        <v>1</v>
      </c>
      <c r="G9" s="21" t="s">
        <v>27</v>
      </c>
      <c r="H9" s="22" t="s">
        <v>28</v>
      </c>
      <c r="I9" s="22" t="s">
        <v>5</v>
      </c>
    </row>
    <row r="10" spans="1:10" s="59" customFormat="1" ht="11.25">
      <c r="A10" s="15" t="s">
        <v>21</v>
      </c>
      <c r="B10" s="16"/>
      <c r="C10" s="18"/>
      <c r="D10" s="73" t="s">
        <v>76</v>
      </c>
      <c r="E10" s="19"/>
      <c r="F10" s="20"/>
      <c r="G10" s="20"/>
      <c r="H10" s="20">
        <f t="shared" ref="H10:H30" si="0">ROUND(G10+(G10*$I$7),2)</f>
        <v>0</v>
      </c>
      <c r="I10" s="179">
        <f>SUM(I11)</f>
        <v>2782.76</v>
      </c>
    </row>
    <row r="11" spans="1:10" s="59" customFormat="1" ht="22.5">
      <c r="A11" s="154" t="s">
        <v>8</v>
      </c>
      <c r="B11" s="154" t="s">
        <v>73</v>
      </c>
      <c r="C11" s="72">
        <v>103689</v>
      </c>
      <c r="D11" s="165" t="s">
        <v>75</v>
      </c>
      <c r="E11" s="72" t="s">
        <v>7</v>
      </c>
      <c r="F11" s="142">
        <f>'Memória de Cálculo'!D9</f>
        <v>4.5</v>
      </c>
      <c r="G11" s="181">
        <v>497.78</v>
      </c>
      <c r="H11" s="177">
        <f t="shared" si="0"/>
        <v>618.39</v>
      </c>
      <c r="I11" s="177">
        <f t="shared" ref="I11:I26" si="1">ROUND((F11*H11),2)</f>
        <v>2782.76</v>
      </c>
    </row>
    <row r="12" spans="1:10" s="59" customFormat="1" ht="7.5" customHeight="1">
      <c r="A12" s="154"/>
      <c r="B12" s="170"/>
      <c r="C12" s="170"/>
      <c r="D12" s="173"/>
      <c r="E12" s="170"/>
      <c r="F12" s="150"/>
      <c r="G12" s="182"/>
      <c r="H12" s="183"/>
      <c r="I12" s="184"/>
    </row>
    <row r="13" spans="1:10" s="59" customFormat="1" ht="11.25">
      <c r="A13" s="15" t="s">
        <v>86</v>
      </c>
      <c r="B13" s="16"/>
      <c r="C13" s="18"/>
      <c r="D13" s="73" t="s">
        <v>81</v>
      </c>
      <c r="E13" s="19"/>
      <c r="F13" s="20"/>
      <c r="G13" s="20"/>
      <c r="H13" s="20">
        <f t="shared" ref="H13" si="2">ROUND(G13+(G13*$I$7),2)</f>
        <v>0</v>
      </c>
      <c r="I13" s="179">
        <f>SUM(I14)</f>
        <v>7082.8</v>
      </c>
    </row>
    <row r="14" spans="1:10" s="59" customFormat="1" ht="11.25">
      <c r="A14" s="72" t="s">
        <v>82</v>
      </c>
      <c r="B14" s="170" t="s">
        <v>62</v>
      </c>
      <c r="C14" s="174" t="str">
        <f>Composição!B18</f>
        <v>002</v>
      </c>
      <c r="D14" s="173" t="s">
        <v>81</v>
      </c>
      <c r="E14" s="72"/>
      <c r="F14" s="142">
        <f>'Memória de Cálculo'!D12</f>
        <v>1</v>
      </c>
      <c r="G14" s="182">
        <f>Composição!F18</f>
        <v>5701.3600000000006</v>
      </c>
      <c r="H14" s="177">
        <f t="shared" si="0"/>
        <v>7082.8</v>
      </c>
      <c r="I14" s="177">
        <f t="shared" si="1"/>
        <v>7082.8</v>
      </c>
    </row>
    <row r="15" spans="1:10" s="59" customFormat="1" ht="6" customHeight="1">
      <c r="A15" s="154"/>
      <c r="B15" s="170"/>
      <c r="C15" s="170"/>
      <c r="D15" s="173"/>
      <c r="E15" s="170"/>
      <c r="F15" s="150">
        <f>'Memória de Cálculo'!D13</f>
        <v>0</v>
      </c>
      <c r="G15" s="182"/>
      <c r="H15" s="183"/>
      <c r="I15" s="184"/>
    </row>
    <row r="16" spans="1:10" s="59" customFormat="1" ht="11.25">
      <c r="A16" s="15" t="s">
        <v>121</v>
      </c>
      <c r="B16" s="16"/>
      <c r="C16" s="18"/>
      <c r="D16" s="73" t="s">
        <v>133</v>
      </c>
      <c r="E16" s="19"/>
      <c r="F16" s="20">
        <f>'Memória de Cálculo'!D14</f>
        <v>0</v>
      </c>
      <c r="G16" s="178"/>
      <c r="H16" s="178">
        <f t="shared" si="0"/>
        <v>0</v>
      </c>
      <c r="I16" s="179">
        <f>SUM(I17:I30)</f>
        <v>140255.65</v>
      </c>
    </row>
    <row r="17" spans="1:11" s="59" customFormat="1" ht="22.5">
      <c r="A17" s="66" t="s">
        <v>66</v>
      </c>
      <c r="B17" s="66" t="s">
        <v>73</v>
      </c>
      <c r="C17" s="72">
        <v>99061</v>
      </c>
      <c r="D17" s="246" t="s">
        <v>98</v>
      </c>
      <c r="E17" s="70" t="s">
        <v>99</v>
      </c>
      <c r="F17" s="71">
        <f>'Memória de Cálculo'!D15</f>
        <v>8</v>
      </c>
      <c r="G17" s="176">
        <v>126.7</v>
      </c>
      <c r="H17" s="177">
        <f t="shared" si="0"/>
        <v>157.4</v>
      </c>
      <c r="I17" s="177">
        <f t="shared" si="1"/>
        <v>1259.2</v>
      </c>
    </row>
    <row r="18" spans="1:11" s="59" customFormat="1" ht="33.75">
      <c r="A18" s="66" t="s">
        <v>67</v>
      </c>
      <c r="B18" s="66" t="s">
        <v>73</v>
      </c>
      <c r="C18" s="72">
        <v>96521</v>
      </c>
      <c r="D18" s="246" t="s">
        <v>92</v>
      </c>
      <c r="E18" s="70" t="s">
        <v>9</v>
      </c>
      <c r="F18" s="71">
        <f>'Memória de Cálculo'!D16</f>
        <v>46.400000000000006</v>
      </c>
      <c r="G18" s="176">
        <v>42.78</v>
      </c>
      <c r="H18" s="177">
        <f t="shared" si="0"/>
        <v>53.15</v>
      </c>
      <c r="I18" s="177">
        <f t="shared" si="1"/>
        <v>2466.16</v>
      </c>
    </row>
    <row r="19" spans="1:11" s="59" customFormat="1" ht="22.5">
      <c r="A19" s="66" t="s">
        <v>122</v>
      </c>
      <c r="B19" s="66" t="s">
        <v>73</v>
      </c>
      <c r="C19" s="72">
        <v>92264</v>
      </c>
      <c r="D19" s="246" t="s">
        <v>93</v>
      </c>
      <c r="E19" s="70" t="s">
        <v>7</v>
      </c>
      <c r="F19" s="71">
        <f>'Memória de Cálculo'!D17</f>
        <v>100.92000000000002</v>
      </c>
      <c r="G19" s="176">
        <v>215.14</v>
      </c>
      <c r="H19" s="177">
        <f t="shared" si="0"/>
        <v>267.27</v>
      </c>
      <c r="I19" s="180">
        <f t="shared" si="1"/>
        <v>26972.89</v>
      </c>
    </row>
    <row r="20" spans="1:11" s="59" customFormat="1" ht="34.5" customHeight="1">
      <c r="A20" s="66" t="s">
        <v>123</v>
      </c>
      <c r="B20" s="66" t="s">
        <v>73</v>
      </c>
      <c r="C20" s="72">
        <v>94965</v>
      </c>
      <c r="D20" s="246" t="s">
        <v>94</v>
      </c>
      <c r="E20" s="66" t="s">
        <v>9</v>
      </c>
      <c r="F20" s="71">
        <f>'Memória de Cálculo'!D18</f>
        <v>13.45</v>
      </c>
      <c r="G20" s="176">
        <v>558.07000000000005</v>
      </c>
      <c r="H20" s="180">
        <f t="shared" si="0"/>
        <v>693.29</v>
      </c>
      <c r="I20" s="180">
        <f t="shared" si="1"/>
        <v>9324.75</v>
      </c>
      <c r="J20" s="60"/>
    </row>
    <row r="21" spans="1:11" s="59" customFormat="1" ht="37.5" customHeight="1">
      <c r="A21" s="66" t="s">
        <v>124</v>
      </c>
      <c r="B21" s="66" t="s">
        <v>73</v>
      </c>
      <c r="C21" s="72">
        <v>92919</v>
      </c>
      <c r="D21" s="246" t="s">
        <v>95</v>
      </c>
      <c r="E21" s="72" t="s">
        <v>74</v>
      </c>
      <c r="F21" s="71">
        <f>'Memória de Cálculo'!D19</f>
        <v>863.31</v>
      </c>
      <c r="G21" s="176">
        <v>11.64</v>
      </c>
      <c r="H21" s="180">
        <f t="shared" si="0"/>
        <v>14.46</v>
      </c>
      <c r="I21" s="180">
        <f t="shared" si="1"/>
        <v>12483.46</v>
      </c>
      <c r="J21" s="60"/>
    </row>
    <row r="22" spans="1:11" s="59" customFormat="1" ht="37.5" customHeight="1">
      <c r="A22" s="66" t="s">
        <v>125</v>
      </c>
      <c r="B22" s="66" t="s">
        <v>73</v>
      </c>
      <c r="C22" s="72">
        <v>92917</v>
      </c>
      <c r="D22" s="247" t="s">
        <v>100</v>
      </c>
      <c r="E22" s="72" t="s">
        <v>74</v>
      </c>
      <c r="F22" s="71">
        <f>'Memória de Cálculo'!D20</f>
        <v>127.74</v>
      </c>
      <c r="G22" s="176">
        <v>14.9</v>
      </c>
      <c r="H22" s="180">
        <f t="shared" si="0"/>
        <v>18.510000000000002</v>
      </c>
      <c r="I22" s="180">
        <f t="shared" si="1"/>
        <v>2364.4699999999998</v>
      </c>
      <c r="J22" s="60"/>
    </row>
    <row r="23" spans="1:11" s="59" customFormat="1" ht="37.5" customHeight="1">
      <c r="A23" s="66" t="s">
        <v>126</v>
      </c>
      <c r="B23" s="66" t="s">
        <v>73</v>
      </c>
      <c r="C23" s="72">
        <v>92916</v>
      </c>
      <c r="D23" s="246" t="s">
        <v>101</v>
      </c>
      <c r="E23" s="72" t="s">
        <v>74</v>
      </c>
      <c r="F23" s="71">
        <f>'Memória de Cálculo'!D21</f>
        <v>69.38</v>
      </c>
      <c r="G23" s="176">
        <v>16.53</v>
      </c>
      <c r="H23" s="180">
        <f t="shared" si="0"/>
        <v>20.54</v>
      </c>
      <c r="I23" s="180">
        <f t="shared" si="1"/>
        <v>1425.07</v>
      </c>
      <c r="J23" s="60"/>
    </row>
    <row r="24" spans="1:11" s="59" customFormat="1" ht="33.75">
      <c r="A24" s="66" t="s">
        <v>127</v>
      </c>
      <c r="B24" s="66" t="s">
        <v>73</v>
      </c>
      <c r="C24" s="72">
        <v>92915</v>
      </c>
      <c r="D24" s="247" t="s">
        <v>96</v>
      </c>
      <c r="E24" s="72" t="s">
        <v>74</v>
      </c>
      <c r="F24" s="71">
        <f>calculos!L8</f>
        <v>40.98</v>
      </c>
      <c r="G24" s="176">
        <v>16.53</v>
      </c>
      <c r="H24" s="180">
        <f t="shared" si="0"/>
        <v>20.54</v>
      </c>
      <c r="I24" s="180">
        <f t="shared" si="1"/>
        <v>841.73</v>
      </c>
      <c r="J24" s="60"/>
    </row>
    <row r="25" spans="1:11" s="59" customFormat="1" ht="27" customHeight="1">
      <c r="A25" s="66" t="s">
        <v>128</v>
      </c>
      <c r="B25" s="66" t="s">
        <v>80</v>
      </c>
      <c r="C25" s="72">
        <v>1505877</v>
      </c>
      <c r="D25" s="248" t="s">
        <v>88</v>
      </c>
      <c r="E25" s="72" t="s">
        <v>9</v>
      </c>
      <c r="F25" s="71">
        <f>'Memória de Cálculo'!D23</f>
        <v>19.599999999999998</v>
      </c>
      <c r="G25" s="176">
        <v>213.84</v>
      </c>
      <c r="H25" s="180">
        <f t="shared" si="0"/>
        <v>265.64999999999998</v>
      </c>
      <c r="I25" s="180">
        <f t="shared" si="1"/>
        <v>5206.74</v>
      </c>
    </row>
    <row r="26" spans="1:11" s="59" customFormat="1" ht="22.5">
      <c r="A26" s="66" t="s">
        <v>129</v>
      </c>
      <c r="B26" s="66" t="s">
        <v>73</v>
      </c>
      <c r="C26" s="221">
        <v>95428</v>
      </c>
      <c r="D26" s="248" t="s">
        <v>102</v>
      </c>
      <c r="E26" s="222" t="s">
        <v>89</v>
      </c>
      <c r="F26" s="71">
        <f>'Memória de Cálculo'!D24</f>
        <v>1940.3999999999999</v>
      </c>
      <c r="G26" s="177">
        <v>1.56</v>
      </c>
      <c r="H26" s="177">
        <f t="shared" si="0"/>
        <v>1.94</v>
      </c>
      <c r="I26" s="177">
        <f t="shared" si="1"/>
        <v>3764.38</v>
      </c>
      <c r="J26" s="60"/>
    </row>
    <row r="27" spans="1:11" s="59" customFormat="1" ht="22.5">
      <c r="A27" s="66" t="s">
        <v>130</v>
      </c>
      <c r="B27" s="66" t="s">
        <v>62</v>
      </c>
      <c r="C27" s="263" t="s">
        <v>146</v>
      </c>
      <c r="D27" s="264" t="str">
        <f>Composição!C12</f>
        <v>ESTACA DE MADEIRA ROLIÇA EM EUCALIPTO TRATADO, DIÂMETRO DE 18 A 20 CM. INCLUSIVE IÇAMENTO E CRAVAÇÃO COM ESCAVADEIRA HIDRÁULICA</v>
      </c>
      <c r="E27" s="72" t="s">
        <v>10</v>
      </c>
      <c r="F27" s="71">
        <f>'Memória de Cálculo'!D25</f>
        <v>32</v>
      </c>
      <c r="G27" s="177">
        <f>Composição!F12</f>
        <v>191.9109</v>
      </c>
      <c r="H27" s="177">
        <f t="shared" si="0"/>
        <v>238.41</v>
      </c>
      <c r="I27" s="177">
        <f>ROUND((F27*H27),2)</f>
        <v>7629.12</v>
      </c>
      <c r="J27" s="60"/>
    </row>
    <row r="28" spans="1:11" s="59" customFormat="1" ht="22.5">
      <c r="A28" s="66" t="s">
        <v>131</v>
      </c>
      <c r="B28" s="66" t="s">
        <v>62</v>
      </c>
      <c r="C28" s="265" t="s">
        <v>150</v>
      </c>
      <c r="D28" s="264" t="str">
        <f>Composição!C22</f>
        <v>ADUELA DE CONCRETO 2,30x2,30x1,00 ARMADA, INCLUSIVE, EXECUÇÃO , IÇAMENTO E REJUNTAMENTO DA PEÇA.</v>
      </c>
      <c r="E28" s="72" t="s">
        <v>147</v>
      </c>
      <c r="F28" s="71">
        <f>'Memória de Cálculo'!D26</f>
        <v>10</v>
      </c>
      <c r="G28" s="177">
        <f>Composição!F22</f>
        <v>3967.6446699999997</v>
      </c>
      <c r="H28" s="177">
        <f t="shared" si="0"/>
        <v>4929</v>
      </c>
      <c r="I28" s="177">
        <f>ROUND((F28*H28),2)</f>
        <v>49290</v>
      </c>
      <c r="J28" s="60"/>
    </row>
    <row r="29" spans="1:11" s="59" customFormat="1" ht="33.75">
      <c r="A29" s="66" t="s">
        <v>168</v>
      </c>
      <c r="B29" s="66" t="s">
        <v>73</v>
      </c>
      <c r="C29" s="265">
        <v>100952</v>
      </c>
      <c r="D29" s="249" t="s">
        <v>172</v>
      </c>
      <c r="E29" s="72" t="s">
        <v>173</v>
      </c>
      <c r="F29" s="71">
        <f>'Memória de Cálculo'!D27</f>
        <v>3405.5999999999995</v>
      </c>
      <c r="G29" s="177">
        <v>2.89</v>
      </c>
      <c r="H29" s="177">
        <f t="shared" si="0"/>
        <v>3.59</v>
      </c>
      <c r="I29" s="177">
        <f t="shared" ref="I29:I30" si="3">ROUND((F29*H29),2)</f>
        <v>12226.1</v>
      </c>
      <c r="J29" s="60"/>
    </row>
    <row r="30" spans="1:11" s="59" customFormat="1" ht="22.5">
      <c r="A30" s="66" t="s">
        <v>169</v>
      </c>
      <c r="B30" s="66" t="s">
        <v>62</v>
      </c>
      <c r="C30" s="265" t="s">
        <v>170</v>
      </c>
      <c r="D30" s="275" t="str">
        <f>Composição!C29</f>
        <v>GUARDA CORPO EM TUBO DE AÇO GALVANIZADO DIÂMETRO 3" ALTURA 1,10 M , INCLUSO PINTURA EM ZARCÃO E DUAS DEMÃOS DE PINTURA ESMALTE</v>
      </c>
      <c r="E30" s="72" t="s">
        <v>10</v>
      </c>
      <c r="F30" s="71">
        <f>'Memória de Cálculo'!D28</f>
        <v>16.600000000000001</v>
      </c>
      <c r="G30" s="177">
        <f>Composição!F29</f>
        <v>242.53227200000006</v>
      </c>
      <c r="H30" s="177">
        <f t="shared" si="0"/>
        <v>301.3</v>
      </c>
      <c r="I30" s="177">
        <f t="shared" si="3"/>
        <v>5001.58</v>
      </c>
      <c r="J30" s="60"/>
    </row>
    <row r="31" spans="1:11" s="59" customFormat="1" ht="6" customHeight="1">
      <c r="A31" s="193"/>
      <c r="B31" s="173"/>
      <c r="C31" s="173"/>
      <c r="D31" s="173"/>
      <c r="E31" s="173"/>
      <c r="F31" s="173"/>
      <c r="G31" s="173"/>
      <c r="H31" s="173"/>
      <c r="I31" s="194"/>
    </row>
    <row r="32" spans="1:11" s="25" customFormat="1" ht="20.100000000000001" customHeight="1">
      <c r="A32" s="188"/>
      <c r="B32" s="189"/>
      <c r="C32" s="189"/>
      <c r="D32" s="190" t="s">
        <v>32</v>
      </c>
      <c r="E32" s="189"/>
      <c r="F32" s="189"/>
      <c r="G32" s="189"/>
      <c r="H32" s="191"/>
      <c r="I32" s="192">
        <f>I16+I13+I10</f>
        <v>150121.21</v>
      </c>
      <c r="K32" s="26"/>
    </row>
    <row r="33" spans="1:11" s="25" customFormat="1" ht="13.5" customHeight="1">
      <c r="A33" s="136"/>
      <c r="B33" s="137"/>
      <c r="C33" s="137"/>
      <c r="D33" s="137"/>
      <c r="E33" s="137"/>
      <c r="F33" s="137"/>
      <c r="G33" s="137"/>
      <c r="H33" s="137"/>
      <c r="I33" s="138"/>
      <c r="K33" s="26"/>
    </row>
    <row r="34" spans="1:11" s="25" customFormat="1" ht="15.75" customHeight="1">
      <c r="A34" s="136"/>
      <c r="B34" s="137"/>
      <c r="C34" s="137"/>
      <c r="D34" s="137"/>
      <c r="E34" s="137"/>
      <c r="F34" s="137"/>
      <c r="G34" s="137"/>
      <c r="H34" s="137"/>
      <c r="I34" s="138"/>
      <c r="K34" s="26"/>
    </row>
    <row r="35" spans="1:11" ht="14.25" customHeight="1">
      <c r="A35" s="3"/>
      <c r="B35" s="4"/>
      <c r="C35" s="4"/>
      <c r="D35" s="4"/>
      <c r="E35" s="4"/>
      <c r="F35" s="4"/>
      <c r="G35" s="5"/>
      <c r="H35" s="4"/>
      <c r="I35" s="6"/>
      <c r="K35" s="61"/>
    </row>
    <row r="36" spans="1:11" ht="11.25" customHeight="1">
      <c r="A36" s="7"/>
      <c r="B36" s="8"/>
      <c r="C36" s="8"/>
      <c r="D36" s="8"/>
      <c r="E36" s="8"/>
      <c r="F36" s="8"/>
      <c r="G36" s="9"/>
      <c r="H36" s="8"/>
      <c r="I36" s="10"/>
    </row>
    <row r="37" spans="1:11" ht="12" customHeight="1">
      <c r="A37" s="7"/>
      <c r="B37" s="8"/>
      <c r="C37" s="8"/>
      <c r="D37" s="8"/>
      <c r="E37" s="8"/>
      <c r="F37" s="8"/>
      <c r="G37" s="8"/>
      <c r="H37" s="8"/>
      <c r="I37" s="10"/>
    </row>
    <row r="38" spans="1:11" s="25" customFormat="1" ht="12.75" customHeight="1">
      <c r="A38" s="24"/>
      <c r="I38" s="27"/>
    </row>
    <row r="39" spans="1:11">
      <c r="A39" s="24"/>
      <c r="B39" s="25"/>
      <c r="C39" s="25"/>
      <c r="D39" s="25"/>
      <c r="E39" s="25"/>
      <c r="F39" s="25"/>
      <c r="G39" s="25"/>
      <c r="H39" s="25"/>
      <c r="I39" s="27"/>
    </row>
    <row r="40" spans="1:11">
      <c r="A40" s="11"/>
      <c r="D40" s="166"/>
      <c r="I40" s="14"/>
    </row>
    <row r="41" spans="1:11">
      <c r="A41" s="11"/>
      <c r="I41" s="14"/>
    </row>
    <row r="42" spans="1:11">
      <c r="A42" s="11"/>
      <c r="I42" s="14"/>
    </row>
    <row r="43" spans="1:11" ht="11.25" customHeight="1">
      <c r="A43" s="7"/>
      <c r="B43" s="8"/>
      <c r="C43" s="8"/>
      <c r="D43" s="8"/>
      <c r="E43" s="8"/>
      <c r="F43" s="8"/>
      <c r="G43" s="8"/>
      <c r="H43" s="8"/>
      <c r="I43" s="10"/>
    </row>
    <row r="44" spans="1:11" s="25" customFormat="1" ht="12.75" customHeight="1">
      <c r="A44" s="185"/>
      <c r="B44" s="186"/>
      <c r="C44" s="186"/>
      <c r="D44" s="186"/>
      <c r="E44" s="186"/>
      <c r="F44" s="186"/>
      <c r="G44" s="186"/>
      <c r="H44" s="186"/>
      <c r="I44" s="187"/>
    </row>
    <row r="45" spans="1:11" s="25" customFormat="1" ht="12" customHeight="1">
      <c r="A45" s="24"/>
      <c r="I45" s="27"/>
    </row>
    <row r="46" spans="1:11" s="25" customFormat="1" ht="12" customHeight="1">
      <c r="A46" s="24"/>
      <c r="D46" s="166"/>
      <c r="G46" s="26"/>
      <c r="I46" s="27"/>
    </row>
    <row r="47" spans="1:11">
      <c r="A47" s="62"/>
      <c r="B47" s="63"/>
      <c r="C47" s="63"/>
      <c r="D47" s="63"/>
      <c r="E47" s="63"/>
      <c r="F47" s="63"/>
      <c r="G47" s="64"/>
      <c r="H47" s="63"/>
      <c r="I47" s="65"/>
    </row>
    <row r="49" spans="1:9" ht="69.95" customHeight="1">
      <c r="A49" s="289" t="s">
        <v>36</v>
      </c>
      <c r="B49" s="290"/>
      <c r="C49" s="290"/>
      <c r="D49" s="290"/>
      <c r="E49" s="290"/>
      <c r="F49" s="290"/>
      <c r="G49" s="290"/>
      <c r="H49" s="290"/>
      <c r="I49" s="291"/>
    </row>
  </sheetData>
  <autoFilter ref="C10:C28" xr:uid="{00000000-0001-0000-0100-000000000000}"/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1">
    <mergeCell ref="A49:I49"/>
    <mergeCell ref="D1:I1"/>
    <mergeCell ref="A1:C1"/>
    <mergeCell ref="A8:I8"/>
    <mergeCell ref="F5:I5"/>
    <mergeCell ref="A7:E7"/>
    <mergeCell ref="A2:I2"/>
    <mergeCell ref="H4:I4"/>
    <mergeCell ref="F3:G3"/>
    <mergeCell ref="H3:I3"/>
    <mergeCell ref="F4:G4"/>
  </mergeCells>
  <phoneticPr fontId="5" type="noConversion"/>
  <printOptions horizontalCentered="1"/>
  <pageMargins left="0.47244094488188981" right="0.19685039370078741" top="0.59055118110236227" bottom="0.6692913385826772" header="0" footer="0"/>
  <pageSetup paperSize="9" scale="68" fitToHeight="2" orientation="portrait" blackAndWhite="1" horizontalDpi="4294967295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showGridLines="0" showZeros="0" view="pageBreakPreview" topLeftCell="A28" zoomScale="115" zoomScaleSheetLayoutView="115" workbookViewId="0">
      <selection activeCell="E28" sqref="E28"/>
    </sheetView>
  </sheetViews>
  <sheetFormatPr defaultColWidth="9.140625" defaultRowHeight="12.75"/>
  <cols>
    <col min="1" max="1" width="5.7109375" style="1" customWidth="1"/>
    <col min="2" max="2" width="60.7109375" style="1" customWidth="1"/>
    <col min="3" max="3" width="10.140625" style="1" customWidth="1"/>
    <col min="4" max="4" width="11.7109375" style="151" customWidth="1"/>
    <col min="5" max="5" width="40.7109375" style="2" customWidth="1"/>
    <col min="6" max="6" width="9.140625" style="1"/>
    <col min="7" max="7" width="12.5703125" style="1" bestFit="1" customWidth="1"/>
    <col min="8" max="16384" width="9.140625" style="1"/>
  </cols>
  <sheetData>
    <row r="1" spans="1:7" s="12" customFormat="1" ht="94.5" customHeight="1">
      <c r="A1" s="80"/>
      <c r="B1" s="78"/>
      <c r="C1" s="78"/>
      <c r="D1" s="146"/>
      <c r="E1" s="141"/>
      <c r="F1" s="79"/>
      <c r="G1" s="79"/>
    </row>
    <row r="2" spans="1:7" s="23" customFormat="1" ht="20.100000000000001" customHeight="1">
      <c r="A2" s="312" t="s">
        <v>22</v>
      </c>
      <c r="B2" s="313"/>
      <c r="C2" s="313"/>
      <c r="D2" s="313"/>
      <c r="E2" s="314"/>
    </row>
    <row r="3" spans="1:7" s="28" customFormat="1" ht="20.100000000000001" customHeight="1">
      <c r="A3" s="315" t="s">
        <v>178</v>
      </c>
      <c r="B3" s="316"/>
      <c r="C3" s="316"/>
      <c r="D3" s="147"/>
      <c r="E3" s="31"/>
    </row>
    <row r="4" spans="1:7" s="28" customFormat="1" ht="20.100000000000001" customHeight="1">
      <c r="A4" s="317" t="str">
        <f>'Planilha Orcamentária'!A4:E4</f>
        <v>OBRA: CONSTRUÇÃO DE PONTE EM ADUELAS DE CONCRETO</v>
      </c>
      <c r="B4" s="318"/>
      <c r="C4" s="319"/>
      <c r="D4" s="148" t="s">
        <v>37</v>
      </c>
      <c r="E4" s="67" t="s">
        <v>30</v>
      </c>
    </row>
    <row r="5" spans="1:7" s="28" customFormat="1" ht="20.100000000000001" customHeight="1">
      <c r="A5" s="320" t="str">
        <f>'Planilha Orcamentária'!A5:E5</f>
        <v>LOCAL:  ESTRADA PRINCIPAL, PRÓXIMA À - BOM JESUS DO RIO PRETO</v>
      </c>
      <c r="B5" s="320"/>
      <c r="C5" s="320"/>
      <c r="D5" s="149" t="s">
        <v>19</v>
      </c>
      <c r="E5" s="32">
        <f ca="1">TODAY()</f>
        <v>45979</v>
      </c>
    </row>
    <row r="6" spans="1:7" ht="3.75" customHeight="1">
      <c r="A6" s="296"/>
      <c r="B6" s="296"/>
      <c r="C6" s="296"/>
      <c r="D6" s="296"/>
      <c r="E6" s="296"/>
    </row>
    <row r="7" spans="1:7" s="17" customFormat="1" ht="35.1" customHeight="1">
      <c r="A7" s="210" t="s">
        <v>0</v>
      </c>
      <c r="B7" s="29" t="s">
        <v>25</v>
      </c>
      <c r="C7" s="29" t="s">
        <v>2</v>
      </c>
      <c r="D7" s="142" t="s">
        <v>1</v>
      </c>
      <c r="E7" s="21" t="s">
        <v>33</v>
      </c>
    </row>
    <row r="8" spans="1:7" s="17" customFormat="1" ht="19.5" customHeight="1">
      <c r="A8" s="73" t="str">
        <f>'Planilha Orcamentária'!A10</f>
        <v>1.0</v>
      </c>
      <c r="B8" s="250" t="str">
        <f>'Planilha Orcamentária'!D10</f>
        <v xml:space="preserve">SERVIÇOS PRELIMINARES </v>
      </c>
      <c r="C8" s="196"/>
      <c r="D8" s="197"/>
      <c r="E8" s="198"/>
    </row>
    <row r="9" spans="1:7" s="17" customFormat="1" ht="22.5">
      <c r="A9" s="229" t="str">
        <f>'Planilha Orcamentária'!A11</f>
        <v>1.1</v>
      </c>
      <c r="B9" s="251" t="str">
        <f>'Planilha Orcamentária'!D11</f>
        <v>FORNECIMENTO E INSTALAÇÃO DE PLACA DE OBRA COM CHAPA GALVANIZADA E ESTRUTURA DE MADEIRA. AF_03/2022_PS</v>
      </c>
      <c r="C9" s="175" t="str">
        <f>'Planilha Orcamentária'!E11</f>
        <v>M2</v>
      </c>
      <c r="D9" s="230">
        <v>4.5</v>
      </c>
      <c r="E9" s="231" t="s">
        <v>134</v>
      </c>
      <c r="G9" s="213" t="e">
        <f>#REF!</f>
        <v>#REF!</v>
      </c>
    </row>
    <row r="10" spans="1:7" s="17" customFormat="1" ht="12">
      <c r="A10" s="236">
        <f>'Planilha Orcamentária'!A12</f>
        <v>0</v>
      </c>
      <c r="B10" s="252">
        <f>'Planilha Orcamentária'!D12</f>
        <v>0</v>
      </c>
      <c r="C10" s="170"/>
      <c r="D10" s="237"/>
      <c r="E10" s="238"/>
      <c r="G10" s="213"/>
    </row>
    <row r="11" spans="1:7" s="17" customFormat="1" ht="19.5" customHeight="1">
      <c r="A11" s="239" t="str">
        <f>'Planilha Orcamentária'!A13</f>
        <v>2.0</v>
      </c>
      <c r="B11" s="253" t="str">
        <f>'Planilha Orcamentária'!D13</f>
        <v>ADMINISTRAÇÃO LOCAL</v>
      </c>
      <c r="C11" s="196"/>
      <c r="D11" s="240"/>
      <c r="E11" s="241"/>
      <c r="G11" s="213"/>
    </row>
    <row r="12" spans="1:7" s="17" customFormat="1" ht="12">
      <c r="A12" s="232" t="str">
        <f>'Planilha Orcamentária'!A14</f>
        <v>1.2</v>
      </c>
      <c r="B12" s="254" t="str">
        <f>'Planilha Orcamentária'!D14</f>
        <v>ADMINISTRAÇÃO LOCAL</v>
      </c>
      <c r="C12" s="233"/>
      <c r="D12" s="234">
        <v>1</v>
      </c>
      <c r="E12" s="235" t="s">
        <v>83</v>
      </c>
    </row>
    <row r="13" spans="1:7" s="17" customFormat="1" ht="6" customHeight="1">
      <c r="A13" s="211">
        <f>'Planilha Orcamentária'!A15</f>
        <v>0</v>
      </c>
      <c r="B13" s="252">
        <f>'Planilha Orcamentária'!D15</f>
        <v>0</v>
      </c>
      <c r="C13" s="169">
        <f>'Planilha Orcamentária'!E15</f>
        <v>0</v>
      </c>
      <c r="D13" s="207"/>
      <c r="E13" s="256"/>
    </row>
    <row r="14" spans="1:7" s="17" customFormat="1" ht="15" customHeight="1">
      <c r="A14" s="212" t="str">
        <f>'Planilha Orcamentária'!A16</f>
        <v>3.0</v>
      </c>
      <c r="B14" s="255" t="str">
        <f>'Planilha Orcamentária'!D16</f>
        <v>PONTE EM ADUELA</v>
      </c>
      <c r="C14" s="195">
        <f>'Planilha Orcamentária'!E16</f>
        <v>0</v>
      </c>
      <c r="D14" s="208"/>
      <c r="E14" s="257"/>
    </row>
    <row r="15" spans="1:7" s="17" customFormat="1" ht="22.5">
      <c r="A15" s="70" t="str">
        <f>'Planilha Orcamentária'!A17</f>
        <v>3.1</v>
      </c>
      <c r="B15" s="248" t="str">
        <f>'Planilha Orcamentária'!D17</f>
        <v>LOCAÇÃO COM CAVALETE COM ALTURA DE 0,50 M - 2 UTILIZAÇÕES. AF_03/2024</v>
      </c>
      <c r="C15" s="70" t="str">
        <f>'Planilha Orcamentária'!E17</f>
        <v>um</v>
      </c>
      <c r="D15" s="228">
        <v>8</v>
      </c>
      <c r="E15" s="258" t="s">
        <v>103</v>
      </c>
      <c r="G15" s="209">
        <f>D18*1.4*1.2*1 + D19 * 1.6 * 1.4</f>
        <v>1956.4104</v>
      </c>
    </row>
    <row r="16" spans="1:7" s="17" customFormat="1" ht="33.75">
      <c r="A16" s="70" t="str">
        <f>'Planilha Orcamentária'!A18</f>
        <v>3.2</v>
      </c>
      <c r="B16" s="248" t="str">
        <f>'Planilha Orcamentária'!D18</f>
        <v>ESCAVAÇÃO MECANIZADA PARA BLOCO DE COROAMENTO OU SAPATA COM RETROESCAVADEIRA (INCLUINDO ESCAVAÇÃO PARA COLOCAÇÃO DE FÔRMAS). AF_01/2024</v>
      </c>
      <c r="C16" s="70" t="str">
        <f>'Planilha Orcamentária'!E18</f>
        <v>M3</v>
      </c>
      <c r="D16" s="228">
        <f>7 * 5.6 * 0.8*1.25 + 3*1.2*0.5*4</f>
        <v>46.400000000000006</v>
      </c>
      <c r="E16" s="258" t="s">
        <v>179</v>
      </c>
    </row>
    <row r="17" spans="1:5" s="17" customFormat="1" ht="33.75">
      <c r="A17" s="70" t="str">
        <f>'Planilha Orcamentária'!A19</f>
        <v>3.3</v>
      </c>
      <c r="B17" s="248" t="str">
        <f>'Planilha Orcamentária'!D19</f>
        <v>FABRICAÇÃO DE FÔRMA PARA PILARES E ESTRUTURAS SIMILARES, EM CHAPA DE MADEIRA COMPENSADA PLASTIFICADA, E = 18 MM. AF_09/2020</v>
      </c>
      <c r="C17" s="70" t="str">
        <f>'Planilha Orcamentária'!E19</f>
        <v>M2</v>
      </c>
      <c r="D17" s="228">
        <f>(3*3.7*2+0.5*1.2+2.5*0.3)*4+(5+4.6+5+4.6)*0.15+(5+4.6+5+4.6)*0.2</f>
        <v>100.92000000000002</v>
      </c>
      <c r="E17" s="258" t="s">
        <v>180</v>
      </c>
    </row>
    <row r="18" spans="1:5" s="17" customFormat="1" ht="45">
      <c r="A18" s="70" t="str">
        <f>'Planilha Orcamentária'!A20</f>
        <v>3.4</v>
      </c>
      <c r="B18" s="248" t="str">
        <f>'Planilha Orcamentária'!D20</f>
        <v>CONCRETO FCK = 25MPA, TRAÇO 1:2,3:2,7 (EM MASSA SECA DE CIMENTO/ AREIA MÉDIA/ BRITA 1) - PREPARO MECÂNICO COM BETONEIRA 400 L. AF_05/2021</v>
      </c>
      <c r="C18" s="70" t="str">
        <f>'Planilha Orcamentária'!E20</f>
        <v>M3</v>
      </c>
      <c r="D18" s="228">
        <f>(0.5*1.2+0.3*2.5)*4+5*4.6*0.15+5*4.6*0.2</f>
        <v>13.45</v>
      </c>
      <c r="E18" s="259" t="s">
        <v>181</v>
      </c>
    </row>
    <row r="19" spans="1:5" s="17" customFormat="1" ht="33.75">
      <c r="A19" s="70" t="str">
        <f>'Planilha Orcamentária'!A21</f>
        <v>3.5</v>
      </c>
      <c r="B19" s="248" t="str">
        <f>'Planilha Orcamentária'!D21</f>
        <v>ARMAÇÃO DE ESTRUTURAS DIVERSAS DE CONCRETO ARMADO, EXCETO VIGAS, PILARES, LAJES E FUNDAÇÕES, UTILIZANDO AÇO CA-50 DE 10,0 MM - MONTAGEM. AF_06/2022</v>
      </c>
      <c r="C19" s="70" t="str">
        <f>'Planilha Orcamentária'!E21</f>
        <v>KG</v>
      </c>
      <c r="D19" s="228">
        <v>863.31</v>
      </c>
      <c r="E19" s="260" t="s">
        <v>135</v>
      </c>
    </row>
    <row r="20" spans="1:5" s="17" customFormat="1" ht="33.75">
      <c r="A20" s="70" t="str">
        <f>'Planilha Orcamentária'!A22</f>
        <v>3.6</v>
      </c>
      <c r="B20" s="248" t="str">
        <f>'Planilha Orcamentária'!D22</f>
        <v>ARMAÇÃO DE ESTRUTURAS DIVERSAS DE CONCRETO ARMADO, EXCETO VIGAS, PILARES, LAJES E FUNDAÇÕES, UTILIZANDO AÇO CA-50 DE 8,0 MM - MONTAGEM. AF_06/2022</v>
      </c>
      <c r="C20" s="70" t="str">
        <f>'Planilha Orcamentária'!E22</f>
        <v>KG</v>
      </c>
      <c r="D20" s="228">
        <v>127.74</v>
      </c>
      <c r="E20" s="259" t="s">
        <v>136</v>
      </c>
    </row>
    <row r="21" spans="1:5" s="17" customFormat="1" ht="33.75">
      <c r="A21" s="70" t="str">
        <f>'Planilha Orcamentária'!A23</f>
        <v>3.7</v>
      </c>
      <c r="B21" s="248" t="str">
        <f>'Planilha Orcamentária'!D23</f>
        <v>ARMAÇÃO DE ESTRUTURAS DIVERSAS DE CONCRETO ARMADO, EXCETO VIGAS, PILARES, LAJES E FUNDAÇÕES, UTILIZANDO AÇO CA-50 DE 6,3 MM - MONTAGEM. AF_06/2022</v>
      </c>
      <c r="C21" s="70" t="str">
        <f>'Planilha Orcamentária'!E23</f>
        <v>KG</v>
      </c>
      <c r="D21" s="228">
        <v>69.38</v>
      </c>
      <c r="E21" s="261" t="s">
        <v>136</v>
      </c>
    </row>
    <row r="22" spans="1:5" s="17" customFormat="1" ht="33.75">
      <c r="A22" s="70" t="str">
        <f>'Planilha Orcamentária'!A24</f>
        <v>3.8</v>
      </c>
      <c r="B22" s="248" t="str">
        <f>'Planilha Orcamentária'!D24</f>
        <v>ARMAÇÃO DE ESTRUTURAS DIVERSAS DE CONCRETO ARMADO, EXCETO VIGAS, PILARES, LAJES E FUNDAÇÕES, UTILIZANDO AÇO CA-60 DE 5,0 MM - MONTAGEM. AF_06/2022</v>
      </c>
      <c r="C22" s="70" t="str">
        <f>'Planilha Orcamentária'!E24</f>
        <v>KG</v>
      </c>
      <c r="D22" s="228">
        <v>40.98</v>
      </c>
      <c r="E22" s="258" t="s">
        <v>136</v>
      </c>
    </row>
    <row r="23" spans="1:5" s="17" customFormat="1" ht="22.5">
      <c r="A23" s="70" t="str">
        <f>'Planilha Orcamentária'!A25</f>
        <v>3.9</v>
      </c>
      <c r="B23" s="248" t="str">
        <f>'Planilha Orcamentária'!D25</f>
        <v>ENROCAMENTO DE PEDRA ESPALHADA E COMPACTADA MECANICAMENTE - PEDRA DE MÃO COMERCIAL - FORNECIMENTO E ASSENTAMENTO</v>
      </c>
      <c r="C23" s="70" t="str">
        <f>'Planilha Orcamentária'!E25</f>
        <v>M3</v>
      </c>
      <c r="D23" s="228">
        <f>7*5.6*0.5</f>
        <v>19.599999999999998</v>
      </c>
      <c r="E23" s="258" t="s">
        <v>182</v>
      </c>
    </row>
    <row r="24" spans="1:5" s="17" customFormat="1" ht="22.5">
      <c r="A24" s="70" t="str">
        <f>'Planilha Orcamentária'!A26</f>
        <v>3.10</v>
      </c>
      <c r="B24" s="248" t="str">
        <f>'Planilha Orcamentária'!D26</f>
        <v>TRANSPORTE COM CAMINHÃO BASCULANTE DE 18 M³, EM VIA URBANA EM LEITO NATURAL (UNIDADE: TXKM). AF_07/2020</v>
      </c>
      <c r="C24" s="70" t="str">
        <f>'Planilha Orcamentária'!E26</f>
        <v>TxKM</v>
      </c>
      <c r="D24" s="207">
        <f>D23*1.5*66</f>
        <v>1940.3999999999999</v>
      </c>
      <c r="E24" s="258" t="s">
        <v>183</v>
      </c>
    </row>
    <row r="25" spans="1:5" s="17" customFormat="1" ht="22.5">
      <c r="A25" s="70" t="str">
        <f>'Planilha Orcamentária'!A27</f>
        <v>3.11</v>
      </c>
      <c r="B25" s="248" t="str">
        <f>'Planilha Orcamentária'!D27</f>
        <v>ESTACA DE MADEIRA ROLIÇA EM EUCALIPTO TRATADO, DIÂMETRO DE 18 A 20 CM. INCLUSIVE IÇAMENTO E CRAVAÇÃO COM ESCAVADEIRA HIDRÁULICA</v>
      </c>
      <c r="C25" s="70" t="str">
        <f>'Planilha Orcamentária'!E27</f>
        <v>M</v>
      </c>
      <c r="D25" s="207">
        <f>1*4*2*4</f>
        <v>32</v>
      </c>
      <c r="E25" s="258" t="s">
        <v>174</v>
      </c>
    </row>
    <row r="26" spans="1:5" s="17" customFormat="1" ht="22.5">
      <c r="A26" s="70" t="str">
        <f>'Planilha Orcamentária'!A28</f>
        <v>3.13</v>
      </c>
      <c r="B26" s="248" t="str">
        <f>'Planilha Orcamentária'!D28</f>
        <v>ADUELA DE CONCRETO 2,30x2,30x1,00 ARMADA, INCLUSIVE, EXECUÇÃO , IÇAMENTO E REJUNTAMENTO DA PEÇA.</v>
      </c>
      <c r="C26" s="70" t="str">
        <f>'Planilha Orcamentária'!E28</f>
        <v>UN</v>
      </c>
      <c r="D26" s="207">
        <v>10</v>
      </c>
      <c r="E26" s="258" t="s">
        <v>184</v>
      </c>
    </row>
    <row r="27" spans="1:5" s="17" customFormat="1" ht="33.75">
      <c r="A27" s="70" t="str">
        <f>'Planilha Orcamentária'!A29</f>
        <v>3.14</v>
      </c>
      <c r="B27" s="248" t="str">
        <f>'Planilha Orcamentária'!D29</f>
        <v>TRANSPORTE COM CAMINHÃO CARROCERIA COM GUINDAUTO (MUNCK), MOMENTO MÁXIMO DE CARGA 11,7 TM, EM VIA URBANA PAVIMENTADA, DMT ATÉ 30KM (UNIDADE: TXKM). AF_07/2020</v>
      </c>
      <c r="C27" s="70" t="str">
        <f>'Planilha Orcamentária'!E29</f>
        <v>TXKM</v>
      </c>
      <c r="D27" s="207">
        <f>(2.3+2.3+2+2)*0.15*10* 2.4 * 110</f>
        <v>3405.5999999999995</v>
      </c>
      <c r="E27" s="258" t="s">
        <v>185</v>
      </c>
    </row>
    <row r="28" spans="1:5" s="17" customFormat="1" ht="22.5">
      <c r="A28" s="70" t="str">
        <f>'Planilha Orcamentária'!A30</f>
        <v>3.15</v>
      </c>
      <c r="B28" s="248" t="str">
        <f>'Planilha Orcamentária'!D30</f>
        <v>GUARDA CORPO EM TUBO DE AÇO GALVANIZADO DIÂMETRO 3" ALTURA 1,10 M , INCLUSO PINTURA EM ZARCÃO E DUAS DEMÃOS DE PINTURA ESMALTE</v>
      </c>
      <c r="C28" s="70" t="str">
        <f>'Planilha Orcamentária'!E30</f>
        <v>M</v>
      </c>
      <c r="D28" s="277">
        <f>(2.3+3+3)*2</f>
        <v>16.600000000000001</v>
      </c>
      <c r="E28" s="276" t="s">
        <v>175</v>
      </c>
    </row>
    <row r="29" spans="1:5" ht="9" customHeight="1">
      <c r="A29" s="223">
        <f>'Planilha Orcamentária'!A32</f>
        <v>0</v>
      </c>
      <c r="B29" s="224"/>
      <c r="C29" s="225"/>
      <c r="D29" s="226"/>
      <c r="E29" s="227"/>
    </row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5">
    <mergeCell ref="A2:E2"/>
    <mergeCell ref="A3:C3"/>
    <mergeCell ref="A6:E6"/>
    <mergeCell ref="A4:C4"/>
    <mergeCell ref="A5:C5"/>
  </mergeCells>
  <printOptions horizontalCentered="1"/>
  <pageMargins left="0.47244094488188981" right="0.19685039370078741" top="0.59055118110236227" bottom="0.6692913385826772" header="0" footer="0"/>
  <pageSetup paperSize="9" scale="70" fitToHeight="2" orientation="portrait" blackAndWhite="1" horizontalDpi="4294967295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E7CEE-EE79-4171-8093-4B9891C1C248}">
  <dimension ref="A2:L37"/>
  <sheetViews>
    <sheetView workbookViewId="0">
      <selection activeCell="L5" sqref="L5:L8"/>
    </sheetView>
  </sheetViews>
  <sheetFormatPr defaultRowHeight="12.75"/>
  <cols>
    <col min="1" max="1" width="24.42578125" customWidth="1"/>
  </cols>
  <sheetData>
    <row r="2" spans="1:12">
      <c r="A2" s="242" t="s">
        <v>106</v>
      </c>
    </row>
    <row r="3" spans="1:12">
      <c r="A3" s="242" t="s">
        <v>104</v>
      </c>
      <c r="B3" s="244" t="s">
        <v>105</v>
      </c>
      <c r="D3" s="244">
        <f>SUM(D5:D6)</f>
        <v>266.10000000000002</v>
      </c>
    </row>
    <row r="4" spans="1:12">
      <c r="B4" s="242" t="s">
        <v>107</v>
      </c>
      <c r="C4" s="242" t="s">
        <v>108</v>
      </c>
      <c r="D4" s="242" t="s">
        <v>109</v>
      </c>
      <c r="K4" s="242" t="s">
        <v>120</v>
      </c>
    </row>
    <row r="5" spans="1:12">
      <c r="B5">
        <v>24</v>
      </c>
      <c r="C5">
        <v>4.9000000000000004</v>
      </c>
      <c r="D5">
        <f>B5*C5</f>
        <v>117.60000000000001</v>
      </c>
      <c r="I5" s="242" t="s">
        <v>115</v>
      </c>
      <c r="J5">
        <f>F20+F29</f>
        <v>1399.2</v>
      </c>
      <c r="K5">
        <v>0.61699999999999999</v>
      </c>
      <c r="L5" s="245">
        <f>ROUND(J5*K5,2)</f>
        <v>863.31</v>
      </c>
    </row>
    <row r="6" spans="1:12">
      <c r="B6">
        <v>33</v>
      </c>
      <c r="C6">
        <v>4.5</v>
      </c>
      <c r="D6">
        <f>B6*C6</f>
        <v>148.5</v>
      </c>
      <c r="I6" s="242" t="s">
        <v>112</v>
      </c>
      <c r="J6">
        <f>D14</f>
        <v>323.40000000000003</v>
      </c>
      <c r="K6">
        <v>0.39500000000000002</v>
      </c>
      <c r="L6" s="245">
        <f>ROUND(J6*K6,2)</f>
        <v>127.74</v>
      </c>
    </row>
    <row r="7" spans="1:12">
      <c r="I7" s="242" t="s">
        <v>111</v>
      </c>
      <c r="J7">
        <f>D10+F35</f>
        <v>283.20000000000005</v>
      </c>
      <c r="K7">
        <v>0.245</v>
      </c>
      <c r="L7" s="245">
        <f>ROUND(J7*K7,2)</f>
        <v>69.38</v>
      </c>
    </row>
    <row r="8" spans="1:12">
      <c r="I8" s="242" t="s">
        <v>105</v>
      </c>
      <c r="J8">
        <f>D3</f>
        <v>266.10000000000002</v>
      </c>
      <c r="K8">
        <v>0.154</v>
      </c>
      <c r="L8" s="245">
        <f>ROUND(J8*K8,2)</f>
        <v>40.98</v>
      </c>
    </row>
    <row r="9" spans="1:12">
      <c r="A9" s="242" t="s">
        <v>110</v>
      </c>
    </row>
    <row r="10" spans="1:12">
      <c r="A10" s="242" t="s">
        <v>104</v>
      </c>
      <c r="B10" s="244" t="s">
        <v>111</v>
      </c>
      <c r="D10" s="244">
        <f>D12</f>
        <v>259.20000000000005</v>
      </c>
    </row>
    <row r="11" spans="1:12">
      <c r="A11" s="242" t="s">
        <v>113</v>
      </c>
      <c r="B11" s="242" t="s">
        <v>107</v>
      </c>
      <c r="C11" s="242" t="s">
        <v>108</v>
      </c>
      <c r="D11" s="242" t="s">
        <v>109</v>
      </c>
    </row>
    <row r="12" spans="1:12">
      <c r="A12">
        <v>2</v>
      </c>
      <c r="B12">
        <v>24</v>
      </c>
      <c r="C12">
        <v>5.4</v>
      </c>
      <c r="D12">
        <f>A12*B12*C12</f>
        <v>259.20000000000005</v>
      </c>
    </row>
    <row r="14" spans="1:12">
      <c r="A14" s="242" t="s">
        <v>104</v>
      </c>
      <c r="B14" s="244" t="s">
        <v>112</v>
      </c>
      <c r="D14" s="244">
        <f>D16</f>
        <v>323.40000000000003</v>
      </c>
    </row>
    <row r="15" spans="1:12">
      <c r="B15" s="242" t="s">
        <v>107</v>
      </c>
      <c r="C15" s="242" t="s">
        <v>108</v>
      </c>
      <c r="D15" s="242" t="s">
        <v>109</v>
      </c>
    </row>
    <row r="16" spans="1:12">
      <c r="A16">
        <v>2</v>
      </c>
      <c r="B16">
        <v>33</v>
      </c>
      <c r="C16">
        <v>4.9000000000000004</v>
      </c>
      <c r="D16">
        <f>A16*B16*C16</f>
        <v>323.40000000000003</v>
      </c>
    </row>
    <row r="19" spans="1:6">
      <c r="A19" s="242" t="s">
        <v>114</v>
      </c>
      <c r="E19" s="242" t="s">
        <v>116</v>
      </c>
    </row>
    <row r="20" spans="1:6">
      <c r="A20" s="242" t="s">
        <v>104</v>
      </c>
      <c r="B20" s="244" t="s">
        <v>115</v>
      </c>
      <c r="D20">
        <f>SUM(D22:D25)</f>
        <v>131.80000000000001</v>
      </c>
      <c r="E20">
        <v>4</v>
      </c>
      <c r="F20" s="244">
        <f>D20*E20</f>
        <v>527.20000000000005</v>
      </c>
    </row>
    <row r="21" spans="1:6">
      <c r="A21" s="242" t="s">
        <v>113</v>
      </c>
      <c r="B21" s="242" t="s">
        <v>107</v>
      </c>
      <c r="C21" s="242" t="s">
        <v>108</v>
      </c>
      <c r="D21" s="242" t="s">
        <v>109</v>
      </c>
    </row>
    <row r="22" spans="1:6">
      <c r="A22">
        <v>2</v>
      </c>
      <c r="B22">
        <v>5</v>
      </c>
      <c r="C22">
        <v>3.5</v>
      </c>
      <c r="D22">
        <f>A22*B22*C22</f>
        <v>35</v>
      </c>
    </row>
    <row r="23" spans="1:6">
      <c r="A23">
        <v>1</v>
      </c>
      <c r="B23">
        <v>5</v>
      </c>
      <c r="C23">
        <v>3.3</v>
      </c>
      <c r="D23">
        <f t="shared" ref="D23:D25" si="0">A23*B23*C23</f>
        <v>16.5</v>
      </c>
    </row>
    <row r="24" spans="1:6">
      <c r="A24" s="242">
        <v>1</v>
      </c>
      <c r="B24" s="242">
        <v>5</v>
      </c>
      <c r="C24">
        <v>4.7</v>
      </c>
      <c r="D24">
        <f t="shared" si="0"/>
        <v>23.5</v>
      </c>
    </row>
    <row r="25" spans="1:6">
      <c r="A25" s="242">
        <v>1</v>
      </c>
      <c r="B25" s="242">
        <v>20</v>
      </c>
      <c r="C25" s="242">
        <v>2.84</v>
      </c>
      <c r="D25">
        <f t="shared" si="0"/>
        <v>56.8</v>
      </c>
    </row>
    <row r="28" spans="1:6">
      <c r="A28" s="242" t="s">
        <v>117</v>
      </c>
      <c r="E28" s="242" t="s">
        <v>118</v>
      </c>
    </row>
    <row r="29" spans="1:6">
      <c r="A29" s="242" t="s">
        <v>104</v>
      </c>
      <c r="B29" s="244" t="s">
        <v>115</v>
      </c>
      <c r="D29">
        <f>SUM(D31:D33)</f>
        <v>218</v>
      </c>
      <c r="E29">
        <v>4</v>
      </c>
      <c r="F29" s="244">
        <f>D29*E29</f>
        <v>872</v>
      </c>
    </row>
    <row r="30" spans="1:6">
      <c r="A30" s="242" t="s">
        <v>113</v>
      </c>
      <c r="B30" s="242" t="s">
        <v>107</v>
      </c>
      <c r="C30" s="242" t="s">
        <v>108</v>
      </c>
      <c r="D30" s="242" t="s">
        <v>109</v>
      </c>
    </row>
    <row r="31" spans="1:6">
      <c r="A31">
        <v>2</v>
      </c>
      <c r="B31">
        <v>20</v>
      </c>
      <c r="C31">
        <v>3.8</v>
      </c>
      <c r="D31">
        <f>A31*B31*C31</f>
        <v>152</v>
      </c>
    </row>
    <row r="32" spans="1:6">
      <c r="A32">
        <v>1</v>
      </c>
      <c r="B32">
        <v>20</v>
      </c>
      <c r="C32">
        <v>3.3</v>
      </c>
      <c r="D32">
        <f t="shared" ref="D32" si="1">A32*B32*C32</f>
        <v>66</v>
      </c>
    </row>
    <row r="33" spans="1:8">
      <c r="A33" s="242"/>
      <c r="B33" s="242"/>
    </row>
    <row r="34" spans="1:8">
      <c r="A34" s="242"/>
      <c r="E34" s="242" t="s">
        <v>118</v>
      </c>
    </row>
    <row r="35" spans="1:8">
      <c r="A35" s="242" t="s">
        <v>104</v>
      </c>
      <c r="B35" s="244" t="s">
        <v>111</v>
      </c>
      <c r="D35">
        <f>SUM(D37:D42)</f>
        <v>6</v>
      </c>
      <c r="E35">
        <v>4</v>
      </c>
      <c r="F35" s="244">
        <f>D35*E35</f>
        <v>24</v>
      </c>
    </row>
    <row r="36" spans="1:8">
      <c r="A36" s="242" t="s">
        <v>113</v>
      </c>
      <c r="B36" s="242" t="s">
        <v>107</v>
      </c>
      <c r="C36" s="242" t="s">
        <v>108</v>
      </c>
      <c r="D36" s="242" t="s">
        <v>109</v>
      </c>
    </row>
    <row r="37" spans="1:8">
      <c r="A37">
        <v>1</v>
      </c>
      <c r="B37">
        <v>20</v>
      </c>
      <c r="C37">
        <v>0.3</v>
      </c>
      <c r="D37">
        <f>A37*B37*C37</f>
        <v>6</v>
      </c>
      <c r="H37" s="243" t="s">
        <v>119</v>
      </c>
    </row>
  </sheetData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5"/>
  <sheetViews>
    <sheetView showGridLines="0" showZeros="0" view="pageBreakPreview" zoomScale="115" zoomScaleNormal="75" zoomScaleSheetLayoutView="115" workbookViewId="0">
      <selection activeCell="G1" sqref="G1"/>
    </sheetView>
  </sheetViews>
  <sheetFormatPr defaultColWidth="9.140625" defaultRowHeight="12.75"/>
  <cols>
    <col min="1" max="1" width="10.7109375" style="34" customWidth="1"/>
    <col min="2" max="2" width="59.42578125" style="34" bestFit="1" customWidth="1"/>
    <col min="3" max="3" width="20.28515625" style="38" bestFit="1" customWidth="1"/>
    <col min="4" max="4" width="14.42578125" style="38" bestFit="1" customWidth="1"/>
    <col min="5" max="8" width="15.7109375" style="34" customWidth="1"/>
    <col min="9" max="9" width="14.140625" style="34" bestFit="1" customWidth="1"/>
    <col min="10" max="16384" width="9.140625" style="34"/>
  </cols>
  <sheetData>
    <row r="1" spans="1:9" s="12" customFormat="1" ht="93" customHeight="1">
      <c r="A1" s="80"/>
      <c r="B1" s="81"/>
      <c r="C1" s="78"/>
      <c r="D1" s="78"/>
      <c r="E1" s="78"/>
      <c r="F1" s="33"/>
      <c r="G1" s="33"/>
      <c r="H1" s="33"/>
    </row>
    <row r="2" spans="1:9" ht="30" customHeight="1">
      <c r="A2" s="330" t="s">
        <v>11</v>
      </c>
      <c r="B2" s="331"/>
      <c r="C2" s="331"/>
      <c r="D2" s="331"/>
      <c r="E2" s="331"/>
      <c r="F2" s="331"/>
      <c r="G2" s="331"/>
      <c r="H2" s="331"/>
    </row>
    <row r="3" spans="1:9" ht="37.5" customHeight="1">
      <c r="A3" s="333" t="str">
        <f>'Planilha Orcamentária'!A3</f>
        <v>PREFEITURA MUNICIPAL DE INHAPIM - MG</v>
      </c>
      <c r="B3" s="333"/>
      <c r="C3" s="322" t="s">
        <v>20</v>
      </c>
      <c r="D3" s="329">
        <f>D14</f>
        <v>150121.21</v>
      </c>
      <c r="F3" s="55" t="s">
        <v>19</v>
      </c>
      <c r="G3" s="54">
        <f ca="1">TODAY()</f>
        <v>45979</v>
      </c>
      <c r="H3" s="168" t="s">
        <v>38</v>
      </c>
    </row>
    <row r="4" spans="1:9" ht="19.5" customHeight="1">
      <c r="A4" s="338" t="str">
        <f>'Planilha Orcamentária'!A4</f>
        <v>OBRA: CONSTRUÇÃO DE PONTE EM ADUELAS DE CONCRETO</v>
      </c>
      <c r="B4" s="339"/>
      <c r="C4" s="323"/>
      <c r="D4" s="323"/>
      <c r="E4" s="325" t="s">
        <v>176</v>
      </c>
      <c r="F4" s="326"/>
      <c r="G4" s="326"/>
      <c r="H4" s="326"/>
    </row>
    <row r="5" spans="1:9" ht="24" customHeight="1">
      <c r="A5" s="334" t="str">
        <f>'Planilha Orcamentária'!A5</f>
        <v>LOCAL:  ESTRADA PRINCIPAL, PRÓXIMA À - BOM JESUS DO RIO PRETO</v>
      </c>
      <c r="B5" s="335"/>
      <c r="C5" s="324"/>
      <c r="D5" s="324"/>
      <c r="E5" s="327"/>
      <c r="F5" s="328"/>
      <c r="G5" s="328"/>
      <c r="H5" s="328"/>
    </row>
    <row r="6" spans="1:9">
      <c r="A6" s="47" t="s">
        <v>35</v>
      </c>
      <c r="B6" s="47" t="s">
        <v>12</v>
      </c>
      <c r="C6" s="48" t="s">
        <v>13</v>
      </c>
      <c r="D6" s="48" t="s">
        <v>14</v>
      </c>
      <c r="E6" s="167" t="s">
        <v>39</v>
      </c>
      <c r="F6" s="167" t="s">
        <v>40</v>
      </c>
      <c r="G6" s="167"/>
      <c r="H6" s="167"/>
    </row>
    <row r="7" spans="1:9">
      <c r="A7" s="336" t="str">
        <f>'Planilha Orcamentária'!A10</f>
        <v>1.0</v>
      </c>
      <c r="B7" s="340" t="str">
        <f>'Planilha Orcamentária'!D10</f>
        <v xml:space="preserve">SERVIÇOS PRELIMINARES </v>
      </c>
      <c r="C7" s="56" t="s">
        <v>15</v>
      </c>
      <c r="D7" s="75">
        <f>D8/$D$14</f>
        <v>1.8536754399994512E-2</v>
      </c>
      <c r="E7" s="204">
        <v>1</v>
      </c>
      <c r="F7" s="205"/>
      <c r="G7" s="203"/>
      <c r="H7" s="203"/>
    </row>
    <row r="8" spans="1:9">
      <c r="A8" s="337"/>
      <c r="B8" s="341"/>
      <c r="C8" s="57" t="s">
        <v>16</v>
      </c>
      <c r="D8" s="199">
        <f>'Planilha Orcamentária'!I10</f>
        <v>2782.76</v>
      </c>
      <c r="E8" s="200">
        <f>$D$8*E7</f>
        <v>2782.76</v>
      </c>
      <c r="F8" s="200">
        <f>$D$8*F7</f>
        <v>0</v>
      </c>
      <c r="G8" s="200"/>
      <c r="H8" s="200"/>
    </row>
    <row r="9" spans="1:9">
      <c r="A9" s="336" t="str">
        <f>'Planilha Orcamentária'!A13</f>
        <v>2.0</v>
      </c>
      <c r="B9" s="340" t="str">
        <f>'Planilha Orcamentária'!D13</f>
        <v>ADMINISTRAÇÃO LOCAL</v>
      </c>
      <c r="C9" s="56" t="s">
        <v>15</v>
      </c>
      <c r="D9" s="219">
        <f>D10/$D$14</f>
        <v>4.7180541643649161E-2</v>
      </c>
      <c r="E9" s="203">
        <v>0.5</v>
      </c>
      <c r="F9" s="203">
        <v>0.5</v>
      </c>
      <c r="G9" s="203"/>
      <c r="H9" s="203"/>
    </row>
    <row r="10" spans="1:9">
      <c r="A10" s="337"/>
      <c r="B10" s="341"/>
      <c r="C10" s="57" t="s">
        <v>16</v>
      </c>
      <c r="D10" s="199">
        <f>'Planilha Orcamentária'!I13</f>
        <v>7082.8</v>
      </c>
      <c r="E10" s="200">
        <f>$D$10*E9</f>
        <v>3541.4</v>
      </c>
      <c r="F10" s="200">
        <f t="shared" ref="F10" si="0">$D$10*F9</f>
        <v>3541.4</v>
      </c>
      <c r="G10" s="200"/>
      <c r="H10" s="200"/>
    </row>
    <row r="11" spans="1:9" s="35" customFormat="1" ht="15" customHeight="1">
      <c r="A11" s="321" t="str">
        <f>'Planilha Orcamentária'!A16</f>
        <v>3.0</v>
      </c>
      <c r="B11" s="332" t="str">
        <f>'Planilha Orcamentária'!D16</f>
        <v>PONTE EM ADUELA</v>
      </c>
      <c r="C11" s="56" t="s">
        <v>15</v>
      </c>
      <c r="D11" s="75">
        <f>D12/$D$14</f>
        <v>0.93428270395635638</v>
      </c>
      <c r="E11" s="204">
        <v>0.5</v>
      </c>
      <c r="F11" s="205">
        <v>0.5</v>
      </c>
      <c r="G11" s="206"/>
      <c r="H11" s="204"/>
    </row>
    <row r="12" spans="1:9" s="35" customFormat="1" ht="15" customHeight="1">
      <c r="A12" s="321"/>
      <c r="B12" s="332"/>
      <c r="C12" s="57" t="s">
        <v>16</v>
      </c>
      <c r="D12" s="199">
        <f>'Planilha Orcamentária'!I16</f>
        <v>140255.65</v>
      </c>
      <c r="E12" s="200">
        <f>$D$12*E11</f>
        <v>70127.824999999997</v>
      </c>
      <c r="F12" s="200">
        <f>$D$12*F11</f>
        <v>70127.824999999997</v>
      </c>
      <c r="G12" s="200"/>
      <c r="H12" s="200"/>
    </row>
    <row r="13" spans="1:9" s="35" customFormat="1" ht="15" customHeight="1">
      <c r="A13" s="321" t="s">
        <v>70</v>
      </c>
      <c r="B13" s="321"/>
      <c r="C13" s="56" t="s">
        <v>15</v>
      </c>
      <c r="D13" s="75">
        <f>D11+D9+D7</f>
        <v>1</v>
      </c>
      <c r="E13" s="203">
        <f>E14/$D$14</f>
        <v>0.50926837719999718</v>
      </c>
      <c r="F13" s="203">
        <f>F14/$D$14</f>
        <v>0.49073162280000271</v>
      </c>
      <c r="G13" s="203"/>
      <c r="H13" s="203"/>
    </row>
    <row r="14" spans="1:9" s="35" customFormat="1" ht="15" customHeight="1">
      <c r="A14" s="321"/>
      <c r="B14" s="321"/>
      <c r="C14" s="56" t="s">
        <v>16</v>
      </c>
      <c r="D14" s="201">
        <f>'Planilha Orcamentária'!I32</f>
        <v>150121.21</v>
      </c>
      <c r="E14" s="202">
        <f>E12+E8+E10</f>
        <v>76451.984999999986</v>
      </c>
      <c r="F14" s="202">
        <f>F12+F8+F10</f>
        <v>73669.224999999991</v>
      </c>
      <c r="G14" s="202"/>
      <c r="H14" s="202"/>
      <c r="I14" s="76">
        <f>E13+G13+H13</f>
        <v>0.50926837719999718</v>
      </c>
    </row>
    <row r="15" spans="1:9" ht="14.25" customHeight="1">
      <c r="A15" s="36"/>
      <c r="B15" s="37"/>
      <c r="C15" s="37"/>
      <c r="D15" s="37"/>
      <c r="E15" s="37"/>
      <c r="F15" s="37"/>
      <c r="G15" s="37"/>
      <c r="H15" s="52" t="s">
        <v>17</v>
      </c>
      <c r="I15" s="77">
        <f>E14+G14+H14</f>
        <v>76451.984999999986</v>
      </c>
    </row>
    <row r="16" spans="1:9" ht="27.75" customHeight="1">
      <c r="A16" s="36"/>
      <c r="B16" s="215"/>
      <c r="C16" s="37"/>
      <c r="H16" s="39"/>
    </row>
    <row r="17" spans="1:8" s="50" customFormat="1" ht="13.5" customHeight="1">
      <c r="A17" s="51"/>
      <c r="B17" s="216"/>
      <c r="C17" s="49"/>
      <c r="D17" s="49"/>
      <c r="H17" s="51"/>
    </row>
    <row r="18" spans="1:8" s="50" customFormat="1" ht="11.25" customHeight="1">
      <c r="A18" s="51"/>
      <c r="B18" s="216"/>
      <c r="C18" s="49"/>
      <c r="D18" s="49"/>
      <c r="H18" s="51"/>
    </row>
    <row r="19" spans="1:8" ht="19.5" customHeight="1">
      <c r="A19" s="39"/>
      <c r="B19" s="217"/>
      <c r="H19" s="39"/>
    </row>
    <row r="20" spans="1:8" ht="13.5" customHeight="1">
      <c r="A20" s="40"/>
      <c r="B20" s="217"/>
      <c r="C20" s="41"/>
      <c r="D20" s="41"/>
      <c r="E20" s="42"/>
      <c r="F20" s="42"/>
      <c r="G20" s="42"/>
      <c r="H20" s="53"/>
    </row>
    <row r="21" spans="1:8" s="50" customFormat="1" ht="14.25" customHeight="1">
      <c r="A21" s="51"/>
      <c r="B21" s="216"/>
      <c r="C21" s="49"/>
      <c r="D21" s="49"/>
      <c r="H21" s="51"/>
    </row>
    <row r="22" spans="1:8" s="50" customFormat="1" ht="14.1" customHeight="1">
      <c r="A22" s="51"/>
      <c r="B22" s="58"/>
      <c r="C22" s="49"/>
      <c r="D22" s="49"/>
      <c r="H22" s="51"/>
    </row>
    <row r="23" spans="1:8" ht="14.1" customHeight="1">
      <c r="A23" s="39"/>
      <c r="B23" s="43"/>
      <c r="H23" s="39"/>
    </row>
    <row r="24" spans="1:8" ht="14.1" customHeight="1">
      <c r="A24" s="39"/>
      <c r="B24" s="43"/>
      <c r="H24" s="39"/>
    </row>
    <row r="25" spans="1:8">
      <c r="A25" s="44"/>
      <c r="B25" s="45"/>
      <c r="C25" s="46"/>
      <c r="D25" s="46"/>
      <c r="E25" s="45"/>
      <c r="F25" s="45"/>
      <c r="G25" s="45"/>
      <c r="H25" s="44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14">
    <mergeCell ref="A13:B14"/>
    <mergeCell ref="C3:C5"/>
    <mergeCell ref="E4:H5"/>
    <mergeCell ref="D3:D5"/>
    <mergeCell ref="A2:H2"/>
    <mergeCell ref="A11:A12"/>
    <mergeCell ref="B11:B12"/>
    <mergeCell ref="A3:B3"/>
    <mergeCell ref="A5:B5"/>
    <mergeCell ref="A7:A8"/>
    <mergeCell ref="A4:B4"/>
    <mergeCell ref="B7:B8"/>
    <mergeCell ref="B9:B10"/>
    <mergeCell ref="A9:A10"/>
  </mergeCells>
  <phoneticPr fontId="5" type="noConversion"/>
  <printOptions horizontalCentered="1"/>
  <pageMargins left="0.39370078740157483" right="0.19685039370078741" top="0.59055118110236227" bottom="0.19685039370078741" header="0.19685039370078741" footer="0"/>
  <pageSetup paperSize="9" scale="86" orientation="landscape" blackAndWhite="1" horizontalDpi="4294967295" r:id="rId2"/>
  <headerFooter alignWithMargins="0"/>
  <ignoredErrors>
    <ignoredError sqref="D12 D8" formula="1"/>
  </ignoredErrors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D1F3C-DCD9-48C8-A515-08B24F73FA3E}">
  <dimension ref="A1:H45"/>
  <sheetViews>
    <sheetView tabSelected="1" view="pageBreakPreview" zoomScale="115" zoomScaleNormal="100" zoomScaleSheetLayoutView="115" workbookViewId="0">
      <selection activeCell="A6" sqref="A6:F6"/>
    </sheetView>
  </sheetViews>
  <sheetFormatPr defaultRowHeight="14.25"/>
  <cols>
    <col min="1" max="1" width="6.140625" style="86" customWidth="1"/>
    <col min="2" max="2" width="47.28515625" style="86" customWidth="1"/>
    <col min="3" max="3" width="10.85546875" style="86" customWidth="1"/>
    <col min="4" max="4" width="12.7109375" style="87" customWidth="1"/>
    <col min="5" max="5" width="3.28515625" style="88" customWidth="1"/>
    <col min="6" max="6" width="4.5703125" style="86" customWidth="1"/>
    <col min="257" max="257" width="15.5703125" customWidth="1"/>
    <col min="258" max="258" width="47.28515625" customWidth="1"/>
    <col min="259" max="259" width="10.85546875" customWidth="1"/>
    <col min="260" max="260" width="12.7109375" customWidth="1"/>
    <col min="261" max="261" width="11.85546875" customWidth="1"/>
    <col min="513" max="513" width="15.5703125" customWidth="1"/>
    <col min="514" max="514" width="47.28515625" customWidth="1"/>
    <col min="515" max="515" width="10.85546875" customWidth="1"/>
    <col min="516" max="516" width="12.7109375" customWidth="1"/>
    <col min="517" max="517" width="11.85546875" customWidth="1"/>
    <col min="769" max="769" width="15.5703125" customWidth="1"/>
    <col min="770" max="770" width="47.28515625" customWidth="1"/>
    <col min="771" max="771" width="10.85546875" customWidth="1"/>
    <col min="772" max="772" width="12.7109375" customWidth="1"/>
    <col min="773" max="773" width="11.85546875" customWidth="1"/>
    <col min="1025" max="1025" width="15.5703125" customWidth="1"/>
    <col min="1026" max="1026" width="47.28515625" customWidth="1"/>
    <col min="1027" max="1027" width="10.85546875" customWidth="1"/>
    <col min="1028" max="1028" width="12.7109375" customWidth="1"/>
    <col min="1029" max="1029" width="11.85546875" customWidth="1"/>
    <col min="1281" max="1281" width="15.5703125" customWidth="1"/>
    <col min="1282" max="1282" width="47.28515625" customWidth="1"/>
    <col min="1283" max="1283" width="10.85546875" customWidth="1"/>
    <col min="1284" max="1284" width="12.7109375" customWidth="1"/>
    <col min="1285" max="1285" width="11.85546875" customWidth="1"/>
    <col min="1537" max="1537" width="15.5703125" customWidth="1"/>
    <col min="1538" max="1538" width="47.28515625" customWidth="1"/>
    <col min="1539" max="1539" width="10.85546875" customWidth="1"/>
    <col min="1540" max="1540" width="12.7109375" customWidth="1"/>
    <col min="1541" max="1541" width="11.85546875" customWidth="1"/>
    <col min="1793" max="1793" width="15.5703125" customWidth="1"/>
    <col min="1794" max="1794" width="47.28515625" customWidth="1"/>
    <col min="1795" max="1795" width="10.85546875" customWidth="1"/>
    <col min="1796" max="1796" width="12.7109375" customWidth="1"/>
    <col min="1797" max="1797" width="11.85546875" customWidth="1"/>
    <col min="2049" max="2049" width="15.5703125" customWidth="1"/>
    <col min="2050" max="2050" width="47.28515625" customWidth="1"/>
    <col min="2051" max="2051" width="10.85546875" customWidth="1"/>
    <col min="2052" max="2052" width="12.7109375" customWidth="1"/>
    <col min="2053" max="2053" width="11.85546875" customWidth="1"/>
    <col min="2305" max="2305" width="15.5703125" customWidth="1"/>
    <col min="2306" max="2306" width="47.28515625" customWidth="1"/>
    <col min="2307" max="2307" width="10.85546875" customWidth="1"/>
    <col min="2308" max="2308" width="12.7109375" customWidth="1"/>
    <col min="2309" max="2309" width="11.85546875" customWidth="1"/>
    <col min="2561" max="2561" width="15.5703125" customWidth="1"/>
    <col min="2562" max="2562" width="47.28515625" customWidth="1"/>
    <col min="2563" max="2563" width="10.85546875" customWidth="1"/>
    <col min="2564" max="2564" width="12.7109375" customWidth="1"/>
    <col min="2565" max="2565" width="11.85546875" customWidth="1"/>
    <col min="2817" max="2817" width="15.5703125" customWidth="1"/>
    <col min="2818" max="2818" width="47.28515625" customWidth="1"/>
    <col min="2819" max="2819" width="10.85546875" customWidth="1"/>
    <col min="2820" max="2820" width="12.7109375" customWidth="1"/>
    <col min="2821" max="2821" width="11.85546875" customWidth="1"/>
    <col min="3073" max="3073" width="15.5703125" customWidth="1"/>
    <col min="3074" max="3074" width="47.28515625" customWidth="1"/>
    <col min="3075" max="3075" width="10.85546875" customWidth="1"/>
    <col min="3076" max="3076" width="12.7109375" customWidth="1"/>
    <col min="3077" max="3077" width="11.85546875" customWidth="1"/>
    <col min="3329" max="3329" width="15.5703125" customWidth="1"/>
    <col min="3330" max="3330" width="47.28515625" customWidth="1"/>
    <col min="3331" max="3331" width="10.85546875" customWidth="1"/>
    <col min="3332" max="3332" width="12.7109375" customWidth="1"/>
    <col min="3333" max="3333" width="11.85546875" customWidth="1"/>
    <col min="3585" max="3585" width="15.5703125" customWidth="1"/>
    <col min="3586" max="3586" width="47.28515625" customWidth="1"/>
    <col min="3587" max="3587" width="10.85546875" customWidth="1"/>
    <col min="3588" max="3588" width="12.7109375" customWidth="1"/>
    <col min="3589" max="3589" width="11.85546875" customWidth="1"/>
    <col min="3841" max="3841" width="15.5703125" customWidth="1"/>
    <col min="3842" max="3842" width="47.28515625" customWidth="1"/>
    <col min="3843" max="3843" width="10.85546875" customWidth="1"/>
    <col min="3844" max="3844" width="12.7109375" customWidth="1"/>
    <col min="3845" max="3845" width="11.85546875" customWidth="1"/>
    <col min="4097" max="4097" width="15.5703125" customWidth="1"/>
    <col min="4098" max="4098" width="47.28515625" customWidth="1"/>
    <col min="4099" max="4099" width="10.85546875" customWidth="1"/>
    <col min="4100" max="4100" width="12.7109375" customWidth="1"/>
    <col min="4101" max="4101" width="11.85546875" customWidth="1"/>
    <col min="4353" max="4353" width="15.5703125" customWidth="1"/>
    <col min="4354" max="4354" width="47.28515625" customWidth="1"/>
    <col min="4355" max="4355" width="10.85546875" customWidth="1"/>
    <col min="4356" max="4356" width="12.7109375" customWidth="1"/>
    <col min="4357" max="4357" width="11.85546875" customWidth="1"/>
    <col min="4609" max="4609" width="15.5703125" customWidth="1"/>
    <col min="4610" max="4610" width="47.28515625" customWidth="1"/>
    <col min="4611" max="4611" width="10.85546875" customWidth="1"/>
    <col min="4612" max="4612" width="12.7109375" customWidth="1"/>
    <col min="4613" max="4613" width="11.85546875" customWidth="1"/>
    <col min="4865" max="4865" width="15.5703125" customWidth="1"/>
    <col min="4866" max="4866" width="47.28515625" customWidth="1"/>
    <col min="4867" max="4867" width="10.85546875" customWidth="1"/>
    <col min="4868" max="4868" width="12.7109375" customWidth="1"/>
    <col min="4869" max="4869" width="11.85546875" customWidth="1"/>
    <col min="5121" max="5121" width="15.5703125" customWidth="1"/>
    <col min="5122" max="5122" width="47.28515625" customWidth="1"/>
    <col min="5123" max="5123" width="10.85546875" customWidth="1"/>
    <col min="5124" max="5124" width="12.7109375" customWidth="1"/>
    <col min="5125" max="5125" width="11.85546875" customWidth="1"/>
    <col min="5377" max="5377" width="15.5703125" customWidth="1"/>
    <col min="5378" max="5378" width="47.28515625" customWidth="1"/>
    <col min="5379" max="5379" width="10.85546875" customWidth="1"/>
    <col min="5380" max="5380" width="12.7109375" customWidth="1"/>
    <col min="5381" max="5381" width="11.85546875" customWidth="1"/>
    <col min="5633" max="5633" width="15.5703125" customWidth="1"/>
    <col min="5634" max="5634" width="47.28515625" customWidth="1"/>
    <col min="5635" max="5635" width="10.85546875" customWidth="1"/>
    <col min="5636" max="5636" width="12.7109375" customWidth="1"/>
    <col min="5637" max="5637" width="11.85546875" customWidth="1"/>
    <col min="5889" max="5889" width="15.5703125" customWidth="1"/>
    <col min="5890" max="5890" width="47.28515625" customWidth="1"/>
    <col min="5891" max="5891" width="10.85546875" customWidth="1"/>
    <col min="5892" max="5892" width="12.7109375" customWidth="1"/>
    <col min="5893" max="5893" width="11.85546875" customWidth="1"/>
    <col min="6145" max="6145" width="15.5703125" customWidth="1"/>
    <col min="6146" max="6146" width="47.28515625" customWidth="1"/>
    <col min="6147" max="6147" width="10.85546875" customWidth="1"/>
    <col min="6148" max="6148" width="12.7109375" customWidth="1"/>
    <col min="6149" max="6149" width="11.85546875" customWidth="1"/>
    <col min="6401" max="6401" width="15.5703125" customWidth="1"/>
    <col min="6402" max="6402" width="47.28515625" customWidth="1"/>
    <col min="6403" max="6403" width="10.85546875" customWidth="1"/>
    <col min="6404" max="6404" width="12.7109375" customWidth="1"/>
    <col min="6405" max="6405" width="11.85546875" customWidth="1"/>
    <col min="6657" max="6657" width="15.5703125" customWidth="1"/>
    <col min="6658" max="6658" width="47.28515625" customWidth="1"/>
    <col min="6659" max="6659" width="10.85546875" customWidth="1"/>
    <col min="6660" max="6660" width="12.7109375" customWidth="1"/>
    <col min="6661" max="6661" width="11.85546875" customWidth="1"/>
    <col min="6913" max="6913" width="15.5703125" customWidth="1"/>
    <col min="6914" max="6914" width="47.28515625" customWidth="1"/>
    <col min="6915" max="6915" width="10.85546875" customWidth="1"/>
    <col min="6916" max="6916" width="12.7109375" customWidth="1"/>
    <col min="6917" max="6917" width="11.85546875" customWidth="1"/>
    <col min="7169" max="7169" width="15.5703125" customWidth="1"/>
    <col min="7170" max="7170" width="47.28515625" customWidth="1"/>
    <col min="7171" max="7171" width="10.85546875" customWidth="1"/>
    <col min="7172" max="7172" width="12.7109375" customWidth="1"/>
    <col min="7173" max="7173" width="11.85546875" customWidth="1"/>
    <col min="7425" max="7425" width="15.5703125" customWidth="1"/>
    <col min="7426" max="7426" width="47.28515625" customWidth="1"/>
    <col min="7427" max="7427" width="10.85546875" customWidth="1"/>
    <col min="7428" max="7428" width="12.7109375" customWidth="1"/>
    <col min="7429" max="7429" width="11.85546875" customWidth="1"/>
    <col min="7681" max="7681" width="15.5703125" customWidth="1"/>
    <col min="7682" max="7682" width="47.28515625" customWidth="1"/>
    <col min="7683" max="7683" width="10.85546875" customWidth="1"/>
    <col min="7684" max="7684" width="12.7109375" customWidth="1"/>
    <col min="7685" max="7685" width="11.85546875" customWidth="1"/>
    <col min="7937" max="7937" width="15.5703125" customWidth="1"/>
    <col min="7938" max="7938" width="47.28515625" customWidth="1"/>
    <col min="7939" max="7939" width="10.85546875" customWidth="1"/>
    <col min="7940" max="7940" width="12.7109375" customWidth="1"/>
    <col min="7941" max="7941" width="11.85546875" customWidth="1"/>
    <col min="8193" max="8193" width="15.5703125" customWidth="1"/>
    <col min="8194" max="8194" width="47.28515625" customWidth="1"/>
    <col min="8195" max="8195" width="10.85546875" customWidth="1"/>
    <col min="8196" max="8196" width="12.7109375" customWidth="1"/>
    <col min="8197" max="8197" width="11.85546875" customWidth="1"/>
    <col min="8449" max="8449" width="15.5703125" customWidth="1"/>
    <col min="8450" max="8450" width="47.28515625" customWidth="1"/>
    <col min="8451" max="8451" width="10.85546875" customWidth="1"/>
    <col min="8452" max="8452" width="12.7109375" customWidth="1"/>
    <col min="8453" max="8453" width="11.85546875" customWidth="1"/>
    <col min="8705" max="8705" width="15.5703125" customWidth="1"/>
    <col min="8706" max="8706" width="47.28515625" customWidth="1"/>
    <col min="8707" max="8707" width="10.85546875" customWidth="1"/>
    <col min="8708" max="8708" width="12.7109375" customWidth="1"/>
    <col min="8709" max="8709" width="11.85546875" customWidth="1"/>
    <col min="8961" max="8961" width="15.5703125" customWidth="1"/>
    <col min="8962" max="8962" width="47.28515625" customWidth="1"/>
    <col min="8963" max="8963" width="10.85546875" customWidth="1"/>
    <col min="8964" max="8964" width="12.7109375" customWidth="1"/>
    <col min="8965" max="8965" width="11.85546875" customWidth="1"/>
    <col min="9217" max="9217" width="15.5703125" customWidth="1"/>
    <col min="9218" max="9218" width="47.28515625" customWidth="1"/>
    <col min="9219" max="9219" width="10.85546875" customWidth="1"/>
    <col min="9220" max="9220" width="12.7109375" customWidth="1"/>
    <col min="9221" max="9221" width="11.85546875" customWidth="1"/>
    <col min="9473" max="9473" width="15.5703125" customWidth="1"/>
    <col min="9474" max="9474" width="47.28515625" customWidth="1"/>
    <col min="9475" max="9475" width="10.85546875" customWidth="1"/>
    <col min="9476" max="9476" width="12.7109375" customWidth="1"/>
    <col min="9477" max="9477" width="11.85546875" customWidth="1"/>
    <col min="9729" max="9729" width="15.5703125" customWidth="1"/>
    <col min="9730" max="9730" width="47.28515625" customWidth="1"/>
    <col min="9731" max="9731" width="10.85546875" customWidth="1"/>
    <col min="9732" max="9732" width="12.7109375" customWidth="1"/>
    <col min="9733" max="9733" width="11.85546875" customWidth="1"/>
    <col min="9985" max="9985" width="15.5703125" customWidth="1"/>
    <col min="9986" max="9986" width="47.28515625" customWidth="1"/>
    <col min="9987" max="9987" width="10.85546875" customWidth="1"/>
    <col min="9988" max="9988" width="12.7109375" customWidth="1"/>
    <col min="9989" max="9989" width="11.85546875" customWidth="1"/>
    <col min="10241" max="10241" width="15.5703125" customWidth="1"/>
    <col min="10242" max="10242" width="47.28515625" customWidth="1"/>
    <col min="10243" max="10243" width="10.85546875" customWidth="1"/>
    <col min="10244" max="10244" width="12.7109375" customWidth="1"/>
    <col min="10245" max="10245" width="11.85546875" customWidth="1"/>
    <col min="10497" max="10497" width="15.5703125" customWidth="1"/>
    <col min="10498" max="10498" width="47.28515625" customWidth="1"/>
    <col min="10499" max="10499" width="10.85546875" customWidth="1"/>
    <col min="10500" max="10500" width="12.7109375" customWidth="1"/>
    <col min="10501" max="10501" width="11.85546875" customWidth="1"/>
    <col min="10753" max="10753" width="15.5703125" customWidth="1"/>
    <col min="10754" max="10754" width="47.28515625" customWidth="1"/>
    <col min="10755" max="10755" width="10.85546875" customWidth="1"/>
    <col min="10756" max="10756" width="12.7109375" customWidth="1"/>
    <col min="10757" max="10757" width="11.85546875" customWidth="1"/>
    <col min="11009" max="11009" width="15.5703125" customWidth="1"/>
    <col min="11010" max="11010" width="47.28515625" customWidth="1"/>
    <col min="11011" max="11011" width="10.85546875" customWidth="1"/>
    <col min="11012" max="11012" width="12.7109375" customWidth="1"/>
    <col min="11013" max="11013" width="11.85546875" customWidth="1"/>
    <col min="11265" max="11265" width="15.5703125" customWidth="1"/>
    <col min="11266" max="11266" width="47.28515625" customWidth="1"/>
    <col min="11267" max="11267" width="10.85546875" customWidth="1"/>
    <col min="11268" max="11268" width="12.7109375" customWidth="1"/>
    <col min="11269" max="11269" width="11.85546875" customWidth="1"/>
    <col min="11521" max="11521" width="15.5703125" customWidth="1"/>
    <col min="11522" max="11522" width="47.28515625" customWidth="1"/>
    <col min="11523" max="11523" width="10.85546875" customWidth="1"/>
    <col min="11524" max="11524" width="12.7109375" customWidth="1"/>
    <col min="11525" max="11525" width="11.85546875" customWidth="1"/>
    <col min="11777" max="11777" width="15.5703125" customWidth="1"/>
    <col min="11778" max="11778" width="47.28515625" customWidth="1"/>
    <col min="11779" max="11779" width="10.85546875" customWidth="1"/>
    <col min="11780" max="11780" width="12.7109375" customWidth="1"/>
    <col min="11781" max="11781" width="11.85546875" customWidth="1"/>
    <col min="12033" max="12033" width="15.5703125" customWidth="1"/>
    <col min="12034" max="12034" width="47.28515625" customWidth="1"/>
    <col min="12035" max="12035" width="10.85546875" customWidth="1"/>
    <col min="12036" max="12036" width="12.7109375" customWidth="1"/>
    <col min="12037" max="12037" width="11.85546875" customWidth="1"/>
    <col min="12289" max="12289" width="15.5703125" customWidth="1"/>
    <col min="12290" max="12290" width="47.28515625" customWidth="1"/>
    <col min="12291" max="12291" width="10.85546875" customWidth="1"/>
    <col min="12292" max="12292" width="12.7109375" customWidth="1"/>
    <col min="12293" max="12293" width="11.85546875" customWidth="1"/>
    <col min="12545" max="12545" width="15.5703125" customWidth="1"/>
    <col min="12546" max="12546" width="47.28515625" customWidth="1"/>
    <col min="12547" max="12547" width="10.85546875" customWidth="1"/>
    <col min="12548" max="12548" width="12.7109375" customWidth="1"/>
    <col min="12549" max="12549" width="11.85546875" customWidth="1"/>
    <col min="12801" max="12801" width="15.5703125" customWidth="1"/>
    <col min="12802" max="12802" width="47.28515625" customWidth="1"/>
    <col min="12803" max="12803" width="10.85546875" customWidth="1"/>
    <col min="12804" max="12804" width="12.7109375" customWidth="1"/>
    <col min="12805" max="12805" width="11.85546875" customWidth="1"/>
    <col min="13057" max="13057" width="15.5703125" customWidth="1"/>
    <col min="13058" max="13058" width="47.28515625" customWidth="1"/>
    <col min="13059" max="13059" width="10.85546875" customWidth="1"/>
    <col min="13060" max="13060" width="12.7109375" customWidth="1"/>
    <col min="13061" max="13061" width="11.85546875" customWidth="1"/>
    <col min="13313" max="13313" width="15.5703125" customWidth="1"/>
    <col min="13314" max="13314" width="47.28515625" customWidth="1"/>
    <col min="13315" max="13315" width="10.85546875" customWidth="1"/>
    <col min="13316" max="13316" width="12.7109375" customWidth="1"/>
    <col min="13317" max="13317" width="11.85546875" customWidth="1"/>
    <col min="13569" max="13569" width="15.5703125" customWidth="1"/>
    <col min="13570" max="13570" width="47.28515625" customWidth="1"/>
    <col min="13571" max="13571" width="10.85546875" customWidth="1"/>
    <col min="13572" max="13572" width="12.7109375" customWidth="1"/>
    <col min="13573" max="13573" width="11.85546875" customWidth="1"/>
    <col min="13825" max="13825" width="15.5703125" customWidth="1"/>
    <col min="13826" max="13826" width="47.28515625" customWidth="1"/>
    <col min="13827" max="13827" width="10.85546875" customWidth="1"/>
    <col min="13828" max="13828" width="12.7109375" customWidth="1"/>
    <col min="13829" max="13829" width="11.85546875" customWidth="1"/>
    <col min="14081" max="14081" width="15.5703125" customWidth="1"/>
    <col min="14082" max="14082" width="47.28515625" customWidth="1"/>
    <col min="14083" max="14083" width="10.85546875" customWidth="1"/>
    <col min="14084" max="14084" width="12.7109375" customWidth="1"/>
    <col min="14085" max="14085" width="11.85546875" customWidth="1"/>
    <col min="14337" max="14337" width="15.5703125" customWidth="1"/>
    <col min="14338" max="14338" width="47.28515625" customWidth="1"/>
    <col min="14339" max="14339" width="10.85546875" customWidth="1"/>
    <col min="14340" max="14340" width="12.7109375" customWidth="1"/>
    <col min="14341" max="14341" width="11.85546875" customWidth="1"/>
    <col min="14593" max="14593" width="15.5703125" customWidth="1"/>
    <col min="14594" max="14594" width="47.28515625" customWidth="1"/>
    <col min="14595" max="14595" width="10.85546875" customWidth="1"/>
    <col min="14596" max="14596" width="12.7109375" customWidth="1"/>
    <col min="14597" max="14597" width="11.85546875" customWidth="1"/>
    <col min="14849" max="14849" width="15.5703125" customWidth="1"/>
    <col min="14850" max="14850" width="47.28515625" customWidth="1"/>
    <col min="14851" max="14851" width="10.85546875" customWidth="1"/>
    <col min="14852" max="14852" width="12.7109375" customWidth="1"/>
    <col min="14853" max="14853" width="11.85546875" customWidth="1"/>
    <col min="15105" max="15105" width="15.5703125" customWidth="1"/>
    <col min="15106" max="15106" width="47.28515625" customWidth="1"/>
    <col min="15107" max="15107" width="10.85546875" customWidth="1"/>
    <col min="15108" max="15108" width="12.7109375" customWidth="1"/>
    <col min="15109" max="15109" width="11.85546875" customWidth="1"/>
    <col min="15361" max="15361" width="15.5703125" customWidth="1"/>
    <col min="15362" max="15362" width="47.28515625" customWidth="1"/>
    <col min="15363" max="15363" width="10.85546875" customWidth="1"/>
    <col min="15364" max="15364" width="12.7109375" customWidth="1"/>
    <col min="15365" max="15365" width="11.85546875" customWidth="1"/>
    <col min="15617" max="15617" width="15.5703125" customWidth="1"/>
    <col min="15618" max="15618" width="47.28515625" customWidth="1"/>
    <col min="15619" max="15619" width="10.85546875" customWidth="1"/>
    <col min="15620" max="15620" width="12.7109375" customWidth="1"/>
    <col min="15621" max="15621" width="11.85546875" customWidth="1"/>
    <col min="15873" max="15873" width="15.5703125" customWidth="1"/>
    <col min="15874" max="15874" width="47.28515625" customWidth="1"/>
    <col min="15875" max="15875" width="10.85546875" customWidth="1"/>
    <col min="15876" max="15876" width="12.7109375" customWidth="1"/>
    <col min="15877" max="15877" width="11.85546875" customWidth="1"/>
    <col min="16129" max="16129" width="15.5703125" customWidth="1"/>
    <col min="16130" max="16130" width="47.28515625" customWidth="1"/>
    <col min="16131" max="16131" width="10.85546875" customWidth="1"/>
    <col min="16132" max="16132" width="12.7109375" customWidth="1"/>
    <col min="16133" max="16133" width="11.85546875" customWidth="1"/>
  </cols>
  <sheetData>
    <row r="1" spans="1:8" ht="41.25">
      <c r="A1" s="348"/>
      <c r="B1" s="349"/>
      <c r="C1" s="349"/>
      <c r="D1" s="349"/>
      <c r="E1" s="349"/>
      <c r="F1" s="350"/>
      <c r="G1" s="82"/>
      <c r="H1" s="82"/>
    </row>
    <row r="2" spans="1:8" ht="12.75">
      <c r="A2" s="351"/>
      <c r="B2" s="352"/>
      <c r="C2" s="352"/>
      <c r="D2" s="352"/>
      <c r="E2" s="352"/>
      <c r="F2" s="353"/>
      <c r="G2" s="83"/>
      <c r="H2" s="83"/>
    </row>
    <row r="3" spans="1:8" ht="12.75">
      <c r="A3" s="351"/>
      <c r="B3" s="352"/>
      <c r="C3" s="352"/>
      <c r="D3" s="352"/>
      <c r="E3" s="352"/>
      <c r="F3" s="353"/>
      <c r="G3" s="84"/>
      <c r="H3" s="84"/>
    </row>
    <row r="4" spans="1:8" ht="12.75">
      <c r="A4" s="346" t="s">
        <v>187</v>
      </c>
      <c r="B4" s="320"/>
      <c r="C4" s="320"/>
      <c r="D4" s="320"/>
      <c r="E4" s="320"/>
      <c r="F4" s="320"/>
    </row>
    <row r="5" spans="1:8" ht="12.75">
      <c r="A5" s="346" t="s">
        <v>188</v>
      </c>
      <c r="B5" s="320"/>
      <c r="C5" s="320"/>
      <c r="D5" s="320"/>
      <c r="E5" s="320"/>
      <c r="F5" s="320"/>
    </row>
    <row r="6" spans="1:8" ht="12.75">
      <c r="A6" s="347" t="s">
        <v>71</v>
      </c>
      <c r="B6" s="347"/>
      <c r="C6" s="347"/>
      <c r="D6" s="347"/>
      <c r="E6" s="347"/>
      <c r="F6" s="347"/>
    </row>
    <row r="7" spans="1:8" ht="12.75">
      <c r="A7" s="97" t="s">
        <v>69</v>
      </c>
      <c r="B7" s="144">
        <f ca="1">TODAY()</f>
        <v>45979</v>
      </c>
      <c r="C7" s="364"/>
      <c r="D7" s="364"/>
      <c r="E7" s="364"/>
      <c r="F7" s="365"/>
    </row>
    <row r="8" spans="1:8" ht="12.75">
      <c r="A8" s="99"/>
      <c r="B8" s="354"/>
      <c r="C8" s="355"/>
      <c r="D8" s="355"/>
      <c r="E8" s="355"/>
      <c r="F8" s="356"/>
    </row>
    <row r="9" spans="1:8" ht="15.75">
      <c r="A9" s="100"/>
      <c r="B9" s="357" t="s">
        <v>41</v>
      </c>
      <c r="C9" s="357"/>
      <c r="D9" s="357"/>
      <c r="E9" s="101"/>
      <c r="F9" s="102"/>
    </row>
    <row r="10" spans="1:8" ht="12.75">
      <c r="A10" s="103"/>
      <c r="B10" s="362"/>
      <c r="C10" s="362"/>
      <c r="D10" s="362"/>
      <c r="E10" s="85"/>
      <c r="F10" s="104"/>
    </row>
    <row r="11" spans="1:8" ht="12.75">
      <c r="A11" s="11"/>
      <c r="B11" s="122" t="s">
        <v>42</v>
      </c>
      <c r="C11" s="129"/>
      <c r="D11" s="126" t="s">
        <v>43</v>
      </c>
      <c r="E11" s="89"/>
      <c r="F11" s="14"/>
    </row>
    <row r="12" spans="1:8" ht="12.75">
      <c r="A12" s="11"/>
      <c r="B12" s="123" t="s">
        <v>44</v>
      </c>
      <c r="C12" s="130" t="s">
        <v>45</v>
      </c>
      <c r="D12" s="127">
        <f>H12*100</f>
        <v>4.67</v>
      </c>
      <c r="E12" s="89"/>
      <c r="F12" s="105"/>
      <c r="H12" s="84">
        <v>4.6699999999999998E-2</v>
      </c>
    </row>
    <row r="13" spans="1:8" ht="12.75">
      <c r="A13" s="11"/>
      <c r="B13" s="124" t="s">
        <v>46</v>
      </c>
      <c r="C13" s="131" t="s">
        <v>47</v>
      </c>
      <c r="D13" s="127">
        <f t="shared" ref="D13:D19" si="0">H13*100</f>
        <v>0.74</v>
      </c>
      <c r="E13" s="89"/>
      <c r="F13" s="105"/>
      <c r="H13" s="84">
        <v>7.4000000000000003E-3</v>
      </c>
    </row>
    <row r="14" spans="1:8" ht="12.75">
      <c r="A14" s="11"/>
      <c r="B14" s="123" t="s">
        <v>48</v>
      </c>
      <c r="C14" s="130" t="s">
        <v>49</v>
      </c>
      <c r="D14" s="127">
        <f t="shared" si="0"/>
        <v>0.97</v>
      </c>
      <c r="E14" s="89"/>
      <c r="F14" s="105"/>
      <c r="H14" s="84">
        <v>9.7000000000000003E-3</v>
      </c>
    </row>
    <row r="15" spans="1:8" ht="12.75">
      <c r="A15" s="11"/>
      <c r="B15" s="124" t="s">
        <v>50</v>
      </c>
      <c r="C15" s="131" t="s">
        <v>51</v>
      </c>
      <c r="D15" s="127">
        <f t="shared" si="0"/>
        <v>1.21</v>
      </c>
      <c r="E15" s="89"/>
      <c r="F15" s="105"/>
      <c r="H15" s="84">
        <v>1.21E-2</v>
      </c>
    </row>
    <row r="16" spans="1:8" ht="12.75">
      <c r="A16" s="11"/>
      <c r="B16" s="124" t="s">
        <v>52</v>
      </c>
      <c r="C16" s="131" t="s">
        <v>53</v>
      </c>
      <c r="D16" s="127">
        <f t="shared" si="0"/>
        <v>8.2900000000000009</v>
      </c>
      <c r="E16" s="89"/>
      <c r="F16" s="105"/>
      <c r="H16" s="84">
        <v>8.2900000000000001E-2</v>
      </c>
    </row>
    <row r="17" spans="1:8" ht="12.75">
      <c r="A17" s="11"/>
      <c r="B17" s="123" t="s">
        <v>54</v>
      </c>
      <c r="C17" s="130" t="s">
        <v>55</v>
      </c>
      <c r="D17" s="127">
        <f t="shared" si="0"/>
        <v>3.65</v>
      </c>
      <c r="E17" s="89"/>
      <c r="F17" s="105"/>
      <c r="H17" s="84">
        <v>3.6499999999999998E-2</v>
      </c>
    </row>
    <row r="18" spans="1:8" ht="12.75">
      <c r="A18" s="11"/>
      <c r="B18" s="124" t="s">
        <v>56</v>
      </c>
      <c r="C18" s="131" t="s">
        <v>57</v>
      </c>
      <c r="D18" s="127">
        <f t="shared" si="0"/>
        <v>2.5</v>
      </c>
      <c r="E18" s="89"/>
      <c r="F18" s="105"/>
      <c r="H18" s="84">
        <v>2.5000000000000001E-2</v>
      </c>
    </row>
    <row r="19" spans="1:8" ht="25.5">
      <c r="A19" s="11"/>
      <c r="B19" s="125" t="s">
        <v>58</v>
      </c>
      <c r="C19" s="132" t="s">
        <v>59</v>
      </c>
      <c r="D19" s="128">
        <f t="shared" si="0"/>
        <v>0</v>
      </c>
      <c r="E19" s="89"/>
      <c r="F19" s="105"/>
      <c r="H19" s="84">
        <v>0</v>
      </c>
    </row>
    <row r="20" spans="1:8">
      <c r="A20" s="106"/>
      <c r="B20" s="363"/>
      <c r="C20" s="363"/>
      <c r="D20" s="363"/>
      <c r="E20" s="90"/>
      <c r="F20" s="109"/>
    </row>
    <row r="21" spans="1:8">
      <c r="A21" s="106"/>
      <c r="B21" s="152"/>
      <c r="C21" s="91"/>
      <c r="D21" s="108"/>
      <c r="E21" s="108"/>
      <c r="F21" s="109"/>
    </row>
    <row r="22" spans="1:8">
      <c r="A22" s="106"/>
      <c r="B22" s="107"/>
      <c r="C22" s="107"/>
      <c r="D22" s="108"/>
      <c r="E22" s="108"/>
      <c r="F22" s="110"/>
    </row>
    <row r="23" spans="1:8">
      <c r="A23" s="358" t="s">
        <v>60</v>
      </c>
      <c r="B23" s="359"/>
      <c r="C23" s="359"/>
      <c r="D23" s="359"/>
      <c r="E23" s="359"/>
      <c r="F23" s="360"/>
    </row>
    <row r="24" spans="1:8" ht="15" thickBot="1">
      <c r="A24" s="106"/>
      <c r="B24" s="107"/>
      <c r="C24" s="107"/>
      <c r="D24" s="90"/>
      <c r="E24" s="90"/>
      <c r="F24" s="110"/>
    </row>
    <row r="25" spans="1:8" ht="15" thickBot="1">
      <c r="A25" s="106"/>
      <c r="B25" s="111"/>
      <c r="C25" s="92" t="s">
        <v>61</v>
      </c>
      <c r="D25" s="172">
        <f>(((1+H12+H13+H14)*(1+H15)*(1+H16))/(1-H17-H18-H19))-1</f>
        <v>0.24233147271390498</v>
      </c>
      <c r="E25" s="90"/>
      <c r="F25" s="110"/>
    </row>
    <row r="26" spans="1:8">
      <c r="A26" s="106"/>
      <c r="B26" s="107"/>
      <c r="C26" s="112"/>
      <c r="D26" s="113"/>
      <c r="E26" s="90"/>
      <c r="F26" s="110"/>
    </row>
    <row r="27" spans="1:8">
      <c r="A27" s="106"/>
      <c r="B27" s="107"/>
      <c r="C27" s="112"/>
      <c r="D27" s="107"/>
      <c r="E27" s="90"/>
      <c r="F27" s="110"/>
    </row>
    <row r="28" spans="1:8">
      <c r="A28" s="106"/>
      <c r="B28" s="107"/>
      <c r="C28" s="111"/>
      <c r="D28" s="171"/>
      <c r="E28" s="90"/>
      <c r="F28" s="110"/>
    </row>
    <row r="29" spans="1:8">
      <c r="A29" s="106"/>
      <c r="B29" s="107"/>
      <c r="C29" s="107"/>
      <c r="D29" s="108"/>
      <c r="E29" s="90"/>
      <c r="F29" s="110"/>
    </row>
    <row r="30" spans="1:8">
      <c r="A30" s="114"/>
      <c r="C30" s="361"/>
      <c r="D30" s="361"/>
      <c r="E30" s="361"/>
      <c r="F30" s="115"/>
    </row>
    <row r="31" spans="1:8">
      <c r="A31" s="114"/>
      <c r="C31" s="153"/>
      <c r="D31" s="153"/>
      <c r="E31" s="153"/>
      <c r="F31" s="115"/>
    </row>
    <row r="32" spans="1:8">
      <c r="A32" s="114"/>
      <c r="C32" s="153"/>
      <c r="D32" s="153"/>
      <c r="E32" s="153"/>
      <c r="F32" s="115"/>
    </row>
    <row r="33" spans="1:6">
      <c r="A33" s="114"/>
      <c r="C33" s="153"/>
      <c r="D33" s="153"/>
      <c r="E33" s="153"/>
      <c r="F33" s="115"/>
    </row>
    <row r="34" spans="1:6">
      <c r="A34" s="114"/>
      <c r="C34" s="153"/>
      <c r="D34" s="153"/>
      <c r="E34" s="153"/>
      <c r="F34" s="115"/>
    </row>
    <row r="35" spans="1:6">
      <c r="A35" s="114"/>
      <c r="C35" s="153"/>
      <c r="D35" s="153"/>
      <c r="E35" s="153"/>
      <c r="F35" s="115"/>
    </row>
    <row r="36" spans="1:6">
      <c r="A36" s="114"/>
      <c r="C36" s="153"/>
      <c r="D36" s="153"/>
      <c r="E36" s="153"/>
      <c r="F36" s="115"/>
    </row>
    <row r="37" spans="1:6">
      <c r="A37" s="114"/>
      <c r="F37" s="116"/>
    </row>
    <row r="38" spans="1:6">
      <c r="A38" s="114"/>
      <c r="F38" s="116"/>
    </row>
    <row r="39" spans="1:6" ht="14.25" customHeight="1">
      <c r="A39" s="342" t="s">
        <v>77</v>
      </c>
      <c r="B39" s="343"/>
      <c r="C39" s="343"/>
      <c r="D39" s="343"/>
      <c r="E39" s="343"/>
      <c r="F39" s="344"/>
    </row>
    <row r="40" spans="1:6" ht="14.25" customHeight="1">
      <c r="A40" s="345"/>
      <c r="B40" s="343"/>
      <c r="C40" s="343"/>
      <c r="D40" s="343"/>
      <c r="E40" s="343"/>
      <c r="F40" s="344"/>
    </row>
    <row r="41" spans="1:6" ht="14.25" customHeight="1">
      <c r="A41" s="345"/>
      <c r="B41" s="343"/>
      <c r="C41" s="343"/>
      <c r="D41" s="343"/>
      <c r="E41" s="343"/>
      <c r="F41" s="344"/>
    </row>
    <row r="42" spans="1:6" ht="14.25" customHeight="1">
      <c r="A42" s="345"/>
      <c r="B42" s="343"/>
      <c r="C42" s="343"/>
      <c r="D42" s="343"/>
      <c r="E42" s="343"/>
      <c r="F42" s="344"/>
    </row>
    <row r="43" spans="1:6">
      <c r="A43" s="114"/>
      <c r="F43" s="116"/>
    </row>
    <row r="44" spans="1:6">
      <c r="A44" s="114"/>
      <c r="F44" s="116"/>
    </row>
    <row r="45" spans="1:6">
      <c r="A45" s="117"/>
      <c r="B45" s="118"/>
      <c r="C45" s="118"/>
      <c r="D45" s="119"/>
      <c r="E45" s="120"/>
      <c r="F45" s="121"/>
    </row>
  </sheetData>
  <mergeCells count="12">
    <mergeCell ref="A39:F42"/>
    <mergeCell ref="A4:F4"/>
    <mergeCell ref="A5:F5"/>
    <mergeCell ref="A6:F6"/>
    <mergeCell ref="A1:F3"/>
    <mergeCell ref="B8:F8"/>
    <mergeCell ref="B9:D9"/>
    <mergeCell ref="A23:F23"/>
    <mergeCell ref="C30:E30"/>
    <mergeCell ref="B10:D10"/>
    <mergeCell ref="B20:D20"/>
    <mergeCell ref="C7:F7"/>
  </mergeCells>
  <pageMargins left="0.51181102362204722" right="0.51181102362204722" top="0.78740157480314965" bottom="0.78740157480314965" header="0.31496062992125984" footer="0.31496062992125984"/>
  <pageSetup paperSize="9" scale="110" orientation="portrait" blackAndWhite="1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9F8C6-B17D-462B-8A0C-BB60AE6848E5}">
  <dimension ref="A1:G43"/>
  <sheetViews>
    <sheetView topLeftCell="A16" zoomScale="130" zoomScaleNormal="130" workbookViewId="0">
      <selection activeCell="E21" sqref="E21"/>
    </sheetView>
  </sheetViews>
  <sheetFormatPr defaultRowHeight="12.75"/>
  <cols>
    <col min="1" max="1" width="11" customWidth="1"/>
    <col min="2" max="2" width="10.140625" bestFit="1" customWidth="1"/>
    <col min="3" max="3" width="51.85546875" customWidth="1"/>
    <col min="4" max="4" width="5.42578125" customWidth="1"/>
    <col min="5" max="5" width="7.28515625" customWidth="1"/>
    <col min="6" max="6" width="8.140625" bestFit="1" customWidth="1"/>
    <col min="8" max="8" width="13" bestFit="1" customWidth="1"/>
  </cols>
  <sheetData>
    <row r="1" spans="1:7" ht="58.5" customHeight="1">
      <c r="A1" s="366"/>
      <c r="B1" s="366"/>
      <c r="C1" s="366"/>
      <c r="D1" s="366"/>
      <c r="E1" s="366"/>
      <c r="F1" s="366"/>
      <c r="G1" s="82"/>
    </row>
    <row r="2" spans="1:7">
      <c r="A2" s="366"/>
      <c r="B2" s="366"/>
      <c r="C2" s="366"/>
      <c r="D2" s="366"/>
      <c r="E2" s="366"/>
      <c r="F2" s="366"/>
      <c r="G2" s="83"/>
    </row>
    <row r="3" spans="1:7">
      <c r="A3" s="366"/>
      <c r="B3" s="366"/>
      <c r="C3" s="366"/>
      <c r="D3" s="366"/>
      <c r="E3" s="366"/>
      <c r="F3" s="366"/>
      <c r="G3" s="84"/>
    </row>
    <row r="4" spans="1:7">
      <c r="A4" s="346" t="str">
        <f>'Planilha Orcamentária'!A3</f>
        <v>PREFEITURA MUNICIPAL DE INHAPIM - MG</v>
      </c>
      <c r="B4" s="320"/>
      <c r="C4" s="320"/>
      <c r="D4" s="320"/>
      <c r="E4" s="320"/>
      <c r="F4" s="320"/>
    </row>
    <row r="5" spans="1:7">
      <c r="A5" s="346" t="str">
        <f>'Planilha Orcamentária'!A4</f>
        <v>OBRA: CONSTRUÇÃO DE PONTE EM ADUELAS DE CONCRETO</v>
      </c>
      <c r="B5" s="320"/>
      <c r="C5" s="320"/>
      <c r="D5" s="320"/>
      <c r="E5" s="320"/>
      <c r="F5" s="320"/>
    </row>
    <row r="6" spans="1:7">
      <c r="A6" s="346" t="str">
        <f>'Planilha Orcamentária'!A5</f>
        <v>LOCAL:  ESTRADA PRINCIPAL, PRÓXIMA À - BOM JESUS DO RIO PRETO</v>
      </c>
      <c r="B6" s="320"/>
      <c r="C6" s="320"/>
      <c r="D6" s="320"/>
      <c r="E6" s="320"/>
      <c r="F6" s="320"/>
    </row>
    <row r="7" spans="1:7">
      <c r="A7" s="97" t="s">
        <v>69</v>
      </c>
      <c r="B7" s="144">
        <f ca="1">TODAY()</f>
        <v>45979</v>
      </c>
      <c r="C7" s="98"/>
      <c r="D7" s="98"/>
      <c r="E7" s="95"/>
      <c r="F7" s="96"/>
    </row>
    <row r="8" spans="1:7">
      <c r="A8" s="97"/>
      <c r="B8" s="94"/>
      <c r="C8" s="98"/>
      <c r="D8" s="98"/>
      <c r="E8" s="95"/>
      <c r="F8" s="96"/>
    </row>
    <row r="9" spans="1:7" ht="15.75">
      <c r="A9" s="371" t="s">
        <v>64</v>
      </c>
      <c r="B9" s="371"/>
      <c r="C9" s="371"/>
      <c r="D9" s="371"/>
      <c r="E9" s="371"/>
      <c r="F9" s="371"/>
    </row>
    <row r="10" spans="1:7" ht="11.25" customHeight="1">
      <c r="A10" s="139"/>
      <c r="F10" s="93"/>
    </row>
    <row r="11" spans="1:7">
      <c r="C11" s="164"/>
    </row>
    <row r="12" spans="1:7" ht="22.5">
      <c r="A12" s="155" t="s">
        <v>62</v>
      </c>
      <c r="B12" s="218" t="s">
        <v>63</v>
      </c>
      <c r="C12" s="214" t="s">
        <v>142</v>
      </c>
      <c r="D12" s="155" t="s">
        <v>10</v>
      </c>
      <c r="E12" s="156"/>
      <c r="F12" s="157">
        <f>E13*F13+E14*F14+E15*F15+E16*F16</f>
        <v>191.9109</v>
      </c>
    </row>
    <row r="13" spans="1:7">
      <c r="A13" s="158" t="s">
        <v>73</v>
      </c>
      <c r="B13" s="159">
        <v>88316</v>
      </c>
      <c r="C13" s="163" t="s">
        <v>137</v>
      </c>
      <c r="D13" s="160" t="s">
        <v>138</v>
      </c>
      <c r="E13" s="159">
        <v>0.13400000000000001</v>
      </c>
      <c r="F13" s="161">
        <v>22.64</v>
      </c>
    </row>
    <row r="14" spans="1:7" ht="22.5">
      <c r="A14" s="158" t="s">
        <v>73</v>
      </c>
      <c r="B14" s="159">
        <v>105100</v>
      </c>
      <c r="C14" s="163" t="s">
        <v>132</v>
      </c>
      <c r="D14" s="160" t="s">
        <v>10</v>
      </c>
      <c r="E14" s="159">
        <v>1</v>
      </c>
      <c r="F14" s="177">
        <v>107.07</v>
      </c>
    </row>
    <row r="15" spans="1:7" ht="22.5">
      <c r="A15" s="158" t="s">
        <v>73</v>
      </c>
      <c r="B15" s="159">
        <v>88907</v>
      </c>
      <c r="C15" s="163" t="s">
        <v>97</v>
      </c>
      <c r="D15" s="160" t="s">
        <v>90</v>
      </c>
      <c r="E15" s="159">
        <v>0.3</v>
      </c>
      <c r="F15" s="177">
        <v>258.75</v>
      </c>
    </row>
    <row r="16" spans="1:7">
      <c r="A16" s="158" t="s">
        <v>73</v>
      </c>
      <c r="B16" s="159">
        <v>88309</v>
      </c>
      <c r="C16" s="163" t="s">
        <v>139</v>
      </c>
      <c r="D16" s="160" t="s">
        <v>140</v>
      </c>
      <c r="E16" s="159">
        <v>0.13400000000000001</v>
      </c>
      <c r="F16" s="162">
        <v>31.21</v>
      </c>
    </row>
    <row r="17" spans="1:7">
      <c r="A17" s="139"/>
      <c r="C17" s="164"/>
      <c r="F17" s="93"/>
    </row>
    <row r="18" spans="1:7" ht="11.25" customHeight="1">
      <c r="A18" s="155" t="s">
        <v>62</v>
      </c>
      <c r="B18" s="218" t="s">
        <v>72</v>
      </c>
      <c r="C18" s="214" t="s">
        <v>149</v>
      </c>
      <c r="D18" s="155" t="s">
        <v>10</v>
      </c>
      <c r="E18" s="156"/>
      <c r="F18" s="157">
        <f>E19*F19+E20*F20</f>
        <v>5701.3600000000006</v>
      </c>
    </row>
    <row r="19" spans="1:7" ht="11.25" customHeight="1">
      <c r="A19" s="158" t="s">
        <v>73</v>
      </c>
      <c r="B19" s="135">
        <v>90779</v>
      </c>
      <c r="C19" s="163" t="s">
        <v>78</v>
      </c>
      <c r="D19" s="134" t="s">
        <v>68</v>
      </c>
      <c r="E19" s="135">
        <v>8</v>
      </c>
      <c r="F19" s="143">
        <v>169.23</v>
      </c>
      <c r="G19">
        <f>E19*F19</f>
        <v>1353.84</v>
      </c>
    </row>
    <row r="20" spans="1:7" ht="11.25" customHeight="1">
      <c r="A20" s="158" t="s">
        <v>73</v>
      </c>
      <c r="B20" s="133">
        <v>90776</v>
      </c>
      <c r="C20" s="163" t="s">
        <v>79</v>
      </c>
      <c r="D20" s="134" t="s">
        <v>68</v>
      </c>
      <c r="E20" s="135">
        <v>64</v>
      </c>
      <c r="F20" s="143">
        <v>67.930000000000007</v>
      </c>
      <c r="G20">
        <f>E20*F20</f>
        <v>4347.5200000000004</v>
      </c>
    </row>
    <row r="21" spans="1:7" ht="11.25" customHeight="1">
      <c r="A21" s="139"/>
      <c r="F21" s="93"/>
    </row>
    <row r="22" spans="1:7" ht="22.5">
      <c r="A22" s="155" t="s">
        <v>62</v>
      </c>
      <c r="B22" s="218" t="s">
        <v>143</v>
      </c>
      <c r="C22" s="214" t="s">
        <v>148</v>
      </c>
      <c r="D22" s="155" t="s">
        <v>147</v>
      </c>
      <c r="E22" s="156"/>
      <c r="F22" s="157">
        <f>E23*F23+E24*F24+E25*F25+E26*F26+E27*F27</f>
        <v>3967.6446699999997</v>
      </c>
    </row>
    <row r="23" spans="1:7" ht="11.25" customHeight="1">
      <c r="A23" s="158" t="s">
        <v>73</v>
      </c>
      <c r="B23" s="159">
        <v>88316</v>
      </c>
      <c r="C23" s="163" t="s">
        <v>137</v>
      </c>
      <c r="D23" s="160" t="s">
        <v>138</v>
      </c>
      <c r="E23" s="159">
        <v>0.13400000000000001</v>
      </c>
      <c r="F23" s="161">
        <v>22.64</v>
      </c>
    </row>
    <row r="24" spans="1:7" ht="11.25" customHeight="1">
      <c r="A24" s="158" t="s">
        <v>91</v>
      </c>
      <c r="B24" s="159">
        <v>1</v>
      </c>
      <c r="C24" s="262" t="s">
        <v>144</v>
      </c>
      <c r="D24" s="160" t="s">
        <v>145</v>
      </c>
      <c r="E24" s="159">
        <v>1</v>
      </c>
      <c r="F24" s="177">
        <v>3700</v>
      </c>
    </row>
    <row r="25" spans="1:7" ht="11.25" customHeight="1">
      <c r="A25" s="158" t="s">
        <v>73</v>
      </c>
      <c r="B25" s="159">
        <v>88907</v>
      </c>
      <c r="C25" s="163" t="s">
        <v>97</v>
      </c>
      <c r="D25" s="160" t="s">
        <v>90</v>
      </c>
      <c r="E25" s="159">
        <v>0.5</v>
      </c>
      <c r="F25" s="177">
        <v>258.75</v>
      </c>
    </row>
    <row r="26" spans="1:7" ht="11.25" customHeight="1">
      <c r="A26" s="158" t="s">
        <v>73</v>
      </c>
      <c r="B26" s="159">
        <v>88309</v>
      </c>
      <c r="C26" s="163" t="s">
        <v>139</v>
      </c>
      <c r="D26" s="160" t="s">
        <v>140</v>
      </c>
      <c r="E26" s="159">
        <v>0.13400000000000001</v>
      </c>
      <c r="F26" s="162">
        <v>31.21</v>
      </c>
    </row>
    <row r="27" spans="1:7" ht="11.25" customHeight="1">
      <c r="A27" s="158" t="s">
        <v>73</v>
      </c>
      <c r="B27" s="159">
        <v>100488</v>
      </c>
      <c r="C27" s="163" t="s">
        <v>141</v>
      </c>
      <c r="D27" s="160" t="s">
        <v>9</v>
      </c>
      <c r="E27" s="159">
        <v>0.20699999999999999</v>
      </c>
      <c r="F27" s="162">
        <v>633.11</v>
      </c>
    </row>
    <row r="28" spans="1:7">
      <c r="A28" s="139"/>
      <c r="F28" s="93"/>
    </row>
    <row r="29" spans="1:7" ht="28.5" customHeight="1">
      <c r="A29" s="267" t="s">
        <v>151</v>
      </c>
      <c r="B29" s="267" t="s">
        <v>152</v>
      </c>
      <c r="C29" s="214" t="s">
        <v>153</v>
      </c>
      <c r="D29" s="155" t="s">
        <v>10</v>
      </c>
      <c r="E29" s="156"/>
      <c r="F29" s="157">
        <f>E30*F30+E31*F31+E32*F32+E33*F33+E34*F34+E35*F35+E36*F36</f>
        <v>242.53227200000006</v>
      </c>
    </row>
    <row r="30" spans="1:7" ht="22.5">
      <c r="A30" s="134" t="s">
        <v>154</v>
      </c>
      <c r="B30" s="274">
        <v>21006</v>
      </c>
      <c r="C30" s="262" t="s">
        <v>171</v>
      </c>
      <c r="D30" s="160" t="s">
        <v>10</v>
      </c>
      <c r="E30" s="159">
        <v>2.7</v>
      </c>
      <c r="F30" s="268">
        <v>67.650000000000006</v>
      </c>
    </row>
    <row r="31" spans="1:7">
      <c r="A31" s="134" t="s">
        <v>73</v>
      </c>
      <c r="B31" s="266" t="s">
        <v>155</v>
      </c>
      <c r="C31" s="163" t="s">
        <v>161</v>
      </c>
      <c r="D31" s="160" t="s">
        <v>140</v>
      </c>
      <c r="E31" s="159">
        <v>0.5</v>
      </c>
      <c r="F31" s="269">
        <v>21.91</v>
      </c>
    </row>
    <row r="32" spans="1:7">
      <c r="A32" s="134" t="s">
        <v>73</v>
      </c>
      <c r="B32" s="266" t="s">
        <v>156</v>
      </c>
      <c r="C32" s="163" t="s">
        <v>162</v>
      </c>
      <c r="D32" s="160" t="s">
        <v>140</v>
      </c>
      <c r="E32" s="159">
        <v>0.5</v>
      </c>
      <c r="F32" s="269">
        <v>27.23</v>
      </c>
    </row>
    <row r="33" spans="1:6">
      <c r="A33" s="134" t="s">
        <v>154</v>
      </c>
      <c r="B33" s="266" t="s">
        <v>157</v>
      </c>
      <c r="C33" s="163" t="s">
        <v>163</v>
      </c>
      <c r="D33" s="160" t="s">
        <v>167</v>
      </c>
      <c r="E33" s="159">
        <v>6.5000000000000002E-2</v>
      </c>
      <c r="F33" s="270">
        <v>54.36</v>
      </c>
    </row>
    <row r="34" spans="1:6" ht="33.75">
      <c r="A34" s="134" t="s">
        <v>73</v>
      </c>
      <c r="B34" s="266" t="s">
        <v>158</v>
      </c>
      <c r="C34" s="163" t="s">
        <v>164</v>
      </c>
      <c r="D34" s="160" t="s">
        <v>7</v>
      </c>
      <c r="E34" s="159">
        <v>0.1144</v>
      </c>
      <c r="F34" s="270">
        <v>11.36</v>
      </c>
    </row>
    <row r="35" spans="1:6" ht="33.75">
      <c r="A35" s="134" t="s">
        <v>73</v>
      </c>
      <c r="B35" s="266" t="s">
        <v>159</v>
      </c>
      <c r="C35" s="163" t="s">
        <v>165</v>
      </c>
      <c r="D35" s="271" t="s">
        <v>7</v>
      </c>
      <c r="E35" s="272">
        <v>0.2288</v>
      </c>
      <c r="F35" s="273">
        <v>15.01</v>
      </c>
    </row>
    <row r="36" spans="1:6">
      <c r="A36" s="134" t="s">
        <v>154</v>
      </c>
      <c r="B36" s="266" t="s">
        <v>160</v>
      </c>
      <c r="C36" s="163" t="s">
        <v>166</v>
      </c>
      <c r="D36" s="271" t="s">
        <v>167</v>
      </c>
      <c r="E36" s="272">
        <v>3.2</v>
      </c>
      <c r="F36" s="273">
        <v>8.4499999999999993</v>
      </c>
    </row>
    <row r="37" spans="1:6">
      <c r="A37" s="139"/>
      <c r="F37" s="93"/>
    </row>
    <row r="38" spans="1:6" ht="48.75" customHeight="1">
      <c r="A38" s="367" t="s">
        <v>65</v>
      </c>
      <c r="B38" s="352"/>
      <c r="C38" s="352"/>
      <c r="D38" s="352"/>
      <c r="E38" s="352"/>
      <c r="F38" s="353"/>
    </row>
    <row r="39" spans="1:6">
      <c r="A39" s="368" t="s">
        <v>84</v>
      </c>
      <c r="B39" s="369"/>
      <c r="C39" s="369"/>
      <c r="D39" s="369"/>
      <c r="E39" s="369"/>
      <c r="F39" s="370"/>
    </row>
    <row r="40" spans="1:6">
      <c r="A40" s="368" t="s">
        <v>85</v>
      </c>
      <c r="B40" s="369"/>
      <c r="C40" s="369"/>
      <c r="D40" s="369"/>
      <c r="E40" s="369"/>
      <c r="F40" s="370"/>
    </row>
    <row r="41" spans="1:6">
      <c r="A41" s="139"/>
      <c r="F41" s="93"/>
    </row>
    <row r="42" spans="1:6">
      <c r="A42" s="139"/>
      <c r="F42" s="93"/>
    </row>
    <row r="43" spans="1:6">
      <c r="A43" s="140"/>
      <c r="B43" s="95"/>
      <c r="C43" s="95"/>
      <c r="D43" s="95"/>
      <c r="E43" s="95"/>
      <c r="F43" s="96"/>
    </row>
  </sheetData>
  <mergeCells count="8">
    <mergeCell ref="A1:F3"/>
    <mergeCell ref="A38:F38"/>
    <mergeCell ref="A39:F39"/>
    <mergeCell ref="A40:F40"/>
    <mergeCell ref="A9:F9"/>
    <mergeCell ref="A4:F4"/>
    <mergeCell ref="A5:F5"/>
    <mergeCell ref="A6:F6"/>
  </mergeCells>
  <phoneticPr fontId="60" type="noConversion"/>
  <pageMargins left="0.23622047244094491" right="0.23622047244094491" top="0.74803149606299213" bottom="0.74803149606299213" header="0.31496062992125984" footer="0.31496062992125984"/>
  <pageSetup paperSize="9" scale="95" orientation="portrait" blackAndWhite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7</vt:i4>
      </vt:variant>
    </vt:vector>
  </HeadingPairs>
  <TitlesOfParts>
    <vt:vector size="13" baseType="lpstr">
      <vt:lpstr>Planilha Orcamentária</vt:lpstr>
      <vt:lpstr>Memória de Cálculo</vt:lpstr>
      <vt:lpstr>calculos</vt:lpstr>
      <vt:lpstr>Cronograma</vt:lpstr>
      <vt:lpstr>BDI</vt:lpstr>
      <vt:lpstr>Composição</vt:lpstr>
      <vt:lpstr>BDI!Area_de_impressao</vt:lpstr>
      <vt:lpstr>Cronograma!Area_de_impressao</vt:lpstr>
      <vt:lpstr>'Memória de Cálculo'!Area_de_impressao</vt:lpstr>
      <vt:lpstr>'Planilha Orcamentária'!Area_de_impressao</vt:lpstr>
      <vt:lpstr>Composição!Titulos_de_impressao</vt:lpstr>
      <vt:lpstr>'Memória de Cálculo'!Titulos_de_impressao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USER</cp:lastModifiedBy>
  <cp:lastPrinted>2025-11-18T19:07:41Z</cp:lastPrinted>
  <dcterms:created xsi:type="dcterms:W3CDTF">2006-09-22T13:55:22Z</dcterms:created>
  <dcterms:modified xsi:type="dcterms:W3CDTF">2025-11-18T19:07:48Z</dcterms:modified>
</cp:coreProperties>
</file>